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385" yWindow="-15" windowWidth="14190" windowHeight="13560"/>
  </bookViews>
  <sheets>
    <sheet name="sumář" sheetId="1" r:id="rId1"/>
    <sheet name="příjmy" sheetId="2" r:id="rId2"/>
    <sheet name="výdaje" sheetId="3" r:id="rId3"/>
    <sheet name="Závazné ukazatele rozpočtu" sheetId="22" r:id="rId4"/>
  </sheets>
  <definedNames>
    <definedName name="_xlnm.Print_Titles" localSheetId="1">příjmy!$A:$E,příjmy!$1:$3</definedName>
    <definedName name="_xlnm.Print_Titles" localSheetId="2">výdaje!$A:$D,výdaje!$1:$4</definedName>
    <definedName name="_xlnm.Print_Area" localSheetId="1">příjmy!$A$1:$G$114</definedName>
    <definedName name="_xlnm.Print_Area" localSheetId="2">výdaje!$A$1:$J$113</definedName>
  </definedNames>
  <calcPr calcId="145621"/>
</workbook>
</file>

<file path=xl/calcChain.xml><?xml version="1.0" encoding="utf-8"?>
<calcChain xmlns="http://schemas.openxmlformats.org/spreadsheetml/2006/main">
  <c r="E6" i="3" l="1"/>
  <c r="G6" i="3" s="1"/>
  <c r="G112" i="3"/>
  <c r="G111" i="3"/>
  <c r="E110" i="3"/>
  <c r="G110" i="3" s="1"/>
  <c r="G109" i="3"/>
  <c r="G108" i="3"/>
  <c r="G107" i="3"/>
  <c r="G106" i="3"/>
  <c r="F105" i="3"/>
  <c r="G104" i="3"/>
  <c r="G103" i="3"/>
  <c r="G102" i="3"/>
  <c r="E101" i="3"/>
  <c r="E100" i="3" s="1"/>
  <c r="F100" i="3"/>
  <c r="E99" i="3"/>
  <c r="E98" i="3"/>
  <c r="G98" i="3" s="1"/>
  <c r="G97" i="3"/>
  <c r="F96" i="3"/>
  <c r="E95" i="3"/>
  <c r="G95" i="3" s="1"/>
  <c r="E94" i="3"/>
  <c r="G94" i="3" s="1"/>
  <c r="G93" i="3"/>
  <c r="G92" i="3"/>
  <c r="G91" i="3"/>
  <c r="F90" i="3"/>
  <c r="G89" i="3"/>
  <c r="E88" i="3"/>
  <c r="G88" i="3" s="1"/>
  <c r="G87" i="3"/>
  <c r="E86" i="3"/>
  <c r="G86" i="3" s="1"/>
  <c r="E85" i="3"/>
  <c r="G85" i="3" s="1"/>
  <c r="G84" i="3"/>
  <c r="F83" i="3"/>
  <c r="E82" i="3"/>
  <c r="G82" i="3" s="1"/>
  <c r="G81" i="3"/>
  <c r="E80" i="3"/>
  <c r="G80" i="3" s="1"/>
  <c r="G79" i="3"/>
  <c r="G78" i="3"/>
  <c r="E77" i="3"/>
  <c r="G77" i="3" s="1"/>
  <c r="G76" i="3"/>
  <c r="G75" i="3"/>
  <c r="G74" i="3"/>
  <c r="G73" i="3"/>
  <c r="G72" i="3"/>
  <c r="G71" i="3"/>
  <c r="G70" i="3"/>
  <c r="G69" i="3"/>
  <c r="E68" i="3"/>
  <c r="G67" i="3"/>
  <c r="G66" i="3"/>
  <c r="G65" i="3"/>
  <c r="G64" i="3"/>
  <c r="E63" i="3"/>
  <c r="G63" i="3" s="1"/>
  <c r="F62" i="3"/>
  <c r="E61" i="3"/>
  <c r="G61" i="3" s="1"/>
  <c r="G60" i="3" s="1"/>
  <c r="F60" i="3"/>
  <c r="G59" i="3"/>
  <c r="E58" i="3"/>
  <c r="G58" i="3" s="1"/>
  <c r="G57" i="3"/>
  <c r="E56" i="3"/>
  <c r="G56" i="3" s="1"/>
  <c r="G55" i="3"/>
  <c r="F54" i="3"/>
  <c r="G54" i="3" s="1"/>
  <c r="G53" i="3"/>
  <c r="G51" i="3"/>
  <c r="E50" i="3"/>
  <c r="G50" i="3" s="1"/>
  <c r="G49" i="3"/>
  <c r="G48" i="3"/>
  <c r="G47" i="3"/>
  <c r="E46" i="3"/>
  <c r="G46" i="3" s="1"/>
  <c r="G45" i="3"/>
  <c r="G44" i="3"/>
  <c r="G43" i="3"/>
  <c r="E42" i="3"/>
  <c r="G42" i="3" s="1"/>
  <c r="E41" i="3"/>
  <c r="G41" i="3" s="1"/>
  <c r="F40" i="3"/>
  <c r="G39" i="3"/>
  <c r="G38" i="3"/>
  <c r="G37" i="3"/>
  <c r="G36" i="3"/>
  <c r="G35" i="3"/>
  <c r="F34" i="3"/>
  <c r="F26" i="3" s="1"/>
  <c r="G33" i="3"/>
  <c r="E32" i="3"/>
  <c r="G32" i="3" s="1"/>
  <c r="E31" i="3"/>
  <c r="G31" i="3" s="1"/>
  <c r="E30" i="3"/>
  <c r="G30" i="3" s="1"/>
  <c r="G29" i="3"/>
  <c r="G28" i="3"/>
  <c r="G27" i="3"/>
  <c r="G24" i="3"/>
  <c r="G25" i="3"/>
  <c r="G23" i="3"/>
  <c r="G22" i="3"/>
  <c r="G21" i="3"/>
  <c r="G20" i="3"/>
  <c r="G18" i="3"/>
  <c r="G16" i="3"/>
  <c r="F19" i="3"/>
  <c r="G19" i="3" s="1"/>
  <c r="G17" i="3"/>
  <c r="G15" i="3"/>
  <c r="E14" i="3"/>
  <c r="G14" i="3" s="1"/>
  <c r="G12" i="3"/>
  <c r="G11" i="3"/>
  <c r="G10" i="3"/>
  <c r="G9" i="3"/>
  <c r="G8" i="3"/>
  <c r="F7" i="3"/>
  <c r="E7" i="3"/>
  <c r="F5" i="3"/>
  <c r="F111" i="2"/>
  <c r="F110" i="2" s="1"/>
  <c r="F122" i="2" s="1"/>
  <c r="F103" i="2"/>
  <c r="F102" i="2"/>
  <c r="F90" i="2"/>
  <c r="F93" i="2" s="1"/>
  <c r="F121" i="2" s="1"/>
  <c r="F84" i="2"/>
  <c r="F81" i="2"/>
  <c r="F73" i="2"/>
  <c r="F69" i="2"/>
  <c r="F66" i="2"/>
  <c r="F60" i="2"/>
  <c r="F57" i="2"/>
  <c r="F56" i="2"/>
  <c r="F54" i="2"/>
  <c r="F53" i="2"/>
  <c r="F50" i="2"/>
  <c r="F39" i="2"/>
  <c r="F33" i="2"/>
  <c r="F26" i="2"/>
  <c r="F24" i="2"/>
  <c r="F22" i="2"/>
  <c r="F17" i="2"/>
  <c r="F5" i="2"/>
  <c r="E5" i="3" l="1"/>
  <c r="E96" i="3"/>
  <c r="G101" i="3"/>
  <c r="G100" i="3" s="1"/>
  <c r="F13" i="3"/>
  <c r="E13" i="3"/>
  <c r="G13" i="3"/>
  <c r="G34" i="3"/>
  <c r="G26" i="3" s="1"/>
  <c r="E26" i="3"/>
  <c r="E90" i="3"/>
  <c r="G40" i="3"/>
  <c r="E62" i="3"/>
  <c r="G105" i="3"/>
  <c r="G90" i="3"/>
  <c r="G7" i="3"/>
  <c r="G52" i="3"/>
  <c r="G83" i="3"/>
  <c r="G5" i="3"/>
  <c r="E52" i="3"/>
  <c r="E40" i="3"/>
  <c r="F52" i="3"/>
  <c r="F113" i="3" s="1"/>
  <c r="E60" i="3"/>
  <c r="G68" i="3"/>
  <c r="G62" i="3" s="1"/>
  <c r="E83" i="3"/>
  <c r="G99" i="3"/>
  <c r="G96" i="3" s="1"/>
  <c r="E105" i="3"/>
  <c r="F58" i="2"/>
  <c r="F95" i="2"/>
  <c r="F119" i="2" s="1"/>
  <c r="F14" i="2"/>
  <c r="F35" i="2" s="1"/>
  <c r="F117" i="2" s="1"/>
  <c r="F38" i="2"/>
  <c r="E113" i="3" l="1"/>
  <c r="G114" i="3" s="1"/>
  <c r="G113" i="3"/>
  <c r="F113" i="2"/>
  <c r="F86" i="2"/>
  <c r="F118" i="2" s="1"/>
  <c r="F120" i="2" s="1"/>
  <c r="F123" i="2" s="1"/>
  <c r="F114" i="2" l="1"/>
  <c r="C12" i="1" l="1"/>
  <c r="C13" i="1"/>
  <c r="C10" i="1" l="1"/>
  <c r="C16" i="1" l="1"/>
  <c r="C11" i="1"/>
  <c r="C15" i="1"/>
  <c r="C14" i="1" l="1"/>
  <c r="FD48" i="3"/>
  <c r="C17" i="1"/>
  <c r="D15" i="1" s="1"/>
  <c r="D13" i="1" l="1"/>
  <c r="D12" i="1"/>
  <c r="D10" i="1"/>
  <c r="D11" i="1"/>
  <c r="D16" i="1"/>
  <c r="C19" i="1"/>
  <c r="C30" i="1" s="1"/>
  <c r="C28" i="1" s="1"/>
  <c r="D14" i="1" l="1"/>
</calcChain>
</file>

<file path=xl/comments1.xml><?xml version="1.0" encoding="utf-8"?>
<comments xmlns="http://schemas.openxmlformats.org/spreadsheetml/2006/main">
  <authors>
    <author>Ing. Miroslava Kynčlová</author>
    <author>Kynčlová</author>
    <author>Město Jilemnice</author>
  </authors>
  <commentList>
    <comment ref="E15" authorId="0">
      <text>
        <r>
          <rPr>
            <sz val="8"/>
            <color indexed="81"/>
            <rFont val="Tahoma"/>
            <family val="2"/>
            <charset val="238"/>
          </rPr>
          <t>3-trvalý pobyt
4-ověřování
6-změna jména
8-sňatky
9-video</t>
        </r>
      </text>
    </comment>
    <comment ref="E17" authorId="1">
      <text>
        <r>
          <rPr>
            <sz val="10"/>
            <color indexed="81"/>
            <rFont val="Tahoma"/>
            <family val="2"/>
            <charset val="238"/>
          </rPr>
          <t>10 rybářské lístky</t>
        </r>
        <r>
          <rPr>
            <sz val="10"/>
            <color indexed="81"/>
            <rFont val="Tahoma"/>
            <family val="2"/>
            <charset val="238"/>
          </rPr>
          <t xml:space="preserve">
23 životní prostředí </t>
        </r>
      </text>
    </comment>
    <comment ref="E22" authorId="0">
      <text>
        <r>
          <rPr>
            <sz val="8"/>
            <color indexed="81"/>
            <rFont val="Tahoma"/>
            <family val="2"/>
            <charset val="238"/>
          </rPr>
          <t xml:space="preserve">32-pasy
33-občanské průkazy
</t>
        </r>
      </text>
    </comment>
    <comment ref="F28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snížení sazby, nové osvobození ze zákona</t>
        </r>
      </text>
    </comment>
    <comment ref="F4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Valorizace?
</t>
        </r>
      </text>
    </comment>
    <comment ref="F4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výdaje energie 298</t>
        </r>
      </text>
    </comment>
    <comment ref="F4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saldo služeb -57 tis.</t>
        </r>
      </text>
    </comment>
    <comment ref="F50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36 - org. 319 restaurace pod radnicí
91 - org. 21 (DC, KRNAP, Kiosek)</t>
        </r>
      </text>
    </comment>
    <comment ref="F5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již se nepronajímají stánky</t>
        </r>
      </text>
    </comment>
    <comment ref="F5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130 služby sňatky
70 ostatní</t>
        </r>
      </text>
    </comment>
    <comment ref="F56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231 MŠ
661 ZŠ I
657 SDJilm
462 ZŠ II
66 ZUŠ</t>
        </r>
      </text>
    </comment>
    <comment ref="F60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možno 1400+50
</t>
        </r>
      </text>
    </comment>
    <comment ref="E75" authorId="1">
      <text>
        <r>
          <rPr>
            <sz val="8"/>
            <color indexed="81"/>
            <rFont val="Tahoma"/>
            <family val="2"/>
            <charset val="238"/>
          </rPr>
          <t>33 občanské průkazy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14 přestupky
13 památky
</t>
        </r>
      </text>
    </comment>
    <comment ref="F10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500 přestupky
40 rušení TP</t>
        </r>
      </text>
    </comment>
    <comment ref="F105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90,- Kč na občana ORP Jilemnice mimo Paseky</t>
        </r>
      </text>
    </comment>
  </commentList>
</comments>
</file>

<file path=xl/comments2.xml><?xml version="1.0" encoding="utf-8"?>
<comments xmlns="http://schemas.openxmlformats.org/spreadsheetml/2006/main">
  <authors>
    <author>Město Jilemnice</author>
    <author>Notebook pracovní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636 mzdy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500 chodníky Za Lázněmi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2886 dotace VHS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7514 dotace VHS
1500 VO
600 ostatní projekce
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38"/>
          </rPr>
          <t>příslib dotace LK ve výši 120 tis. na rok 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kanalizace čp. 64, Sokolská , na Račanech a na Kozinci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4500 jižní pavilon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3200 1. etapa opravy střechy čp.101,103
100 ostatní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661 ZŠ I
462 ZŠ II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Město Jilemnice:
</t>
        </r>
        <r>
          <rPr>
            <sz val="9"/>
            <color indexed="81"/>
            <rFont val="Tahoma"/>
            <family val="2"/>
            <charset val="238"/>
          </rPr>
          <t>211 provoz
40 DHIM židle
80 služby akce knihovny
1404 mzdy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80 programové vybavení TRITIUS 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172 energie
73 služby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 OK Jilemmnice - MS O-B
45 Klub biatlonu - MS O-B
20 Klub biatlonu - ČP v biatlonu
50 SKI Jilemnická 50
30 SKI Hančův memoriál
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221 právnické služby
130 ocenění akcií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Město Jilemnice:
</t>
        </r>
        <r>
          <rPr>
            <sz val="9"/>
            <color indexed="81"/>
            <rFont val="Tahoma"/>
            <family val="2"/>
            <charset val="238"/>
          </rPr>
          <t>včetně výměny oken čp. 381/2 2200 tis. a čp. 41 2200 tis.
saldo 517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243 úroky
146 en. magagement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saldo 450
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 přístřešek na kontejnery</t>
        </r>
      </text>
    </comment>
    <comment ref="E7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450 střecha čp.70
200 komín čp. 70
20 ostatní
130 čp. 70 ostatní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315 mzdy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 org. 319 (restaurace pod radnicí)
91 org. 21 (DC, KRNAP, Kiosek)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2364 mzdy
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650 demolice
140 studie prostoru pod domkem</t>
        </r>
      </text>
    </comment>
    <comment ref="E9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mzdy 5447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2011 mzdy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150 nová vstupní brána do objektu</t>
        </r>
      </text>
    </comment>
  </commentList>
</comments>
</file>

<file path=xl/sharedStrings.xml><?xml version="1.0" encoding="utf-8"?>
<sst xmlns="http://schemas.openxmlformats.org/spreadsheetml/2006/main" count="576" uniqueCount="395">
  <si>
    <t xml:space="preserve">                                 </t>
  </si>
  <si>
    <t xml:space="preserve">                           </t>
  </si>
  <si>
    <t>Rozpočet</t>
  </si>
  <si>
    <t>%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</si>
  <si>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</si>
  <si>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</si>
  <si>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</si>
  <si>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</si>
  <si>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</si>
  <si>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</si>
  <si>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</si>
  <si>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</si>
  <si>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 Příjmy - výdaje</t>
  </si>
  <si>
    <t>pol.</t>
  </si>
  <si>
    <t>Třída 8 - financování</t>
  </si>
  <si>
    <t>Celkem financování</t>
  </si>
  <si>
    <t>poznámka</t>
  </si>
  <si>
    <t>polož.</t>
  </si>
  <si>
    <t>§</t>
  </si>
  <si>
    <t>org.</t>
  </si>
  <si>
    <t>název</t>
  </si>
  <si>
    <t>1a) BĚŽNÉ</t>
  </si>
  <si>
    <t>DAŇOVÉ  - TŘÍDA  1</t>
  </si>
  <si>
    <t>11-daně z příjmů, zisku a kap. výnosů</t>
  </si>
  <si>
    <t>z toho:</t>
  </si>
  <si>
    <t>13-poplatky a daně z vybraných činností</t>
  </si>
  <si>
    <t>Matriční poplatky</t>
  </si>
  <si>
    <t>Živnostenské listy</t>
  </si>
  <si>
    <t>15-majetkové daně</t>
  </si>
  <si>
    <t>bez</t>
  </si>
  <si>
    <t>Daňové příjmy celkem:</t>
  </si>
  <si>
    <t>NEDAŇOVÉ - TŘÍDA 2</t>
  </si>
  <si>
    <t>21-příjmy z vlastní činnosti</t>
  </si>
  <si>
    <t>Prodej zpravodaje</t>
  </si>
  <si>
    <t>Pohřebnictví</t>
  </si>
  <si>
    <t>Pečovatelská služba</t>
  </si>
  <si>
    <t>Příjmy z reklam ( zpravodaj, rozhlas)</t>
  </si>
  <si>
    <t>Nájemné:</t>
  </si>
  <si>
    <t>BH - Nájemné nebyt. prost.</t>
  </si>
  <si>
    <t>Nájemné Zásobování teplem s.r.o.</t>
  </si>
  <si>
    <t>Pokuty městská policie</t>
  </si>
  <si>
    <t>Nedaňové příjmy celkem:</t>
  </si>
  <si>
    <t>TŘÍDA  3</t>
  </si>
  <si>
    <t>31-příjmy z prodeje investičního majetku</t>
  </si>
  <si>
    <t>Kapitálové příjmy celkem:</t>
  </si>
  <si>
    <t xml:space="preserve">2)PŘIJATÉ DOTACE </t>
  </si>
  <si>
    <t>TŘÍDA  4</t>
  </si>
  <si>
    <t>2a) Běžné</t>
  </si>
  <si>
    <t>2b) Kapitálové</t>
  </si>
  <si>
    <t>Přijaté dotace celkem:</t>
  </si>
  <si>
    <t>Rekapitulace příjmů:</t>
  </si>
  <si>
    <t>Tř. 1 - Daňové příjmy</t>
  </si>
  <si>
    <t>Tř. 2. - Nedaňové příjmy</t>
  </si>
  <si>
    <t>Ze tř. 4 - Dotace běžné</t>
  </si>
  <si>
    <t>Vlastní příjmy celkem</t>
  </si>
  <si>
    <t>Tř. 3 - Kapitálové příjmy</t>
  </si>
  <si>
    <t>Ze tř. 4. - Dotace kapitálové</t>
  </si>
  <si>
    <t>Celkem příjmy</t>
  </si>
  <si>
    <t>sk</t>
  </si>
  <si>
    <t>Popis paragrafu</t>
  </si>
  <si>
    <t>běžné</t>
  </si>
  <si>
    <t>kap.</t>
  </si>
  <si>
    <t>celkem</t>
  </si>
  <si>
    <t>Zeměděl. a lesní hospodářství</t>
  </si>
  <si>
    <t>Morávková</t>
  </si>
  <si>
    <t>Faistauer</t>
  </si>
  <si>
    <t>Doprava,vodovody,kanalizace</t>
  </si>
  <si>
    <t>Kynčlová</t>
  </si>
  <si>
    <t>Kultura, církve a sdělovací  prostř.</t>
  </si>
  <si>
    <t>Vydávání zpravodaje</t>
  </si>
  <si>
    <t>Tělovýchova a zájmová činnost</t>
  </si>
  <si>
    <t>Bydlení, komunální služby a územní rozvoj</t>
  </si>
  <si>
    <t>Veřejné osvětlení- provoz ,opravy</t>
  </si>
  <si>
    <t>Sběr a svoz komun. odpadů</t>
  </si>
  <si>
    <t>Péče o vzhled obcí a veřejnou zeleň</t>
  </si>
  <si>
    <t>Sociální péče</t>
  </si>
  <si>
    <t xml:space="preserve">Obecní policie </t>
  </si>
  <si>
    <t>Státní správa, územní samospráva</t>
  </si>
  <si>
    <t>Místní zastupitelské orgány</t>
  </si>
  <si>
    <t>63,64</t>
  </si>
  <si>
    <t>Finanční operace, ostatní činnosti</t>
  </si>
  <si>
    <t>Daň z příjmu práv. osob za obce</t>
  </si>
  <si>
    <t>Celkem výdaje</t>
  </si>
  <si>
    <t>kontrola</t>
  </si>
  <si>
    <t>Příjmy z úroků a fin. majetku</t>
  </si>
  <si>
    <t>Výkup pozemků</t>
  </si>
  <si>
    <t>Příjem z veřejných WC</t>
  </si>
  <si>
    <t>Lesní hospodářství</t>
  </si>
  <si>
    <t>Opravy pronajímaných nebyt. prostor</t>
  </si>
  <si>
    <t>Projekty do 60000,-/ nad 60000</t>
  </si>
  <si>
    <t xml:space="preserve">Činnost místní správy </t>
  </si>
  <si>
    <t xml:space="preserve">SPOZ </t>
  </si>
  <si>
    <t>Popl. za komunální odpad</t>
  </si>
  <si>
    <t>Bezpečnost, požár. ochrana</t>
  </si>
  <si>
    <t>k sestavení rozpočtu</t>
  </si>
  <si>
    <t>Poplatek ze psů</t>
  </si>
  <si>
    <t>Popl. za užívání veřejného prostranství</t>
  </si>
  <si>
    <t>Popl. ze vstupného</t>
  </si>
  <si>
    <t>DPFO - závislá činnost</t>
  </si>
  <si>
    <t xml:space="preserve">DPH </t>
  </si>
  <si>
    <t>DPFO - srážková daň</t>
  </si>
  <si>
    <t>DP - právnických osob</t>
  </si>
  <si>
    <t>DP práv. osob za obce</t>
  </si>
  <si>
    <t>daň sdílená</t>
  </si>
  <si>
    <t>Zdravotnictví</t>
  </si>
  <si>
    <t>Životní prostředí</t>
  </si>
  <si>
    <t xml:space="preserve">Knihovna </t>
  </si>
  <si>
    <t>Šnorbert</t>
  </si>
  <si>
    <t xml:space="preserve">Dopravní obslužnost </t>
  </si>
  <si>
    <t>Kompenzace za tříděný odpad</t>
  </si>
  <si>
    <t>Provoz parkoviště , park. automaty</t>
  </si>
  <si>
    <t>DPFO-závisl. činnost 1,5% podíl</t>
  </si>
  <si>
    <t>Opravy, údržba komunikací</t>
  </si>
  <si>
    <t>Byty -  opravy z nájemného</t>
  </si>
  <si>
    <t>Byty - platby za služby</t>
  </si>
  <si>
    <t>Nebytové pr. - opravy</t>
  </si>
  <si>
    <t>Nebytové pr. - služby</t>
  </si>
  <si>
    <t>Zvelebilová</t>
  </si>
  <si>
    <t>Přebytek ( - ),   ztráta  (+)</t>
  </si>
  <si>
    <t>24- přijaté splátky půjček</t>
  </si>
  <si>
    <t>23-příjmy z prodeje majetku a ost.nedaňové příjmy</t>
  </si>
  <si>
    <t xml:space="preserve">22-přijaté sankční platby </t>
  </si>
  <si>
    <t>Pasy, obč. průkazy</t>
  </si>
  <si>
    <t xml:space="preserve">Pokuty dopravní </t>
  </si>
  <si>
    <t>Pokuty životní prostředí</t>
  </si>
  <si>
    <t>3,4,6,8,9</t>
  </si>
  <si>
    <t>Pokuty živnost.úřad</t>
  </si>
  <si>
    <t>Krizové řízení, ochrana obyvatelstva</t>
  </si>
  <si>
    <t>uz</t>
  </si>
  <si>
    <t>Zachov. a obn.kult. památek města</t>
  </si>
  <si>
    <t>Rezerva rozpočtová</t>
  </si>
  <si>
    <t>BH - Nájemné byt. prostory vč. penále</t>
  </si>
  <si>
    <t xml:space="preserve">Pečovatelská služba </t>
  </si>
  <si>
    <t>Příjmy - výdaje = - financování</t>
  </si>
  <si>
    <t>Příjmy z poskytování služeb a výrobků</t>
  </si>
  <si>
    <t>Správní poplatky</t>
  </si>
  <si>
    <t xml:space="preserve">Místní poplatky </t>
  </si>
  <si>
    <t>1b) KAPITÁLOVÉ -</t>
  </si>
  <si>
    <t>rozpočtu</t>
  </si>
  <si>
    <t>správce</t>
  </si>
  <si>
    <t>Provoz veř. WC</t>
  </si>
  <si>
    <t>daň vlastní</t>
  </si>
  <si>
    <t>operace</t>
  </si>
  <si>
    <t>Zelinka</t>
  </si>
  <si>
    <t>Augustin</t>
  </si>
  <si>
    <t>Cerman</t>
  </si>
  <si>
    <t>Platby do svazků obcí, sdružení</t>
  </si>
  <si>
    <t>příkazce</t>
  </si>
  <si>
    <t>Pokuty stavební úřad</t>
  </si>
  <si>
    <t>Stavební poplatky</t>
  </si>
  <si>
    <t>Propagace města, výročí, zahr.spolupráce</t>
  </si>
  <si>
    <t>Životní prostředí poplatky</t>
  </si>
  <si>
    <t>Zvl. užívání místních komun.</t>
  </si>
  <si>
    <t>Dopravní poplatky</t>
  </si>
  <si>
    <t>Areál služeb</t>
  </si>
  <si>
    <t>Městská knihovna</t>
  </si>
  <si>
    <t>Parkovné</t>
  </si>
  <si>
    <t>Nájemné z ost. nemovitostí</t>
  </si>
  <si>
    <t>Daň z nemovitostí</t>
  </si>
  <si>
    <t>BH - služby byt. prostory</t>
  </si>
  <si>
    <t>BH - služby nebyt. prostory</t>
  </si>
  <si>
    <t>Kopírování, ost příjmy správy</t>
  </si>
  <si>
    <t>Příjmy z úroků - akce Roztocká</t>
  </si>
  <si>
    <t>Prodej pozemků</t>
  </si>
  <si>
    <t>Prodej nemovitostí - bytů,domů</t>
  </si>
  <si>
    <t>Inv. příspěvky 32b.j.</t>
  </si>
  <si>
    <t xml:space="preserve">Souhrnná neinvestiční dotace </t>
  </si>
  <si>
    <t>dle rozpisu položek v tabulce správa</t>
  </si>
  <si>
    <t>3769,6171</t>
  </si>
  <si>
    <t>Veřejnopr. smlouvy policie</t>
  </si>
  <si>
    <t xml:space="preserve">Komunální služby </t>
  </si>
  <si>
    <t>Nájemné z pozemků</t>
  </si>
  <si>
    <t xml:space="preserve">Areál služeb </t>
  </si>
  <si>
    <t>Pěstební činnost v lesnictví</t>
  </si>
  <si>
    <t xml:space="preserve">Požární ochrana </t>
  </si>
  <si>
    <t>Pojistění majetku města</t>
  </si>
  <si>
    <t>stejná v příjmech</t>
  </si>
  <si>
    <t>Zkoušky OZ řidičské průkazy</t>
  </si>
  <si>
    <t>DPFO - přiznání - sdílená část</t>
  </si>
  <si>
    <r>
      <t>F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ri</t>
    </r>
  </si>
  <si>
    <r>
      <t>M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llerová</t>
    </r>
  </si>
  <si>
    <t>Műllerová</t>
  </si>
  <si>
    <t>Opravy budov škol</t>
  </si>
  <si>
    <t>Výdaje,daň za prodej majetku</t>
  </si>
  <si>
    <t>Mečíř</t>
  </si>
  <si>
    <t>Bedrníková</t>
  </si>
  <si>
    <t>Územní plánování</t>
  </si>
  <si>
    <t xml:space="preserve">Ost. sociální péče </t>
  </si>
  <si>
    <t>MŠ Jilemnice - příspěvek na provoz</t>
  </si>
  <si>
    <t>ZŠ Komenského- příspěvek na provoz</t>
  </si>
  <si>
    <t>ZŠ Harracha- příspěvek na provoz</t>
  </si>
  <si>
    <t>Czech Point poplatky</t>
  </si>
  <si>
    <t>Příjmy z věcných břemen pozemků</t>
  </si>
  <si>
    <t>Obnova a zachování kult. hodnot</t>
  </si>
  <si>
    <t>Opravy budov MÚ</t>
  </si>
  <si>
    <t>Právní zastoupení města</t>
  </si>
  <si>
    <t>Péče o stromovou zeleň</t>
  </si>
  <si>
    <t>Dětské centrum příspěvek na provoz</t>
  </si>
  <si>
    <t>Platba DPH za ekonomické činnosti</t>
  </si>
  <si>
    <t>Pokuty správní odbor, přestupky</t>
  </si>
  <si>
    <t>Odvody příspěvkových organizací</t>
  </si>
  <si>
    <t>Příspěvek na odpisy svěř. majetku MŠ</t>
  </si>
  <si>
    <t>Příspěvek na odpisy svěř. majetku ZŠ</t>
  </si>
  <si>
    <t>Příspěvek na odpisy svěř. majetku ZUŠ</t>
  </si>
  <si>
    <t>Příspěvek na odpisy svěř. majetku SDJ</t>
  </si>
  <si>
    <t>312,orj.10</t>
  </si>
  <si>
    <t>103, orj1,2,3,4,1111</t>
  </si>
  <si>
    <t>Stavebnictví, cestovní ruch, služby</t>
  </si>
  <si>
    <t>Územní rozvoj ( Zdravá města)</t>
  </si>
  <si>
    <t>Veřejnopr. smlouvy správní odbor</t>
  </si>
  <si>
    <t>SD Jilm - příspěvek na provoz</t>
  </si>
  <si>
    <t>Příspěvek na činnost Krkonošského muzea</t>
  </si>
  <si>
    <t xml:space="preserve">poznámka k rozpočtu </t>
  </si>
  <si>
    <t>Provoz informačního centra pro mládež</t>
  </si>
  <si>
    <t xml:space="preserve">Odvody z vybraných činností </t>
  </si>
  <si>
    <t>Příjmy za služby pronajímaných prostor</t>
  </si>
  <si>
    <t>Služby pronajímaných prostor</t>
  </si>
  <si>
    <t>Nájemné restaurace pod radnicí</t>
  </si>
  <si>
    <t>Opravy restaurace pod radnicí</t>
  </si>
  <si>
    <t>560Kč/os/rok</t>
  </si>
  <si>
    <t>Stravovadlo - Scolarest, ZŠ</t>
  </si>
  <si>
    <t>Nájemné PO města</t>
  </si>
  <si>
    <t>Kozáková</t>
  </si>
  <si>
    <t>Nováková</t>
  </si>
  <si>
    <t>Informační systém</t>
  </si>
  <si>
    <t>3,14,26</t>
  </si>
  <si>
    <t>Příjmy z úroků ( vč. fondů)</t>
  </si>
  <si>
    <t>Kompostárna - provoz (příspěvek svazku)</t>
  </si>
  <si>
    <t>Zámecký park - podium, cesty</t>
  </si>
  <si>
    <t>Jandurová</t>
  </si>
  <si>
    <t xml:space="preserve">akce města u SPOZ </t>
  </si>
  <si>
    <t>Steinerová</t>
  </si>
  <si>
    <t>13011</t>
  </si>
  <si>
    <t>3349</t>
  </si>
  <si>
    <t>Kursové rozdíly</t>
  </si>
  <si>
    <t>z toho 100 tis. nadále propagace</t>
  </si>
  <si>
    <t>vč. akcí města</t>
  </si>
  <si>
    <t>Vinklář</t>
  </si>
  <si>
    <t>Vávrová</t>
  </si>
  <si>
    <t>700,701,702</t>
  </si>
  <si>
    <t>Ulice Žižkova - rekonstrukce</t>
  </si>
  <si>
    <t>příspěvek spolku</t>
  </si>
  <si>
    <t>Dotace na výkon st. správy -  soc. práci</t>
  </si>
  <si>
    <t>Vébrová</t>
  </si>
  <si>
    <t>RM,ZM</t>
  </si>
  <si>
    <t>Vohnická</t>
  </si>
  <si>
    <t>saldo 0</t>
  </si>
  <si>
    <t>700-702</t>
  </si>
  <si>
    <t>Cyklostezka "Za prací" - projekce</t>
  </si>
  <si>
    <t>dle spl. kalendáře</t>
  </si>
  <si>
    <t>Fűri</t>
  </si>
  <si>
    <t>org</t>
  </si>
  <si>
    <t xml:space="preserve">Dotace LK na pečovatelskou službu </t>
  </si>
  <si>
    <t xml:space="preserve">Pokuty ostatní </t>
  </si>
  <si>
    <t>MMN,a.s. - příplatek mimo zákl. kapitál</t>
  </si>
  <si>
    <t>Langová</t>
  </si>
  <si>
    <t>přesun již  z roku 2015</t>
  </si>
  <si>
    <t>VHS - příspěvky (úroky k úvěru Čistá Jizera)</t>
  </si>
  <si>
    <t>Šolcová</t>
  </si>
  <si>
    <t>Chodník ul. Roztocká - projekce</t>
  </si>
  <si>
    <t>Popl. z ubytovacích kapacit a rekreační pobyt</t>
  </si>
  <si>
    <t>Bulušek</t>
  </si>
  <si>
    <t>Finanční vypořádání z minulých let</t>
  </si>
  <si>
    <t>Dotace na výkon st. správy - soc. právní ochranu dětí</t>
  </si>
  <si>
    <t>Dotace MK ČR na obnovu památek</t>
  </si>
  <si>
    <t>Provoz čp. 259 (staré gymnázium)</t>
  </si>
  <si>
    <t>Prodej pozemků Nouzov</t>
  </si>
  <si>
    <t>Nájemné ZŠ Libereckého kraje</t>
  </si>
  <si>
    <t>Služby ZŠ Libereckého kraje</t>
  </si>
  <si>
    <t>Nájemné budovy čp. 259</t>
  </si>
  <si>
    <t>Služby nájemníků čp. 259</t>
  </si>
  <si>
    <r>
      <t>M</t>
    </r>
    <r>
      <rPr>
        <sz val="9"/>
        <rFont val="Times New Roman"/>
        <family val="1"/>
        <charset val="238"/>
      </rPr>
      <t>ű</t>
    </r>
    <r>
      <rPr>
        <sz val="9"/>
        <rFont val="Arial CE"/>
        <family val="2"/>
        <charset val="238"/>
      </rPr>
      <t>llerová</t>
    </r>
  </si>
  <si>
    <t>Obnova starého hřbitova</t>
  </si>
  <si>
    <t>z toho 300 dotace na soc. služby</t>
  </si>
  <si>
    <t>ZUŠ - příspěvek na provoz, čp. 85</t>
  </si>
  <si>
    <t>Projekt EPC</t>
  </si>
  <si>
    <t>dle splátkového kalendáře do r. 2026</t>
  </si>
  <si>
    <t>Sportovní centrum Jilemnice, s.r.o</t>
  </si>
  <si>
    <t>ZŠ Harracha - projekt IROP</t>
  </si>
  <si>
    <t>vyrovnávací platba</t>
  </si>
  <si>
    <t>Nonnerová</t>
  </si>
  <si>
    <t>Lambertová</t>
  </si>
  <si>
    <t>Areál Hraběnka - provoz</t>
  </si>
  <si>
    <t xml:space="preserve">SC,s.r.o -obnova a investice sportovních zařízení </t>
  </si>
  <si>
    <t>Dotace pro SDJilm - projekt Alternativa bez hranic</t>
  </si>
  <si>
    <t>Daň z hazardních her</t>
  </si>
  <si>
    <t>Splátky úvěrů, dl. závazků</t>
  </si>
  <si>
    <t>13015</t>
  </si>
  <si>
    <t>Služby Hraběnka</t>
  </si>
  <si>
    <t>Grantový program Sport</t>
  </si>
  <si>
    <t>Sociální byty (čp. 70)</t>
  </si>
  <si>
    <t>Plán rozvoje sportu - dotace na akce</t>
  </si>
  <si>
    <t>Přijatá náhrada za neplnění úspor z projektu EPC</t>
  </si>
  <si>
    <t>Rekonstrukce MŠ Zámecká</t>
  </si>
  <si>
    <t>příplatek mimo základní kapitál - částečný přesun</t>
  </si>
  <si>
    <t>Richter</t>
  </si>
  <si>
    <t>Hegrová</t>
  </si>
  <si>
    <t>Příprava území k bytové výstavbě - Nouzov</t>
  </si>
  <si>
    <t>Grantový program Zdravé město</t>
  </si>
  <si>
    <t>50 SKI - úprava tratí</t>
  </si>
  <si>
    <t>Individuální dotace kultura a ost.</t>
  </si>
  <si>
    <t>Individuální dotace tělových. a záj. činnost</t>
  </si>
  <si>
    <t>R 2020</t>
  </si>
  <si>
    <t>Vratka dotace od DC - vypořádání za rok 2018</t>
  </si>
  <si>
    <t>Příjmy z úroků -z poskytn. půjček, dividend</t>
  </si>
  <si>
    <t>Rozpočet 2020</t>
  </si>
  <si>
    <t xml:space="preserve">Přijetí  úvěru </t>
  </si>
  <si>
    <t>301, orj. 11</t>
  </si>
  <si>
    <t>výsadba stromu na nám (200)</t>
  </si>
  <si>
    <t>Financování soc. služeb v ORP Jilemnice</t>
  </si>
  <si>
    <t>Projekt "MAS Sociání práce v Jilemnici"</t>
  </si>
  <si>
    <t>Veřejnopr. smlouvy soc. služby ORP Jilemnice</t>
  </si>
  <si>
    <t>792 příplatek MZK</t>
  </si>
  <si>
    <t>Veřejnopr. smlouvy pečovatelská služba ORP Jilemnice</t>
  </si>
  <si>
    <t>stejné v příjmech</t>
  </si>
  <si>
    <t>Projekt 4 byty, dotace v r. 2021</t>
  </si>
  <si>
    <t>Popl. z pobytu</t>
  </si>
  <si>
    <t>nový popl. ze zákona</t>
  </si>
  <si>
    <t>zrušen, platba za 4. Q. 2019</t>
  </si>
  <si>
    <t xml:space="preserve">Dotace na projekt Rekonstrukce čp.64 - rozvoj soc. služeb </t>
  </si>
  <si>
    <t>50 přesun z r. 2019 - přístřešek</t>
  </si>
  <si>
    <t>saldo - 248</t>
  </si>
  <si>
    <t xml:space="preserve">nový projekt </t>
  </si>
  <si>
    <t>Dotace na projekt "MAS Sociání práce v Jilemnici"</t>
  </si>
  <si>
    <t>včetně ověřování</t>
  </si>
  <si>
    <t>Dotace LK pro zdravá města</t>
  </si>
  <si>
    <t>včetně projektu poradna zdraví</t>
  </si>
  <si>
    <t>Most U Jarmary, v ul. J. Weisse</t>
  </si>
  <si>
    <t>Obnova retenční nádrže nad školou</t>
  </si>
  <si>
    <t>Spořilov - komunikace a kanalizace</t>
  </si>
  <si>
    <t>doplatek</t>
  </si>
  <si>
    <t>nový grantový program</t>
  </si>
  <si>
    <t>smlouva na 3 roky do r. 2023</t>
  </si>
  <si>
    <t>Grant. program ORP, saldo 485</t>
  </si>
  <si>
    <t>z toho 296 dotace na sportoviště</t>
  </si>
  <si>
    <t xml:space="preserve">saldo 450 </t>
  </si>
  <si>
    <t>40 dotace Svazku na podvečery</t>
  </si>
  <si>
    <t>dokončení akce</t>
  </si>
  <si>
    <t>ostatní z GP soc. služeb</t>
  </si>
  <si>
    <t>Dotace na projekt Rekonstrukce čp.64 - rozvoj soc. služeb - neinv. část</t>
  </si>
  <si>
    <t>na projekt z roku 2019</t>
  </si>
  <si>
    <t>Zůstatek z depozitního účtu z r. 2018</t>
  </si>
  <si>
    <t>Dotace LK na projekt "Cykostezka za prací"</t>
  </si>
  <si>
    <t>Charitní taxi</t>
  </si>
  <si>
    <t>Příjmy místního hospodářství a pož. ochrany</t>
  </si>
  <si>
    <t>včetně pouti a SC</t>
  </si>
  <si>
    <t>vratka projektu "Podpora soc. práce"</t>
  </si>
  <si>
    <t>Seifertová</t>
  </si>
  <si>
    <t>Projekt OPŽP - hl. část v roce 2021</t>
  </si>
  <si>
    <t xml:space="preserve">doplatek </t>
  </si>
  <si>
    <t>Nouzov komunikace - rekonstrukce</t>
  </si>
  <si>
    <t>Udržitelná mobilita - projekt</t>
  </si>
  <si>
    <t>ZŠ při dětském centru - přístavba</t>
  </si>
  <si>
    <t>projektové práce</t>
  </si>
  <si>
    <t>900 modernizace zařízení</t>
  </si>
  <si>
    <t>vč. provozu zahr. domku</t>
  </si>
  <si>
    <t>úhrada ztráty za energie za rok 2019</t>
  </si>
  <si>
    <t>Smuteční síň - studie, projekt</t>
  </si>
  <si>
    <t>Příprava území k bytové výstavbě - Buben</t>
  </si>
  <si>
    <t>Legie přesun</t>
  </si>
  <si>
    <t>projekt 2020-2021</t>
  </si>
  <si>
    <t>přesun z min. let</t>
  </si>
  <si>
    <t>3200 střecha čp. 103,101</t>
  </si>
  <si>
    <t>z toho 142 dotace na sportoviště a 1550 hor. stěna</t>
  </si>
  <si>
    <t>Rejlová</t>
  </si>
  <si>
    <t>saldo 517</t>
  </si>
  <si>
    <t>indiv. dotace</t>
  </si>
  <si>
    <t>Otáhalová</t>
  </si>
  <si>
    <t>Šimková</t>
  </si>
  <si>
    <t>Příjmy:</t>
  </si>
  <si>
    <t>Výdaje:</t>
  </si>
  <si>
    <t>Sk:</t>
  </si>
  <si>
    <t>Vzdělávání</t>
  </si>
  <si>
    <t>Příjmy - výdaje:</t>
  </si>
  <si>
    <t>Závazné ukazatele rozpočtu na rok 2020 (tis. Kč)</t>
  </si>
  <si>
    <t>Zůstatek z roku 2019</t>
  </si>
  <si>
    <t>Financování (vyrovnání rozdílu příjmy - výdaje):</t>
  </si>
  <si>
    <t>Návrh rozpočtu na rok 2020 projednán a doporučen FV dne 10. 2. 2020</t>
  </si>
  <si>
    <t>Návrh rozpočtu na rok  2020 projednán a doporučen ve vedení města 30. 1. 2020.</t>
  </si>
  <si>
    <t>Třída 1 - Daňové příjmy (rámcový ukazatel)</t>
  </si>
  <si>
    <t>Třída 2 - Nedaňové příjmy (rámcový ukazatel)</t>
  </si>
  <si>
    <t>Třída 3 - Kapitálové příjmy (rámcový ukazatel)</t>
  </si>
  <si>
    <t>53-55</t>
  </si>
  <si>
    <t>Bezpečnost, požární  ochrana</t>
  </si>
  <si>
    <t>Splátky úvěrů, dlouhodobých závazků</t>
  </si>
  <si>
    <t>Zemědělství a lesní hospodářství</t>
  </si>
  <si>
    <t>Návrh rozpočtu na rok 2020 projednán a doporučen RM dne 12. 2. 2020 pod č. usn.: 6/20</t>
  </si>
  <si>
    <t>MĚSTO JILEMNICE -  Schválený rozpočet 2020 -  příjmy</t>
  </si>
  <si>
    <t>MĚSTO JILEMNICE -  Schválený rozpočet 2020 -  výdaje</t>
  </si>
  <si>
    <t>MĚSTO JILEMNICE -  Schválený rozpočet 2020 - sumář</t>
  </si>
  <si>
    <t>Rozpočet na rok 2020 schválen ZM dne 26. 2. 2020 pod č. usn. 4/20</t>
  </si>
  <si>
    <t>V Jilemnici 28. 2. 2020</t>
  </si>
  <si>
    <t>V elektronické podobě vyvěšeno od 28. 2. 2020</t>
  </si>
  <si>
    <t>Ing. Miroslava Kynčlová</t>
  </si>
  <si>
    <t>vedoucí finančního odboru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</si>
</sst>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0000"/>
    <numFmt numFmtId="166" formatCode="#,##0.000000"/>
    <numFmt numFmtId="167" formatCode="#,##0.00000"/>
    <numFmt numFmtId="168" formatCode="#,##0.000"/>
    <numFmt numFmtId="169" formatCode="d/m/yy;@"/>
    <numFmt numFmtId="170" formatCode="#,##0.000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indexed="81"/>
      <name val="Tahoma"/>
      <family val="2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3" fontId="5" fillId="0" borderId="7" xfId="0" applyNumberFormat="1" applyFont="1" applyBorder="1"/>
    <xf numFmtId="0" fontId="3" fillId="0" borderId="9" xfId="0" applyFont="1" applyBorder="1"/>
    <xf numFmtId="3" fontId="4" fillId="0" borderId="7" xfId="0" applyNumberFormat="1" applyFont="1" applyBorder="1"/>
    <xf numFmtId="0" fontId="3" fillId="0" borderId="0" xfId="0" applyFont="1" applyBorder="1"/>
    <xf numFmtId="3" fontId="5" fillId="0" borderId="10" xfId="0" applyNumberFormat="1" applyFont="1" applyFill="1" applyBorder="1" applyAlignment="1" applyProtection="1"/>
    <xf numFmtId="3" fontId="5" fillId="0" borderId="7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164" fontId="5" fillId="0" borderId="0" xfId="0" applyNumberFormat="1" applyFont="1"/>
    <xf numFmtId="0" fontId="5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164" fontId="10" fillId="0" borderId="10" xfId="0" applyNumberFormat="1" applyFont="1" applyFill="1" applyBorder="1" applyAlignment="1" applyProtection="1">
      <alignment horizontal="right"/>
    </xf>
    <xf numFmtId="0" fontId="5" fillId="0" borderId="13" xfId="0" applyNumberFormat="1" applyFont="1" applyFill="1" applyBorder="1" applyAlignment="1" applyProtection="1"/>
    <xf numFmtId="0" fontId="11" fillId="3" borderId="16" xfId="0" applyNumberFormat="1" applyFont="1" applyFill="1" applyBorder="1" applyAlignment="1" applyProtection="1"/>
    <xf numFmtId="0" fontId="12" fillId="3" borderId="11" xfId="0" applyNumberFormat="1" applyFont="1" applyFill="1" applyBorder="1" applyAlignment="1" applyProtection="1"/>
    <xf numFmtId="0" fontId="12" fillId="3" borderId="13" xfId="0" applyNumberFormat="1" applyFont="1" applyFill="1" applyBorder="1" applyAlignment="1" applyProtection="1"/>
    <xf numFmtId="164" fontId="12" fillId="3" borderId="1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3" fontId="5" fillId="0" borderId="23" xfId="0" applyNumberFormat="1" applyFont="1" applyFill="1" applyBorder="1" applyAlignment="1" applyProtection="1"/>
    <xf numFmtId="3" fontId="5" fillId="0" borderId="13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4" fontId="5" fillId="0" borderId="0" xfId="0" applyNumberFormat="1" applyFont="1"/>
    <xf numFmtId="0" fontId="4" fillId="0" borderId="2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3" fontId="9" fillId="0" borderId="14" xfId="0" applyNumberFormat="1" applyFont="1" applyFill="1" applyBorder="1" applyAlignment="1" applyProtection="1">
      <alignment horizontal="right"/>
    </xf>
    <xf numFmtId="3" fontId="10" fillId="2" borderId="10" xfId="0" applyNumberFormat="1" applyFont="1" applyFill="1" applyBorder="1" applyAlignment="1" applyProtection="1">
      <alignment horizontal="right"/>
    </xf>
    <xf numFmtId="0" fontId="15" fillId="0" borderId="8" xfId="0" applyFont="1" applyBorder="1"/>
    <xf numFmtId="3" fontId="9" fillId="2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3" fontId="5" fillId="0" borderId="25" xfId="0" applyNumberFormat="1" applyFont="1" applyBorder="1"/>
    <xf numFmtId="0" fontId="3" fillId="0" borderId="6" xfId="0" applyFont="1" applyBorder="1"/>
    <xf numFmtId="9" fontId="5" fillId="0" borderId="8" xfId="0" applyNumberFormat="1" applyFont="1" applyBorder="1"/>
    <xf numFmtId="9" fontId="4" fillId="0" borderId="8" xfId="0" applyNumberFormat="1" applyFont="1" applyBorder="1"/>
    <xf numFmtId="0" fontId="5" fillId="0" borderId="8" xfId="0" applyFont="1" applyBorder="1"/>
    <xf numFmtId="0" fontId="4" fillId="0" borderId="8" xfId="0" applyFont="1" applyBorder="1"/>
    <xf numFmtId="3" fontId="4" fillId="0" borderId="8" xfId="0" applyNumberFormat="1" applyFont="1" applyBorder="1"/>
    <xf numFmtId="0" fontId="5" fillId="0" borderId="6" xfId="0" applyFont="1" applyBorder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/>
    <xf numFmtId="3" fontId="4" fillId="0" borderId="10" xfId="0" applyNumberFormat="1" applyFont="1" applyFill="1" applyBorder="1"/>
    <xf numFmtId="0" fontId="15" fillId="0" borderId="0" xfId="0" applyFont="1"/>
    <xf numFmtId="0" fontId="3" fillId="0" borderId="10" xfId="0" applyNumberFormat="1" applyFont="1" applyFill="1" applyBorder="1" applyAlignment="1" applyProtection="1"/>
    <xf numFmtId="0" fontId="15" fillId="0" borderId="10" xfId="0" applyFont="1" applyBorder="1"/>
    <xf numFmtId="0" fontId="5" fillId="0" borderId="0" xfId="0" applyFont="1" applyFill="1"/>
    <xf numFmtId="0" fontId="4" fillId="0" borderId="19" xfId="0" applyNumberFormat="1" applyFont="1" applyFill="1" applyBorder="1" applyAlignment="1" applyProtection="1"/>
    <xf numFmtId="0" fontId="5" fillId="0" borderId="26" xfId="0" applyNumberFormat="1" applyFont="1" applyFill="1" applyBorder="1" applyAlignment="1" applyProtection="1"/>
    <xf numFmtId="0" fontId="15" fillId="0" borderId="9" xfId="0" applyFont="1" applyBorder="1"/>
    <xf numFmtId="164" fontId="15" fillId="0" borderId="0" xfId="0" applyNumberFormat="1" applyFont="1"/>
    <xf numFmtId="0" fontId="4" fillId="2" borderId="10" xfId="0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0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right"/>
    </xf>
    <xf numFmtId="3" fontId="15" fillId="0" borderId="0" xfId="0" applyNumberFormat="1" applyFont="1"/>
    <xf numFmtId="0" fontId="5" fillId="0" borderId="10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/>
    <xf numFmtId="0" fontId="15" fillId="0" borderId="0" xfId="0" applyFont="1" applyFill="1"/>
    <xf numFmtId="0" fontId="5" fillId="0" borderId="14" xfId="0" applyNumberFormat="1" applyFont="1" applyFill="1" applyBorder="1" applyAlignment="1" applyProtection="1"/>
    <xf numFmtId="0" fontId="15" fillId="0" borderId="14" xfId="0" applyNumberFormat="1" applyFont="1" applyFill="1" applyBorder="1" applyAlignment="1" applyProtection="1"/>
    <xf numFmtId="0" fontId="15" fillId="2" borderId="10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>
      <alignment horizontal="right"/>
    </xf>
    <xf numFmtId="0" fontId="3" fillId="0" borderId="9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" fontId="15" fillId="0" borderId="0" xfId="0" applyNumberFormat="1" applyFont="1"/>
    <xf numFmtId="0" fontId="5" fillId="0" borderId="7" xfId="0" applyNumberFormat="1" applyFont="1" applyFill="1" applyBorder="1" applyAlignment="1" applyProtection="1">
      <alignment horizontal="right"/>
    </xf>
    <xf numFmtId="3" fontId="9" fillId="3" borderId="13" xfId="0" applyNumberFormat="1" applyFont="1" applyFill="1" applyBorder="1" applyAlignment="1" applyProtection="1">
      <alignment horizontal="right"/>
    </xf>
    <xf numFmtId="0" fontId="15" fillId="0" borderId="4" xfId="0" applyFont="1" applyBorder="1"/>
    <xf numFmtId="0" fontId="15" fillId="0" borderId="0" xfId="0" applyFont="1" applyBorder="1"/>
    <xf numFmtId="0" fontId="4" fillId="0" borderId="27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15" fillId="0" borderId="9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15" fillId="0" borderId="22" xfId="0" applyNumberFormat="1" applyFont="1" applyFill="1" applyBorder="1" applyAlignment="1" applyProtection="1"/>
    <xf numFmtId="0" fontId="5" fillId="0" borderId="28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3" fontId="15" fillId="0" borderId="0" xfId="0" applyNumberFormat="1" applyFont="1" applyFill="1"/>
    <xf numFmtId="3" fontId="10" fillId="0" borderId="15" xfId="0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30" xfId="0" applyNumberFormat="1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/>
    <xf numFmtId="3" fontId="6" fillId="0" borderId="9" xfId="0" applyNumberFormat="1" applyFont="1" applyFill="1" applyBorder="1" applyAlignment="1" applyProtection="1"/>
    <xf numFmtId="0" fontId="5" fillId="0" borderId="32" xfId="0" applyNumberFormat="1" applyFont="1" applyFill="1" applyBorder="1" applyAlignment="1" applyProtection="1"/>
    <xf numFmtId="0" fontId="3" fillId="0" borderId="31" xfId="0" applyFont="1" applyBorder="1"/>
    <xf numFmtId="0" fontId="3" fillId="0" borderId="33" xfId="0" applyFont="1" applyBorder="1"/>
    <xf numFmtId="0" fontId="15" fillId="0" borderId="34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right"/>
    </xf>
    <xf numFmtId="49" fontId="15" fillId="0" borderId="34" xfId="0" applyNumberFormat="1" applyFont="1" applyBorder="1" applyAlignment="1">
      <alignment horizontal="right"/>
    </xf>
    <xf numFmtId="0" fontId="15" fillId="0" borderId="33" xfId="0" applyFont="1" applyBorder="1"/>
    <xf numFmtId="0" fontId="5" fillId="0" borderId="0" xfId="0" applyFont="1" applyFill="1" applyAlignment="1"/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49" fontId="15" fillId="0" borderId="1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right"/>
    </xf>
    <xf numFmtId="164" fontId="15" fillId="0" borderId="10" xfId="0" applyNumberFormat="1" applyFont="1" applyBorder="1" applyAlignment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right"/>
    </xf>
    <xf numFmtId="165" fontId="10" fillId="0" borderId="10" xfId="0" applyNumberFormat="1" applyFont="1" applyFill="1" applyBorder="1" applyAlignment="1" applyProtection="1">
      <alignment horizontal="right"/>
    </xf>
    <xf numFmtId="9" fontId="5" fillId="0" borderId="10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7" fontId="5" fillId="0" borderId="14" xfId="0" applyNumberFormat="1" applyFont="1" applyFill="1" applyBorder="1" applyAlignment="1" applyProtection="1">
      <alignment horizontal="right"/>
    </xf>
    <xf numFmtId="0" fontId="5" fillId="2" borderId="10" xfId="0" applyNumberFormat="1" applyFont="1" applyFill="1" applyBorder="1" applyAlignment="1" applyProtection="1">
      <alignment horizontal="right"/>
    </xf>
    <xf numFmtId="3" fontId="4" fillId="0" borderId="10" xfId="0" applyNumberFormat="1" applyFont="1" applyFill="1" applyBorder="1" applyAlignment="1" applyProtection="1">
      <alignment horizontal="right"/>
    </xf>
    <xf numFmtId="4" fontId="10" fillId="3" borderId="24" xfId="0" applyNumberFormat="1" applyFont="1" applyFill="1" applyBorder="1" applyAlignment="1" applyProtection="1">
      <alignment horizontal="right"/>
    </xf>
    <xf numFmtId="0" fontId="15" fillId="0" borderId="29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167" fontId="15" fillId="0" borderId="15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49" fontId="5" fillId="0" borderId="10" xfId="0" applyNumberFormat="1" applyFont="1" applyFill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0" fontId="15" fillId="0" borderId="30" xfId="0" applyFont="1" applyBorder="1"/>
    <xf numFmtId="3" fontId="5" fillId="5" borderId="8" xfId="0" applyNumberFormat="1" applyFont="1" applyFill="1" applyBorder="1" applyAlignment="1" applyProtection="1"/>
    <xf numFmtId="3" fontId="5" fillId="4" borderId="8" xfId="0" applyNumberFormat="1" applyFont="1" applyFill="1" applyBorder="1" applyAlignment="1" applyProtection="1"/>
    <xf numFmtId="3" fontId="5" fillId="2" borderId="8" xfId="0" applyNumberFormat="1" applyFont="1" applyFill="1" applyBorder="1" applyAlignment="1" applyProtection="1"/>
    <xf numFmtId="3" fontId="5" fillId="4" borderId="23" xfId="0" applyNumberFormat="1" applyFont="1" applyFill="1" applyBorder="1" applyAlignment="1" applyProtection="1"/>
    <xf numFmtId="3" fontId="5" fillId="5" borderId="23" xfId="0" applyNumberFormat="1" applyFont="1" applyFill="1" applyBorder="1" applyAlignment="1" applyProtection="1"/>
    <xf numFmtId="0" fontId="5" fillId="7" borderId="8" xfId="0" applyNumberFormat="1" applyFont="1" applyFill="1" applyBorder="1" applyAlignment="1" applyProtection="1"/>
    <xf numFmtId="0" fontId="15" fillId="0" borderId="21" xfId="0" applyFont="1" applyBorder="1"/>
    <xf numFmtId="0" fontId="5" fillId="6" borderId="8" xfId="0" applyFont="1" applyFill="1" applyBorder="1"/>
    <xf numFmtId="3" fontId="5" fillId="8" borderId="8" xfId="0" applyNumberFormat="1" applyFont="1" applyFill="1" applyBorder="1" applyAlignment="1" applyProtection="1"/>
    <xf numFmtId="3" fontId="5" fillId="6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/>
    <xf numFmtId="3" fontId="5" fillId="4" borderId="22" xfId="0" applyNumberFormat="1" applyFont="1" applyFill="1" applyBorder="1" applyAlignment="1" applyProtection="1"/>
    <xf numFmtId="0" fontId="5" fillId="5" borderId="9" xfId="0" applyNumberFormat="1" applyFont="1" applyFill="1" applyBorder="1" applyAlignment="1" applyProtection="1"/>
    <xf numFmtId="3" fontId="5" fillId="4" borderId="9" xfId="0" applyNumberFormat="1" applyFont="1" applyFill="1" applyBorder="1" applyAlignment="1" applyProtection="1"/>
    <xf numFmtId="3" fontId="5" fillId="0" borderId="20" xfId="0" applyNumberFormat="1" applyFont="1" applyFill="1" applyBorder="1" applyAlignment="1" applyProtection="1"/>
    <xf numFmtId="0" fontId="5" fillId="4" borderId="9" xfId="0" applyNumberFormat="1" applyFont="1" applyFill="1" applyBorder="1" applyAlignment="1" applyProtection="1"/>
    <xf numFmtId="3" fontId="5" fillId="8" borderId="9" xfId="0" applyNumberFormat="1" applyFont="1" applyFill="1" applyBorder="1" applyAlignment="1" applyProtection="1"/>
    <xf numFmtId="0" fontId="5" fillId="3" borderId="9" xfId="0" applyFont="1" applyFill="1" applyBorder="1"/>
    <xf numFmtId="3" fontId="5" fillId="7" borderId="9" xfId="0" applyNumberFormat="1" applyFont="1" applyFill="1" applyBorder="1" applyAlignment="1" applyProtection="1"/>
    <xf numFmtId="3" fontId="5" fillId="9" borderId="9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0" fontId="5" fillId="5" borderId="22" xfId="0" applyNumberFormat="1" applyFont="1" applyFill="1" applyBorder="1" applyAlignment="1" applyProtection="1"/>
    <xf numFmtId="164" fontId="15" fillId="0" borderId="0" xfId="0" applyNumberFormat="1" applyFont="1" applyFill="1"/>
    <xf numFmtId="0" fontId="15" fillId="0" borderId="0" xfId="0" applyFont="1" applyFill="1" applyBorder="1"/>
    <xf numFmtId="3" fontId="17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Alignment="1">
      <alignment horizontal="right"/>
    </xf>
    <xf numFmtId="0" fontId="5" fillId="0" borderId="15" xfId="0" applyFont="1" applyFill="1" applyBorder="1" applyAlignment="1">
      <alignment horizontal="right"/>
    </xf>
    <xf numFmtId="3" fontId="5" fillId="0" borderId="10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/>
    <xf numFmtId="168" fontId="6" fillId="0" borderId="0" xfId="0" applyNumberFormat="1" applyFont="1" applyFill="1"/>
    <xf numFmtId="3" fontId="5" fillId="0" borderId="15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right"/>
    </xf>
    <xf numFmtId="0" fontId="6" fillId="0" borderId="32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left"/>
    </xf>
    <xf numFmtId="9" fontId="4" fillId="0" borderId="4" xfId="2" applyFont="1" applyFill="1" applyBorder="1" applyAlignment="1" applyProtection="1">
      <alignment horizontal="left"/>
    </xf>
    <xf numFmtId="1" fontId="15" fillId="0" borderId="10" xfId="0" applyNumberFormat="1" applyFont="1" applyFill="1" applyBorder="1" applyAlignment="1" applyProtection="1">
      <alignment horizontal="right"/>
    </xf>
    <xf numFmtId="169" fontId="4" fillId="0" borderId="5" xfId="0" applyNumberFormat="1" applyFont="1" applyFill="1" applyBorder="1" applyAlignment="1" applyProtection="1">
      <alignment horizontal="center"/>
    </xf>
    <xf numFmtId="3" fontId="17" fillId="0" borderId="10" xfId="0" applyNumberFormat="1" applyFont="1" applyFill="1" applyBorder="1" applyAlignment="1" applyProtection="1">
      <alignment horizontal="right"/>
    </xf>
    <xf numFmtId="0" fontId="5" fillId="2" borderId="8" xfId="0" applyNumberFormat="1" applyFont="1" applyFill="1" applyBorder="1" applyAlignment="1" applyProtection="1"/>
    <xf numFmtId="4" fontId="5" fillId="0" borderId="10" xfId="0" applyNumberFormat="1" applyFont="1" applyFill="1" applyBorder="1" applyAlignment="1" applyProtection="1">
      <alignment horizontal="right"/>
    </xf>
    <xf numFmtId="0" fontId="4" fillId="0" borderId="32" xfId="0" applyNumberFormat="1" applyFont="1" applyFill="1" applyBorder="1" applyAlignment="1" applyProtection="1"/>
    <xf numFmtId="3" fontId="17" fillId="9" borderId="8" xfId="0" applyNumberFormat="1" applyFont="1" applyFill="1" applyBorder="1" applyAlignment="1" applyProtection="1">
      <alignment horizontal="left"/>
    </xf>
    <xf numFmtId="3" fontId="6" fillId="9" borderId="9" xfId="0" applyNumberFormat="1" applyFont="1" applyFill="1" applyBorder="1" applyAlignment="1" applyProtection="1"/>
    <xf numFmtId="0" fontId="5" fillId="0" borderId="32" xfId="0" applyFont="1" applyFill="1" applyBorder="1"/>
    <xf numFmtId="0" fontId="4" fillId="0" borderId="37" xfId="0" applyNumberFormat="1" applyFont="1" applyFill="1" applyBorder="1" applyAlignment="1" applyProtection="1">
      <alignment horizontal="center"/>
    </xf>
    <xf numFmtId="0" fontId="4" fillId="0" borderId="38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5" fillId="2" borderId="32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0" fontId="5" fillId="4" borderId="22" xfId="0" applyNumberFormat="1" applyFont="1" applyFill="1" applyBorder="1" applyAlignment="1" applyProtection="1"/>
    <xf numFmtId="3" fontId="5" fillId="2" borderId="23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>
      <alignment horizontal="center"/>
    </xf>
    <xf numFmtId="0" fontId="8" fillId="0" borderId="8" xfId="0" applyFont="1" applyBorder="1"/>
    <xf numFmtId="0" fontId="8" fillId="0" borderId="6" xfId="0" applyFont="1" applyBorder="1"/>
    <xf numFmtId="0" fontId="5" fillId="5" borderId="9" xfId="0" applyFont="1" applyFill="1" applyBorder="1"/>
    <xf numFmtId="0" fontId="5" fillId="5" borderId="22" xfId="0" applyFont="1" applyFill="1" applyBorder="1"/>
    <xf numFmtId="0" fontId="5" fillId="0" borderId="4" xfId="0" applyNumberFormat="1" applyFont="1" applyFill="1" applyBorder="1" applyAlignment="1" applyProtection="1"/>
    <xf numFmtId="0" fontId="5" fillId="0" borderId="10" xfId="0" applyFont="1" applyFill="1" applyBorder="1"/>
    <xf numFmtId="3" fontId="5" fillId="0" borderId="7" xfId="0" applyNumberFormat="1" applyFont="1" applyFill="1" applyBorder="1" applyAlignment="1" applyProtection="1">
      <alignment horizontal="right"/>
    </xf>
    <xf numFmtId="169" fontId="4" fillId="0" borderId="17" xfId="0" applyNumberFormat="1" applyFont="1" applyFill="1" applyBorder="1" applyAlignment="1" applyProtection="1">
      <alignment horizontal="center"/>
    </xf>
    <xf numFmtId="4" fontId="15" fillId="0" borderId="0" xfId="0" applyNumberFormat="1" applyFont="1" applyFill="1"/>
    <xf numFmtId="3" fontId="0" fillId="0" borderId="0" xfId="0" applyNumberFormat="1"/>
    <xf numFmtId="3" fontId="15" fillId="0" borderId="10" xfId="0" applyNumberFormat="1" applyFont="1" applyBorder="1" applyAlignment="1">
      <alignment horizontal="right"/>
    </xf>
    <xf numFmtId="3" fontId="6" fillId="0" borderId="8" xfId="0" applyNumberFormat="1" applyFont="1" applyFill="1" applyBorder="1" applyAlignment="1" applyProtection="1"/>
    <xf numFmtId="0" fontId="22" fillId="0" borderId="0" xfId="0" applyFont="1"/>
    <xf numFmtId="0" fontId="5" fillId="11" borderId="32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4" fontId="0" fillId="0" borderId="0" xfId="0" applyNumberFormat="1" applyFill="1" applyBorder="1" applyAlignment="1"/>
    <xf numFmtId="3" fontId="5" fillId="0" borderId="35" xfId="0" applyNumberFormat="1" applyFont="1" applyFill="1" applyBorder="1" applyAlignment="1" applyProtection="1"/>
    <xf numFmtId="4" fontId="5" fillId="0" borderId="0" xfId="0" applyNumberFormat="1" applyFont="1" applyFill="1"/>
    <xf numFmtId="0" fontId="5" fillId="0" borderId="14" xfId="0" applyNumberFormat="1" applyFont="1" applyFill="1" applyBorder="1" applyAlignment="1" applyProtection="1">
      <alignment horizontal="right"/>
    </xf>
    <xf numFmtId="4" fontId="15" fillId="0" borderId="0" xfId="0" applyNumberFormat="1" applyFont="1" applyFill="1" applyBorder="1"/>
    <xf numFmtId="167" fontId="1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19" xfId="0" applyNumberFormat="1" applyFont="1" applyFill="1" applyBorder="1" applyAlignment="1" applyProtection="1"/>
    <xf numFmtId="0" fontId="5" fillId="0" borderId="27" xfId="0" applyNumberFormat="1" applyFont="1" applyFill="1" applyBorder="1" applyAlignment="1" applyProtection="1"/>
    <xf numFmtId="4" fontId="4" fillId="0" borderId="36" xfId="0" applyNumberFormat="1" applyFont="1" applyFill="1" applyBorder="1" applyAlignment="1" applyProtection="1">
      <alignment horizontal="center"/>
    </xf>
    <xf numFmtId="3" fontId="5" fillId="4" borderId="15" xfId="0" applyNumberFormat="1" applyFont="1" applyFill="1" applyBorder="1" applyAlignment="1" applyProtection="1"/>
    <xf numFmtId="4" fontId="4" fillId="0" borderId="32" xfId="0" applyNumberFormat="1" applyFont="1" applyFill="1" applyBorder="1" applyAlignment="1" applyProtection="1">
      <alignment horizontal="center"/>
    </xf>
    <xf numFmtId="170" fontId="4" fillId="0" borderId="12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4" fontId="7" fillId="0" borderId="0" xfId="0" applyNumberFormat="1" applyFont="1" applyFill="1" applyBorder="1"/>
    <xf numFmtId="3" fontId="4" fillId="0" borderId="30" xfId="0" applyNumberFormat="1" applyFont="1" applyFill="1" applyBorder="1" applyAlignment="1" applyProtection="1">
      <alignment horizontal="center"/>
    </xf>
    <xf numFmtId="3" fontId="17" fillId="10" borderId="10" xfId="0" applyNumberFormat="1" applyFont="1" applyFill="1" applyBorder="1" applyAlignment="1" applyProtection="1">
      <alignment horizontal="right"/>
    </xf>
    <xf numFmtId="3" fontId="10" fillId="10" borderId="10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>
      <alignment horizontal="center"/>
    </xf>
    <xf numFmtId="3" fontId="5" fillId="12" borderId="9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15" fillId="0" borderId="0" xfId="0" applyFont="1"/>
    <xf numFmtId="0" fontId="3" fillId="0" borderId="0" xfId="0" applyFont="1" applyFill="1"/>
    <xf numFmtId="0" fontId="0" fillId="0" borderId="39" xfId="0" applyFill="1" applyBorder="1"/>
    <xf numFmtId="3" fontId="7" fillId="0" borderId="0" xfId="0" applyNumberFormat="1" applyFont="1"/>
    <xf numFmtId="0" fontId="7" fillId="0" borderId="0" xfId="0" applyFont="1"/>
    <xf numFmtId="0" fontId="0" fillId="0" borderId="39" xfId="0" applyBorder="1"/>
    <xf numFmtId="3" fontId="0" fillId="0" borderId="39" xfId="0" applyNumberFormat="1" applyBorder="1"/>
    <xf numFmtId="0" fontId="15" fillId="0" borderId="39" xfId="0" applyFont="1" applyBorder="1"/>
    <xf numFmtId="0" fontId="3" fillId="0" borderId="39" xfId="0" applyFont="1" applyBorder="1"/>
    <xf numFmtId="3" fontId="7" fillId="0" borderId="39" xfId="0" applyNumberFormat="1" applyFont="1" applyBorder="1"/>
    <xf numFmtId="0" fontId="0" fillId="0" borderId="39" xfId="0" applyNumberFormat="1" applyFont="1" applyFill="1" applyBorder="1" applyAlignment="1" applyProtection="1"/>
    <xf numFmtId="0" fontId="7" fillId="0" borderId="39" xfId="0" applyNumberFormat="1" applyFont="1" applyFill="1" applyBorder="1" applyAlignment="1" applyProtection="1"/>
    <xf numFmtId="3" fontId="0" fillId="0" borderId="39" xfId="0" applyNumberFormat="1" applyFont="1" applyBorder="1"/>
    <xf numFmtId="3" fontId="0" fillId="0" borderId="39" xfId="0" applyNumberFormat="1" applyFont="1" applyFill="1" applyBorder="1" applyAlignment="1" applyProtection="1"/>
    <xf numFmtId="0" fontId="7" fillId="0" borderId="39" xfId="0" applyFont="1" applyBorder="1"/>
    <xf numFmtId="0" fontId="0" fillId="0" borderId="39" xfId="0" applyFill="1" applyBorder="1" applyAlignment="1">
      <alignment horizontal="right"/>
    </xf>
    <xf numFmtId="0" fontId="22" fillId="0" borderId="9" xfId="0" applyNumberFormat="1" applyFont="1" applyFill="1" applyBorder="1" applyAlignment="1" applyProtection="1"/>
    <xf numFmtId="0" fontId="22" fillId="5" borderId="9" xfId="0" applyFont="1" applyFill="1" applyBorder="1"/>
    <xf numFmtId="3" fontId="22" fillId="5" borderId="8" xfId="0" applyNumberFormat="1" applyFont="1" applyFill="1" applyBorder="1" applyAlignment="1" applyProtection="1"/>
    <xf numFmtId="0" fontId="11" fillId="3" borderId="40" xfId="0" applyNumberFormat="1" applyFont="1" applyFill="1" applyBorder="1" applyAlignment="1" applyProtection="1"/>
    <xf numFmtId="3" fontId="9" fillId="3" borderId="14" xfId="0" applyNumberFormat="1" applyFont="1" applyFill="1" applyBorder="1" applyAlignment="1" applyProtection="1">
      <alignment horizontal="right"/>
    </xf>
    <xf numFmtId="164" fontId="12" fillId="3" borderId="14" xfId="0" applyNumberFormat="1" applyFont="1" applyFill="1" applyBorder="1" applyAlignment="1" applyProtection="1"/>
    <xf numFmtId="168" fontId="0" fillId="0" borderId="0" xfId="0" applyNumberFormat="1" applyFont="1" applyFill="1"/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64"/>
  <sheetViews>
    <sheetView tabSelected="1" zoomScaleNormal="100" workbookViewId="0">
      <selection activeCell="D39" sqref="D39"/>
    </sheetView>
  </sheetViews>
  <sheetFormatPr defaultColWidth="7.85546875" defaultRowHeight="12.75" x14ac:dyDescent="0.2"/>
  <cols>
    <col min="1" max="1" width="7.42578125" style="73" customWidth="1"/>
    <col min="2" max="2" width="22.85546875" style="73" customWidth="1"/>
    <col min="3" max="3" width="11.7109375" style="80" customWidth="1"/>
    <col min="4" max="4" width="10" style="73" customWidth="1"/>
    <col min="5" max="16384" width="7.85546875" style="73"/>
  </cols>
  <sheetData>
    <row r="1" spans="1:4" s="1" customFormat="1" ht="18" x14ac:dyDescent="0.25">
      <c r="B1" s="82" t="s">
        <v>389</v>
      </c>
      <c r="C1" s="2"/>
    </row>
    <row r="2" spans="1:4" s="1" customFormat="1" ht="15.75" x14ac:dyDescent="0.25">
      <c r="B2" s="253" t="s">
        <v>390</v>
      </c>
      <c r="C2" s="116"/>
    </row>
    <row r="3" spans="1:4" s="1" customFormat="1" ht="15.75" x14ac:dyDescent="0.25">
      <c r="B3" s="253" t="s">
        <v>386</v>
      </c>
      <c r="C3" s="116"/>
    </row>
    <row r="4" spans="1:4" s="1" customFormat="1" ht="15.75" x14ac:dyDescent="0.25">
      <c r="B4" s="253" t="s">
        <v>377</v>
      </c>
      <c r="C4" s="116"/>
    </row>
    <row r="5" spans="1:4" s="1" customFormat="1" ht="15.75" x14ac:dyDescent="0.25">
      <c r="B5" s="117" t="s">
        <v>378</v>
      </c>
      <c r="C5" s="116"/>
    </row>
    <row r="6" spans="1:4" s="1" customFormat="1" ht="15.75" x14ac:dyDescent="0.25">
      <c r="B6" s="117"/>
      <c r="C6" s="2"/>
    </row>
    <row r="7" spans="1:4" ht="13.5" thickBot="1" x14ac:dyDescent="0.25">
      <c r="B7" s="3" t="s">
        <v>133</v>
      </c>
    </row>
    <row r="8" spans="1:4" s="3" customFormat="1" x14ac:dyDescent="0.2">
      <c r="A8" s="125"/>
      <c r="B8" s="4"/>
      <c r="C8" s="5" t="s">
        <v>2</v>
      </c>
      <c r="D8" s="6" t="s">
        <v>3</v>
      </c>
    </row>
    <row r="9" spans="1:4" s="3" customFormat="1" ht="13.5" thickBot="1" x14ac:dyDescent="0.25">
      <c r="A9" s="126"/>
      <c r="B9" s="7"/>
      <c r="C9" s="8">
        <v>2020</v>
      </c>
      <c r="D9" s="63"/>
    </row>
    <row r="10" spans="1:4" x14ac:dyDescent="0.2">
      <c r="A10" s="127"/>
      <c r="B10" s="79" t="s">
        <v>4</v>
      </c>
      <c r="C10" s="9">
        <f>příjmy!F117</f>
        <v>102820</v>
      </c>
      <c r="D10" s="64">
        <f>C10/C14</f>
        <v>0.58267172155069336</v>
      </c>
    </row>
    <row r="11" spans="1:4" x14ac:dyDescent="0.2">
      <c r="A11" s="127"/>
      <c r="B11" s="79" t="s">
        <v>5</v>
      </c>
      <c r="C11" s="9">
        <f>příjmy!F118</f>
        <v>26505</v>
      </c>
      <c r="D11" s="64">
        <f>C11/C14</f>
        <v>0.1502014586627225</v>
      </c>
    </row>
    <row r="12" spans="1:4" x14ac:dyDescent="0.2">
      <c r="A12" s="127"/>
      <c r="B12" s="79" t="s">
        <v>6</v>
      </c>
      <c r="C12" s="9">
        <f>příjmy!F121</f>
        <v>7115</v>
      </c>
      <c r="D12" s="64">
        <f>C12/C14</f>
        <v>4.0320067096218472E-2</v>
      </c>
    </row>
    <row r="13" spans="1:4" x14ac:dyDescent="0.2">
      <c r="A13" s="127"/>
      <c r="B13" s="79" t="s">
        <v>7</v>
      </c>
      <c r="C13" s="9">
        <f>příjmy!F119+příjmy!F122</f>
        <v>40023</v>
      </c>
      <c r="D13" s="64">
        <f>C13/C14</f>
        <v>0.22680675269036568</v>
      </c>
    </row>
    <row r="14" spans="1:4" s="3" customFormat="1" x14ac:dyDescent="0.2">
      <c r="A14" s="128"/>
      <c r="B14" s="10" t="s">
        <v>8</v>
      </c>
      <c r="C14" s="11">
        <f>SUM(C10:C13)</f>
        <v>176463</v>
      </c>
      <c r="D14" s="65">
        <f>SUM(D10:D13)</f>
        <v>1</v>
      </c>
    </row>
    <row r="15" spans="1:4" x14ac:dyDescent="0.2">
      <c r="A15" s="127"/>
      <c r="B15" s="79" t="s">
        <v>9</v>
      </c>
      <c r="C15" s="9">
        <f>+výdaje!E113</f>
        <v>160389</v>
      </c>
      <c r="D15" s="64">
        <f>C15/C17</f>
        <v>0.71586253068511496</v>
      </c>
    </row>
    <row r="16" spans="1:4" x14ac:dyDescent="0.2">
      <c r="A16" s="127"/>
      <c r="B16" s="79" t="s">
        <v>10</v>
      </c>
      <c r="C16" s="9">
        <f>+výdaje!F113</f>
        <v>63661</v>
      </c>
      <c r="D16" s="64">
        <f>C16/C17</f>
        <v>0.28413746931488509</v>
      </c>
    </row>
    <row r="17" spans="1:4" s="3" customFormat="1" x14ac:dyDescent="0.2">
      <c r="A17" s="128"/>
      <c r="B17" s="10" t="s">
        <v>11</v>
      </c>
      <c r="C17" s="11">
        <f>SUM(C15:C16)</f>
        <v>224050</v>
      </c>
      <c r="D17" s="65">
        <v>1</v>
      </c>
    </row>
    <row r="18" spans="1:4" x14ac:dyDescent="0.2">
      <c r="A18" s="127"/>
      <c r="B18" s="79"/>
      <c r="C18" s="9"/>
      <c r="D18" s="66"/>
    </row>
    <row r="19" spans="1:4" s="3" customFormat="1" x14ac:dyDescent="0.2">
      <c r="A19" s="128"/>
      <c r="B19" s="10" t="s">
        <v>12</v>
      </c>
      <c r="C19" s="11">
        <f>C14-C17</f>
        <v>-47587</v>
      </c>
      <c r="D19" s="67"/>
    </row>
    <row r="20" spans="1:4" x14ac:dyDescent="0.2">
      <c r="A20" s="127"/>
      <c r="B20" s="79"/>
      <c r="C20" s="9"/>
      <c r="D20" s="66"/>
    </row>
    <row r="21" spans="1:4" s="3" customFormat="1" x14ac:dyDescent="0.2">
      <c r="A21" s="129" t="s">
        <v>13</v>
      </c>
      <c r="B21" s="10" t="s">
        <v>14</v>
      </c>
      <c r="C21" s="11"/>
      <c r="D21" s="67"/>
    </row>
    <row r="22" spans="1:4" x14ac:dyDescent="0.2">
      <c r="A22" s="127">
        <v>8124</v>
      </c>
      <c r="B22" s="79" t="s">
        <v>286</v>
      </c>
      <c r="C22" s="115">
        <v>-2220</v>
      </c>
      <c r="D22" s="66"/>
    </row>
    <row r="23" spans="1:4" x14ac:dyDescent="0.2">
      <c r="A23" s="130"/>
      <c r="B23" s="79"/>
      <c r="C23" s="115"/>
      <c r="D23" s="66"/>
    </row>
    <row r="24" spans="1:4" x14ac:dyDescent="0.2">
      <c r="A24" s="127">
        <v>8223</v>
      </c>
      <c r="B24" s="79" t="s">
        <v>306</v>
      </c>
      <c r="C24" s="13">
        <v>18000</v>
      </c>
      <c r="D24" s="66"/>
    </row>
    <row r="25" spans="1:4" x14ac:dyDescent="0.2">
      <c r="A25" s="127"/>
      <c r="B25" s="79"/>
      <c r="C25" s="14"/>
      <c r="D25" s="66"/>
    </row>
    <row r="26" spans="1:4" x14ac:dyDescent="0.2">
      <c r="A26" s="127">
        <v>8115</v>
      </c>
      <c r="B26" s="79" t="s">
        <v>375</v>
      </c>
      <c r="C26" s="115">
        <v>31807</v>
      </c>
      <c r="D26" s="66"/>
    </row>
    <row r="27" spans="1:4" x14ac:dyDescent="0.2">
      <c r="A27" s="127"/>
      <c r="B27" s="79"/>
      <c r="C27" s="9"/>
      <c r="D27" s="66"/>
    </row>
    <row r="28" spans="1:4" x14ac:dyDescent="0.2">
      <c r="A28" s="127">
        <v>8115</v>
      </c>
      <c r="B28" s="10" t="s">
        <v>118</v>
      </c>
      <c r="C28" s="72">
        <f>-C22-C24+C30-C26-C23</f>
        <v>0</v>
      </c>
      <c r="D28" s="66"/>
    </row>
    <row r="29" spans="1:4" s="3" customFormat="1" x14ac:dyDescent="0.2">
      <c r="A29" s="128"/>
      <c r="B29" s="79"/>
      <c r="C29" s="11"/>
      <c r="D29" s="68"/>
    </row>
    <row r="30" spans="1:4" ht="13.5" thickBot="1" x14ac:dyDescent="0.25">
      <c r="A30" s="131"/>
      <c r="B30" s="102" t="s">
        <v>15</v>
      </c>
      <c r="C30" s="62">
        <f>-C19</f>
        <v>47587</v>
      </c>
      <c r="D30" s="69"/>
    </row>
    <row r="31" spans="1:4" x14ac:dyDescent="0.2">
      <c r="C31" s="16"/>
    </row>
    <row r="32" spans="1:4" x14ac:dyDescent="0.2">
      <c r="B32" s="188"/>
      <c r="C32" s="182"/>
    </row>
    <row r="33" spans="2:4" ht="15" customHeight="1" x14ac:dyDescent="0.2">
      <c r="B33" s="274" t="s">
        <v>392</v>
      </c>
      <c r="C33" s="76"/>
    </row>
    <row r="34" spans="2:4" x14ac:dyDescent="0.2">
      <c r="B34" s="188"/>
      <c r="C34" s="76"/>
    </row>
    <row r="35" spans="2:4" x14ac:dyDescent="0.2">
      <c r="B35" s="188"/>
      <c r="C35" s="229"/>
    </row>
    <row r="36" spans="2:4" x14ac:dyDescent="0.2">
      <c r="B36" s="188"/>
      <c r="C36" s="182"/>
    </row>
    <row r="37" spans="2:4" x14ac:dyDescent="0.2">
      <c r="B37" s="188"/>
      <c r="C37" s="182"/>
      <c r="D37" s="73" t="s">
        <v>393</v>
      </c>
    </row>
    <row r="38" spans="2:4" x14ac:dyDescent="0.2">
      <c r="B38" s="274" t="s">
        <v>391</v>
      </c>
      <c r="C38" s="182"/>
      <c r="D38" s="73" t="s">
        <v>394</v>
      </c>
    </row>
    <row r="39" spans="2:4" x14ac:dyDescent="0.2">
      <c r="B39" s="188"/>
      <c r="C39" s="182"/>
    </row>
    <row r="40" spans="2:4" x14ac:dyDescent="0.2">
      <c r="B40" s="188"/>
      <c r="C40" s="182"/>
    </row>
    <row r="41" spans="2:4" x14ac:dyDescent="0.2">
      <c r="B41" s="189"/>
      <c r="C41" s="182"/>
    </row>
    <row r="42" spans="2:4" x14ac:dyDescent="0.2">
      <c r="B42" s="189"/>
      <c r="C42" s="182"/>
    </row>
    <row r="43" spans="2:4" x14ac:dyDescent="0.2">
      <c r="B43" s="188"/>
      <c r="C43" s="182"/>
    </row>
    <row r="44" spans="2:4" x14ac:dyDescent="0.2">
      <c r="B44" s="188"/>
      <c r="C44" s="182"/>
    </row>
    <row r="45" spans="2:4" x14ac:dyDescent="0.2">
      <c r="B45" s="188"/>
      <c r="C45" s="182"/>
    </row>
    <row r="46" spans="2:4" x14ac:dyDescent="0.2">
      <c r="B46" s="188"/>
      <c r="C46" s="182"/>
    </row>
    <row r="47" spans="2:4" x14ac:dyDescent="0.2">
      <c r="B47" s="188"/>
      <c r="C47" s="182"/>
    </row>
    <row r="48" spans="2:4" x14ac:dyDescent="0.2">
      <c r="B48" s="188"/>
      <c r="C48" s="182"/>
    </row>
    <row r="49" spans="2:3" x14ac:dyDescent="0.2">
      <c r="B49" s="188"/>
      <c r="C49" s="182"/>
    </row>
    <row r="50" spans="2:3" x14ac:dyDescent="0.2">
      <c r="B50" s="188"/>
      <c r="C50" s="182"/>
    </row>
    <row r="51" spans="2:3" x14ac:dyDescent="0.2">
      <c r="B51" s="188"/>
      <c r="C51" s="182"/>
    </row>
    <row r="52" spans="2:3" x14ac:dyDescent="0.2">
      <c r="B52" s="188"/>
      <c r="C52" s="182"/>
    </row>
    <row r="53" spans="2:3" x14ac:dyDescent="0.2">
      <c r="B53" s="188"/>
      <c r="C53" s="182"/>
    </row>
    <row r="54" spans="2:3" x14ac:dyDescent="0.2">
      <c r="B54" s="189"/>
      <c r="C54" s="182"/>
    </row>
    <row r="55" spans="2:3" x14ac:dyDescent="0.2">
      <c r="B55" s="189"/>
      <c r="C55" s="182"/>
    </row>
    <row r="56" spans="2:3" x14ac:dyDescent="0.2">
      <c r="B56" s="189"/>
      <c r="C56" s="182"/>
    </row>
    <row r="57" spans="2:3" x14ac:dyDescent="0.2">
      <c r="B57" s="189"/>
      <c r="C57" s="182"/>
    </row>
    <row r="58" spans="2:3" x14ac:dyDescent="0.2">
      <c r="B58" s="189"/>
      <c r="C58" s="182"/>
    </row>
    <row r="59" spans="2:3" x14ac:dyDescent="0.2">
      <c r="B59" s="189"/>
      <c r="C59" s="182"/>
    </row>
    <row r="60" spans="2:3" x14ac:dyDescent="0.2">
      <c r="B60" s="189"/>
      <c r="C60" s="182"/>
    </row>
    <row r="61" spans="2:3" x14ac:dyDescent="0.2">
      <c r="B61" s="189"/>
      <c r="C61" s="182"/>
    </row>
    <row r="62" spans="2:3" x14ac:dyDescent="0.2">
      <c r="B62" s="189"/>
      <c r="C62" s="182"/>
    </row>
    <row r="63" spans="2:3" x14ac:dyDescent="0.2">
      <c r="B63" s="189"/>
      <c r="C63" s="182"/>
    </row>
    <row r="64" spans="2:3" x14ac:dyDescent="0.2">
      <c r="B64" s="91"/>
      <c r="C64" s="182"/>
    </row>
  </sheetData>
  <phoneticPr fontId="6" type="noConversion"/>
  <pageMargins left="0.82677165354330717" right="0.27559055118110237" top="0.59055118110236227" bottom="0" header="0.23622047244094491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P152"/>
  <sheetViews>
    <sheetView zoomScaleNormal="100" workbookViewId="0">
      <pane ySplit="3" topLeftCell="A92" activePane="bottomLeft" state="frozen"/>
      <selection pane="bottomLeft" activeCell="H97" sqref="H97"/>
    </sheetView>
  </sheetViews>
  <sheetFormatPr defaultColWidth="7.85546875" defaultRowHeight="12.75" x14ac:dyDescent="0.2"/>
  <cols>
    <col min="1" max="1" width="4" style="73" customWidth="1"/>
    <col min="2" max="2" width="4.42578125" style="73" customWidth="1"/>
    <col min="3" max="4" width="5.28515625" style="73" customWidth="1"/>
    <col min="5" max="5" width="32.7109375" style="73" customWidth="1"/>
    <col min="6" max="6" width="8.140625" style="87" customWidth="1"/>
    <col min="7" max="7" width="22.7109375" style="155" customWidth="1"/>
    <col min="8" max="8" width="9.5703125" style="73" customWidth="1"/>
    <col min="9" max="16384" width="7.85546875" style="73"/>
  </cols>
  <sheetData>
    <row r="1" spans="1:10" ht="18" x14ac:dyDescent="0.25">
      <c r="A1" s="82" t="s">
        <v>387</v>
      </c>
      <c r="B1" s="17"/>
      <c r="C1" s="83"/>
      <c r="D1" s="17"/>
      <c r="E1" s="17"/>
      <c r="F1" s="114"/>
      <c r="G1" s="250"/>
    </row>
    <row r="2" spans="1:10" x14ac:dyDescent="0.2">
      <c r="A2" s="18"/>
      <c r="B2" s="18"/>
      <c r="C2" s="18"/>
      <c r="D2" s="18"/>
      <c r="E2" s="242"/>
      <c r="F2" s="119" t="s">
        <v>302</v>
      </c>
      <c r="G2" s="137" t="s">
        <v>16</v>
      </c>
    </row>
    <row r="3" spans="1:10" ht="13.5" thickBot="1" x14ac:dyDescent="0.25">
      <c r="A3" s="19"/>
      <c r="B3" s="19" t="s">
        <v>17</v>
      </c>
      <c r="C3" s="20" t="s">
        <v>18</v>
      </c>
      <c r="D3" s="19" t="s">
        <v>19</v>
      </c>
      <c r="E3" s="19" t="s">
        <v>20</v>
      </c>
      <c r="F3" s="196"/>
      <c r="G3" s="21" t="s">
        <v>94</v>
      </c>
    </row>
    <row r="4" spans="1:10" x14ac:dyDescent="0.2">
      <c r="A4" s="85" t="s">
        <v>21</v>
      </c>
      <c r="B4" s="60"/>
      <c r="C4" s="85"/>
      <c r="D4" s="60"/>
      <c r="E4" s="85" t="s">
        <v>22</v>
      </c>
      <c r="F4" s="59"/>
      <c r="G4" s="81"/>
    </row>
    <row r="5" spans="1:10" x14ac:dyDescent="0.2">
      <c r="A5" s="74" t="s">
        <v>23</v>
      </c>
      <c r="B5" s="23"/>
      <c r="C5" s="74"/>
      <c r="D5" s="23"/>
      <c r="E5" s="23"/>
      <c r="F5" s="55">
        <f>SUM(F6:F12)</f>
        <v>86625</v>
      </c>
      <c r="G5" s="222"/>
    </row>
    <row r="6" spans="1:10" x14ac:dyDescent="0.2">
      <c r="A6" s="84" t="s">
        <v>24</v>
      </c>
      <c r="B6" s="22">
        <v>1111</v>
      </c>
      <c r="C6" s="84"/>
      <c r="D6" s="86"/>
      <c r="E6" s="22" t="s">
        <v>98</v>
      </c>
      <c r="F6" s="54">
        <v>20000</v>
      </c>
      <c r="G6" s="25" t="s">
        <v>103</v>
      </c>
    </row>
    <row r="7" spans="1:10" x14ac:dyDescent="0.2">
      <c r="A7" s="84"/>
      <c r="B7" s="22">
        <v>1112</v>
      </c>
      <c r="C7" s="84"/>
      <c r="D7" s="84"/>
      <c r="E7" s="22" t="s">
        <v>178</v>
      </c>
      <c r="F7" s="54">
        <v>500</v>
      </c>
      <c r="G7" s="25" t="s">
        <v>103</v>
      </c>
    </row>
    <row r="8" spans="1:10" x14ac:dyDescent="0.2">
      <c r="A8" s="84"/>
      <c r="B8" s="22">
        <v>1113</v>
      </c>
      <c r="C8" s="84"/>
      <c r="D8" s="84"/>
      <c r="E8" s="22" t="s">
        <v>100</v>
      </c>
      <c r="F8" s="54">
        <v>1800</v>
      </c>
      <c r="G8" s="25" t="s">
        <v>103</v>
      </c>
    </row>
    <row r="9" spans="1:10" x14ac:dyDescent="0.2">
      <c r="A9" s="84"/>
      <c r="B9" s="22">
        <v>1121</v>
      </c>
      <c r="C9" s="84"/>
      <c r="D9" s="84"/>
      <c r="E9" s="22" t="s">
        <v>101</v>
      </c>
      <c r="F9" s="54">
        <v>16000</v>
      </c>
      <c r="G9" s="25" t="s">
        <v>103</v>
      </c>
    </row>
    <row r="10" spans="1:10" x14ac:dyDescent="0.2">
      <c r="A10" s="84"/>
      <c r="B10" s="22">
        <v>1211</v>
      </c>
      <c r="C10" s="84"/>
      <c r="D10" s="84"/>
      <c r="E10" s="22" t="s">
        <v>99</v>
      </c>
      <c r="F10" s="54">
        <v>39800</v>
      </c>
      <c r="G10" s="25" t="s">
        <v>103</v>
      </c>
    </row>
    <row r="11" spans="1:10" x14ac:dyDescent="0.2">
      <c r="A11" s="84"/>
      <c r="B11" s="22">
        <v>1111</v>
      </c>
      <c r="C11" s="84"/>
      <c r="D11" s="22">
        <v>2</v>
      </c>
      <c r="E11" s="22" t="s">
        <v>111</v>
      </c>
      <c r="F11" s="54">
        <v>2000</v>
      </c>
      <c r="G11" s="138"/>
    </row>
    <row r="12" spans="1:10" x14ac:dyDescent="0.2">
      <c r="A12" s="84"/>
      <c r="B12" s="22">
        <v>1122</v>
      </c>
      <c r="C12" s="84"/>
      <c r="D12" s="84"/>
      <c r="E12" s="22" t="s">
        <v>102</v>
      </c>
      <c r="F12" s="54">
        <v>6525</v>
      </c>
      <c r="G12" s="86" t="s">
        <v>141</v>
      </c>
      <c r="I12" s="91"/>
      <c r="J12" s="111"/>
    </row>
    <row r="13" spans="1:10" x14ac:dyDescent="0.2">
      <c r="A13" s="74" t="s">
        <v>25</v>
      </c>
      <c r="B13" s="23"/>
      <c r="C13" s="74"/>
      <c r="D13" s="23"/>
      <c r="E13" s="23"/>
      <c r="F13" s="55"/>
      <c r="G13" s="187"/>
    </row>
    <row r="14" spans="1:10" x14ac:dyDescent="0.2">
      <c r="A14" s="84"/>
      <c r="B14" s="84"/>
      <c r="C14" s="84"/>
      <c r="D14" s="84"/>
      <c r="E14" s="23" t="s">
        <v>135</v>
      </c>
      <c r="F14" s="55">
        <f>SUM(F15:F23)</f>
        <v>4835</v>
      </c>
      <c r="G14" s="187"/>
    </row>
    <row r="15" spans="1:10" x14ac:dyDescent="0.2">
      <c r="A15" s="84"/>
      <c r="B15" s="22">
        <v>1361</v>
      </c>
      <c r="D15" s="86" t="s">
        <v>125</v>
      </c>
      <c r="E15" s="22" t="s">
        <v>26</v>
      </c>
      <c r="F15" s="54">
        <v>200</v>
      </c>
      <c r="G15" s="139" t="s">
        <v>324</v>
      </c>
    </row>
    <row r="16" spans="1:10" x14ac:dyDescent="0.2">
      <c r="A16" s="84"/>
      <c r="B16" s="22">
        <v>1361</v>
      </c>
      <c r="C16" s="84"/>
      <c r="D16" s="22">
        <v>7</v>
      </c>
      <c r="E16" s="22" t="s">
        <v>149</v>
      </c>
      <c r="F16" s="54">
        <v>800</v>
      </c>
      <c r="G16" s="139"/>
    </row>
    <row r="17" spans="1:7" x14ac:dyDescent="0.2">
      <c r="A17" s="84"/>
      <c r="B17" s="22">
        <v>1361</v>
      </c>
      <c r="C17" s="84"/>
      <c r="D17" s="22">
        <v>10.23</v>
      </c>
      <c r="E17" s="88" t="s">
        <v>151</v>
      </c>
      <c r="F17" s="54">
        <f>50+40</f>
        <v>90</v>
      </c>
      <c r="G17" s="139"/>
    </row>
    <row r="18" spans="1:7" x14ac:dyDescent="0.2">
      <c r="A18" s="84"/>
      <c r="B18" s="22">
        <v>1361</v>
      </c>
      <c r="C18" s="84"/>
      <c r="D18" s="22">
        <v>11</v>
      </c>
      <c r="E18" s="22" t="s">
        <v>27</v>
      </c>
      <c r="F18" s="54">
        <v>160</v>
      </c>
      <c r="G18" s="139"/>
    </row>
    <row r="19" spans="1:7" x14ac:dyDescent="0.2">
      <c r="A19" s="84"/>
      <c r="B19" s="22">
        <v>1361</v>
      </c>
      <c r="C19" s="84"/>
      <c r="D19" s="22">
        <v>24</v>
      </c>
      <c r="E19" s="22" t="s">
        <v>152</v>
      </c>
      <c r="F19" s="54">
        <v>30</v>
      </c>
      <c r="G19" s="139"/>
    </row>
    <row r="20" spans="1:7" x14ac:dyDescent="0.2">
      <c r="A20" s="84"/>
      <c r="B20" s="22">
        <v>1361</v>
      </c>
      <c r="C20" s="84"/>
      <c r="D20" s="22">
        <v>26</v>
      </c>
      <c r="E20" s="22" t="s">
        <v>153</v>
      </c>
      <c r="F20" s="54">
        <v>2500</v>
      </c>
      <c r="G20" s="139"/>
    </row>
    <row r="21" spans="1:7" x14ac:dyDescent="0.2">
      <c r="A21" s="84"/>
      <c r="B21" s="22">
        <v>1353</v>
      </c>
      <c r="C21" s="84"/>
      <c r="D21" s="22">
        <v>26</v>
      </c>
      <c r="E21" s="22" t="s">
        <v>177</v>
      </c>
      <c r="F21" s="54">
        <v>400</v>
      </c>
      <c r="G21" s="139"/>
    </row>
    <row r="22" spans="1:7" x14ac:dyDescent="0.2">
      <c r="A22" s="84"/>
      <c r="B22" s="22">
        <v>1361</v>
      </c>
      <c r="C22" s="84"/>
      <c r="D22" s="22">
        <v>32.33</v>
      </c>
      <c r="E22" s="22" t="s">
        <v>122</v>
      </c>
      <c r="F22" s="54">
        <f>570+50</f>
        <v>620</v>
      </c>
      <c r="G22" s="139"/>
    </row>
    <row r="23" spans="1:7" x14ac:dyDescent="0.2">
      <c r="A23" s="84"/>
      <c r="B23" s="22">
        <v>1361</v>
      </c>
      <c r="C23" s="84"/>
      <c r="D23" s="22">
        <v>35</v>
      </c>
      <c r="E23" s="22" t="s">
        <v>191</v>
      </c>
      <c r="F23" s="54">
        <v>35</v>
      </c>
      <c r="G23" s="139"/>
    </row>
    <row r="24" spans="1:7" x14ac:dyDescent="0.2">
      <c r="A24" s="84"/>
      <c r="B24" s="84"/>
      <c r="C24" s="84"/>
      <c r="D24" s="84"/>
      <c r="E24" s="23" t="s">
        <v>214</v>
      </c>
      <c r="F24" s="55">
        <f>SUM(F25:F25)</f>
        <v>3900</v>
      </c>
      <c r="G24" s="86"/>
    </row>
    <row r="25" spans="1:7" x14ac:dyDescent="0.2">
      <c r="A25" s="84"/>
      <c r="B25" s="22">
        <v>1381</v>
      </c>
      <c r="C25" s="84"/>
      <c r="D25" s="22">
        <v>401</v>
      </c>
      <c r="E25" s="22" t="s">
        <v>285</v>
      </c>
      <c r="F25" s="54">
        <v>3900</v>
      </c>
      <c r="G25" s="139"/>
    </row>
    <row r="26" spans="1:7" x14ac:dyDescent="0.2">
      <c r="A26" s="84"/>
      <c r="B26" s="84"/>
      <c r="C26" s="84"/>
      <c r="D26" s="84"/>
      <c r="E26" s="23" t="s">
        <v>136</v>
      </c>
      <c r="F26" s="55">
        <f>SUM(F27:F32)</f>
        <v>3360</v>
      </c>
      <c r="G26" s="187"/>
    </row>
    <row r="27" spans="1:7" x14ac:dyDescent="0.2">
      <c r="A27" s="84"/>
      <c r="B27" s="22">
        <v>1340</v>
      </c>
      <c r="C27" s="84"/>
      <c r="D27" s="22">
        <v>240</v>
      </c>
      <c r="E27" s="22" t="s">
        <v>92</v>
      </c>
      <c r="F27" s="54">
        <v>3100</v>
      </c>
      <c r="G27" s="86" t="s">
        <v>219</v>
      </c>
    </row>
    <row r="28" spans="1:7" x14ac:dyDescent="0.2">
      <c r="A28" s="84"/>
      <c r="B28" s="22">
        <v>1341</v>
      </c>
      <c r="C28" s="84"/>
      <c r="D28" s="22">
        <v>5</v>
      </c>
      <c r="E28" s="22" t="s">
        <v>95</v>
      </c>
      <c r="F28" s="54">
        <v>95</v>
      </c>
      <c r="G28" s="86"/>
    </row>
    <row r="29" spans="1:7" x14ac:dyDescent="0.2">
      <c r="A29" s="84"/>
      <c r="B29" s="22">
        <v>1342</v>
      </c>
      <c r="C29" s="84"/>
      <c r="D29" s="22">
        <v>9</v>
      </c>
      <c r="E29" s="22" t="s">
        <v>316</v>
      </c>
      <c r="F29" s="54">
        <v>30</v>
      </c>
      <c r="G29" s="86" t="s">
        <v>317</v>
      </c>
    </row>
    <row r="30" spans="1:7" x14ac:dyDescent="0.2">
      <c r="A30" s="84"/>
      <c r="B30" s="22">
        <v>1343</v>
      </c>
      <c r="C30" s="84"/>
      <c r="D30" s="22">
        <v>30</v>
      </c>
      <c r="E30" s="22" t="s">
        <v>96</v>
      </c>
      <c r="F30" s="54">
        <v>120</v>
      </c>
      <c r="G30" s="86"/>
    </row>
    <row r="31" spans="1:7" x14ac:dyDescent="0.2">
      <c r="A31" s="84"/>
      <c r="B31" s="22">
        <v>1344</v>
      </c>
      <c r="C31" s="84"/>
      <c r="D31" s="22">
        <v>31</v>
      </c>
      <c r="E31" s="22" t="s">
        <v>97</v>
      </c>
      <c r="F31" s="54">
        <v>0</v>
      </c>
      <c r="G31" s="86"/>
    </row>
    <row r="32" spans="1:7" ht="13.5" customHeight="1" x14ac:dyDescent="0.2">
      <c r="A32" s="84"/>
      <c r="B32" s="22">
        <v>1345</v>
      </c>
      <c r="C32" s="84"/>
      <c r="D32" s="22">
        <v>28.29</v>
      </c>
      <c r="E32" s="22" t="s">
        <v>260</v>
      </c>
      <c r="F32" s="54">
        <v>15</v>
      </c>
      <c r="G32" s="86" t="s">
        <v>318</v>
      </c>
    </row>
    <row r="33" spans="1:7" x14ac:dyDescent="0.2">
      <c r="A33" s="74" t="s">
        <v>28</v>
      </c>
      <c r="B33" s="23"/>
      <c r="C33" s="74"/>
      <c r="D33" s="23"/>
      <c r="E33" s="23"/>
      <c r="F33" s="55">
        <f>SUM(F34)</f>
        <v>4100</v>
      </c>
      <c r="G33" s="140"/>
    </row>
    <row r="34" spans="1:7" ht="13.5" thickBot="1" x14ac:dyDescent="0.25">
      <c r="A34" s="84"/>
      <c r="B34" s="22">
        <v>1511</v>
      </c>
      <c r="C34" s="84" t="s">
        <v>29</v>
      </c>
      <c r="D34" s="84"/>
      <c r="E34" s="22" t="s">
        <v>158</v>
      </c>
      <c r="F34" s="54">
        <v>4100</v>
      </c>
      <c r="G34" s="86"/>
    </row>
    <row r="35" spans="1:7" ht="18" customHeight="1" thickBot="1" x14ac:dyDescent="0.3">
      <c r="A35" s="89" t="s">
        <v>30</v>
      </c>
      <c r="B35" s="90"/>
      <c r="C35" s="89"/>
      <c r="D35" s="90"/>
      <c r="E35" s="89"/>
      <c r="F35" s="56">
        <f>SUM(F5+F14+F24+F26+F33)</f>
        <v>102820</v>
      </c>
      <c r="G35" s="56"/>
    </row>
    <row r="36" spans="1:7" x14ac:dyDescent="0.2">
      <c r="A36" s="85"/>
      <c r="B36" s="60"/>
      <c r="C36" s="85"/>
      <c r="D36" s="60"/>
      <c r="E36" s="85" t="s">
        <v>31</v>
      </c>
      <c r="F36" s="59"/>
      <c r="G36" s="141"/>
    </row>
    <row r="37" spans="1:7" x14ac:dyDescent="0.2">
      <c r="A37" s="74" t="s">
        <v>32</v>
      </c>
      <c r="B37" s="23"/>
      <c r="C37" s="74"/>
      <c r="D37" s="23"/>
      <c r="E37" s="23"/>
      <c r="F37" s="55"/>
      <c r="G37" s="140"/>
    </row>
    <row r="38" spans="1:7" x14ac:dyDescent="0.2">
      <c r="A38" s="84"/>
      <c r="B38" s="23"/>
      <c r="C38" s="84"/>
      <c r="D38" s="23"/>
      <c r="E38" s="23" t="s">
        <v>134</v>
      </c>
      <c r="F38" s="55">
        <f>SUM(F39:F57)</f>
        <v>9065</v>
      </c>
      <c r="G38" s="86"/>
    </row>
    <row r="39" spans="1:7" x14ac:dyDescent="0.2">
      <c r="A39" s="84"/>
      <c r="B39" s="22">
        <v>2111</v>
      </c>
      <c r="C39" s="84">
        <v>1031</v>
      </c>
      <c r="D39" s="22">
        <v>201</v>
      </c>
      <c r="E39" s="22" t="s">
        <v>87</v>
      </c>
      <c r="F39" s="54">
        <f>200+52</f>
        <v>252</v>
      </c>
      <c r="G39" s="86"/>
    </row>
    <row r="40" spans="1:7" x14ac:dyDescent="0.2">
      <c r="A40" s="84"/>
      <c r="B40" s="22">
        <v>2111</v>
      </c>
      <c r="C40" s="84">
        <v>2219</v>
      </c>
      <c r="D40" s="22">
        <v>43</v>
      </c>
      <c r="E40" s="22" t="s">
        <v>156</v>
      </c>
      <c r="F40" s="54">
        <v>1070</v>
      </c>
      <c r="G40" s="86"/>
    </row>
    <row r="41" spans="1:7" x14ac:dyDescent="0.2">
      <c r="A41" s="84"/>
      <c r="B41" s="22">
        <v>2111</v>
      </c>
      <c r="C41" s="84">
        <v>3113</v>
      </c>
      <c r="D41" s="22">
        <v>302</v>
      </c>
      <c r="E41" s="22" t="s">
        <v>268</v>
      </c>
      <c r="F41" s="54">
        <v>260</v>
      </c>
      <c r="G41" s="86"/>
    </row>
    <row r="42" spans="1:7" x14ac:dyDescent="0.2">
      <c r="A42" s="84"/>
      <c r="B42" s="22">
        <v>2111</v>
      </c>
      <c r="C42" s="84">
        <v>3613</v>
      </c>
      <c r="D42" s="22">
        <v>316</v>
      </c>
      <c r="E42" s="22" t="s">
        <v>270</v>
      </c>
      <c r="F42" s="54">
        <v>150</v>
      </c>
      <c r="G42" s="86"/>
    </row>
    <row r="43" spans="1:7" x14ac:dyDescent="0.2">
      <c r="A43" s="84"/>
      <c r="B43" s="22">
        <v>2111</v>
      </c>
      <c r="C43" s="84">
        <v>3412</v>
      </c>
      <c r="D43" s="22">
        <v>216</v>
      </c>
      <c r="E43" s="22" t="s">
        <v>288</v>
      </c>
      <c r="F43" s="54">
        <v>115</v>
      </c>
      <c r="G43" s="86"/>
    </row>
    <row r="44" spans="1:7" x14ac:dyDescent="0.2">
      <c r="A44" s="84"/>
      <c r="B44" s="22">
        <v>2111</v>
      </c>
      <c r="C44" s="84">
        <v>3314</v>
      </c>
      <c r="D44" s="22">
        <v>504</v>
      </c>
      <c r="E44" s="22" t="s">
        <v>155</v>
      </c>
      <c r="F44" s="54">
        <v>98</v>
      </c>
      <c r="G44" s="86"/>
    </row>
    <row r="45" spans="1:7" x14ac:dyDescent="0.2">
      <c r="A45" s="84"/>
      <c r="B45" s="22">
        <v>2111</v>
      </c>
      <c r="C45" s="195" t="s">
        <v>233</v>
      </c>
      <c r="D45" s="22">
        <v>41</v>
      </c>
      <c r="E45" s="22" t="s">
        <v>36</v>
      </c>
      <c r="F45" s="54">
        <v>80</v>
      </c>
      <c r="G45" s="86"/>
    </row>
    <row r="46" spans="1:7" x14ac:dyDescent="0.2">
      <c r="A46" s="84"/>
      <c r="B46" s="22">
        <v>2111</v>
      </c>
      <c r="C46" s="84">
        <v>3349</v>
      </c>
      <c r="D46" s="22">
        <v>42</v>
      </c>
      <c r="E46" s="22" t="s">
        <v>33</v>
      </c>
      <c r="F46" s="54">
        <v>100</v>
      </c>
      <c r="G46" s="86"/>
    </row>
    <row r="47" spans="1:7" x14ac:dyDescent="0.2">
      <c r="A47" s="84"/>
      <c r="B47" s="22">
        <v>2111</v>
      </c>
      <c r="C47" s="84">
        <v>3612</v>
      </c>
      <c r="D47" s="22" t="s">
        <v>247</v>
      </c>
      <c r="E47" s="22" t="s">
        <v>159</v>
      </c>
      <c r="F47" s="54">
        <v>1980</v>
      </c>
      <c r="G47" s="100"/>
    </row>
    <row r="48" spans="1:7" x14ac:dyDescent="0.2">
      <c r="A48" s="84"/>
      <c r="B48" s="22">
        <v>2111</v>
      </c>
      <c r="C48" s="84">
        <v>3613</v>
      </c>
      <c r="D48" s="22">
        <v>703</v>
      </c>
      <c r="E48" s="22" t="s">
        <v>160</v>
      </c>
      <c r="F48" s="54">
        <v>300</v>
      </c>
      <c r="G48" s="142"/>
    </row>
    <row r="49" spans="1:7" x14ac:dyDescent="0.2">
      <c r="A49" s="84"/>
      <c r="B49" s="22">
        <v>2111</v>
      </c>
      <c r="C49" s="84">
        <v>3632</v>
      </c>
      <c r="D49" s="22">
        <v>238</v>
      </c>
      <c r="E49" s="22" t="s">
        <v>34</v>
      </c>
      <c r="F49" s="54">
        <v>190</v>
      </c>
      <c r="G49" s="86"/>
    </row>
    <row r="50" spans="1:7" x14ac:dyDescent="0.2">
      <c r="A50" s="84"/>
      <c r="B50" s="22">
        <v>2111</v>
      </c>
      <c r="C50" s="84">
        <v>3639</v>
      </c>
      <c r="D50" s="22">
        <v>21.318999999999999</v>
      </c>
      <c r="E50" s="22" t="s">
        <v>215</v>
      </c>
      <c r="F50" s="54">
        <f>36+91</f>
        <v>127</v>
      </c>
      <c r="G50" s="86"/>
    </row>
    <row r="51" spans="1:7" x14ac:dyDescent="0.2">
      <c r="A51" s="84"/>
      <c r="B51" s="22">
        <v>2111.2323999999999</v>
      </c>
      <c r="C51" s="84">
        <v>3639</v>
      </c>
      <c r="D51" s="22">
        <v>239.22300000000001</v>
      </c>
      <c r="E51" s="22" t="s">
        <v>344</v>
      </c>
      <c r="F51" s="54">
        <v>6</v>
      </c>
      <c r="G51" s="86"/>
    </row>
    <row r="52" spans="1:7" x14ac:dyDescent="0.2">
      <c r="A52" s="84"/>
      <c r="B52" s="22">
        <v>2111</v>
      </c>
      <c r="C52" s="84">
        <v>3639</v>
      </c>
      <c r="D52" s="22">
        <v>243</v>
      </c>
      <c r="E52" s="22" t="s">
        <v>86</v>
      </c>
      <c r="F52" s="54">
        <v>45</v>
      </c>
      <c r="G52" s="86"/>
    </row>
    <row r="53" spans="1:7" x14ac:dyDescent="0.2">
      <c r="A53" s="84"/>
      <c r="B53" s="22">
        <v>2111</v>
      </c>
      <c r="C53" s="84">
        <v>4351</v>
      </c>
      <c r="D53" s="22">
        <v>227</v>
      </c>
      <c r="E53" s="22" t="s">
        <v>132</v>
      </c>
      <c r="F53" s="54">
        <f>100+800+10+175</f>
        <v>1085</v>
      </c>
      <c r="G53" s="88"/>
    </row>
    <row r="54" spans="1:7" x14ac:dyDescent="0.2">
      <c r="A54" s="84"/>
      <c r="B54" s="22">
        <v>2111</v>
      </c>
      <c r="C54" s="84">
        <v>6171</v>
      </c>
      <c r="D54" s="22">
        <v>911</v>
      </c>
      <c r="E54" s="22" t="s">
        <v>161</v>
      </c>
      <c r="F54" s="54">
        <f>130+70</f>
        <v>200</v>
      </c>
      <c r="G54" s="86"/>
    </row>
    <row r="55" spans="1:7" x14ac:dyDescent="0.2">
      <c r="A55" s="84"/>
      <c r="B55" s="22">
        <v>2119</v>
      </c>
      <c r="C55" s="84">
        <v>2121</v>
      </c>
      <c r="D55" s="22">
        <v>20</v>
      </c>
      <c r="E55" s="22" t="s">
        <v>192</v>
      </c>
      <c r="F55" s="54">
        <v>30</v>
      </c>
      <c r="G55" s="86"/>
    </row>
    <row r="56" spans="1:7" x14ac:dyDescent="0.2">
      <c r="A56" s="84"/>
      <c r="B56" s="22">
        <v>2122</v>
      </c>
      <c r="C56" s="84"/>
      <c r="D56" s="22"/>
      <c r="E56" s="22" t="s">
        <v>200</v>
      </c>
      <c r="F56" s="54">
        <f>231+661+657+462+66</f>
        <v>2077</v>
      </c>
      <c r="G56" s="100"/>
    </row>
    <row r="57" spans="1:7" x14ac:dyDescent="0.2">
      <c r="A57" s="84"/>
      <c r="B57" s="22">
        <v>2324</v>
      </c>
      <c r="C57" s="84">
        <v>3725</v>
      </c>
      <c r="D57" s="22">
        <v>240</v>
      </c>
      <c r="E57" s="22" t="s">
        <v>109</v>
      </c>
      <c r="F57" s="54">
        <f>800+100</f>
        <v>900</v>
      </c>
      <c r="G57" s="187"/>
    </row>
    <row r="58" spans="1:7" ht="15" customHeight="1" x14ac:dyDescent="0.2">
      <c r="A58" s="84"/>
      <c r="B58" s="84"/>
      <c r="C58" s="84"/>
      <c r="D58" s="84"/>
      <c r="E58" s="23" t="s">
        <v>37</v>
      </c>
      <c r="F58" s="55">
        <f>SUM(F59:F68)</f>
        <v>14245</v>
      </c>
      <c r="G58" s="86"/>
    </row>
    <row r="59" spans="1:7" x14ac:dyDescent="0.2">
      <c r="A59" s="84"/>
      <c r="B59" s="22">
        <v>2131</v>
      </c>
      <c r="C59" s="84">
        <v>1012</v>
      </c>
      <c r="D59" s="22">
        <v>38</v>
      </c>
      <c r="E59" s="22" t="s">
        <v>171</v>
      </c>
      <c r="F59" s="54">
        <v>494</v>
      </c>
      <c r="G59" s="86" t="s">
        <v>345</v>
      </c>
    </row>
    <row r="60" spans="1:7" x14ac:dyDescent="0.2">
      <c r="A60" s="84"/>
      <c r="B60" s="22">
        <v>2132</v>
      </c>
      <c r="C60" s="84">
        <v>2121</v>
      </c>
      <c r="D60" s="22">
        <v>237</v>
      </c>
      <c r="E60" s="22" t="s">
        <v>172</v>
      </c>
      <c r="F60" s="54">
        <f>1350+50</f>
        <v>1400</v>
      </c>
      <c r="G60" s="143"/>
    </row>
    <row r="61" spans="1:7" x14ac:dyDescent="0.2">
      <c r="A61" s="84"/>
      <c r="B61" s="22">
        <v>2132</v>
      </c>
      <c r="C61" s="84">
        <v>3113</v>
      </c>
      <c r="D61" s="22">
        <v>302</v>
      </c>
      <c r="E61" s="22" t="s">
        <v>267</v>
      </c>
      <c r="F61" s="54">
        <v>195</v>
      </c>
      <c r="G61" s="143"/>
    </row>
    <row r="62" spans="1:7" x14ac:dyDescent="0.2">
      <c r="A62" s="84"/>
      <c r="B62" s="22">
        <v>2132</v>
      </c>
      <c r="C62" s="84">
        <v>3613</v>
      </c>
      <c r="D62" s="22">
        <v>316</v>
      </c>
      <c r="E62" s="22" t="s">
        <v>269</v>
      </c>
      <c r="F62" s="54">
        <v>273</v>
      </c>
      <c r="G62" s="143"/>
    </row>
    <row r="63" spans="1:7" x14ac:dyDescent="0.2">
      <c r="A63" s="84"/>
      <c r="B63" s="22">
        <v>2132</v>
      </c>
      <c r="C63" s="84">
        <v>3612</v>
      </c>
      <c r="D63" s="22" t="s">
        <v>239</v>
      </c>
      <c r="E63" s="22" t="s">
        <v>131</v>
      </c>
      <c r="F63" s="54">
        <v>8523</v>
      </c>
      <c r="G63" s="86"/>
    </row>
    <row r="64" spans="1:7" x14ac:dyDescent="0.2">
      <c r="A64" s="84"/>
      <c r="B64" s="22">
        <v>2132</v>
      </c>
      <c r="C64" s="84">
        <v>3613</v>
      </c>
      <c r="D64" s="22">
        <v>703</v>
      </c>
      <c r="E64" s="22" t="s">
        <v>38</v>
      </c>
      <c r="F64" s="54">
        <v>750</v>
      </c>
      <c r="G64" s="86"/>
    </row>
    <row r="65" spans="1:7" ht="13.5" customHeight="1" x14ac:dyDescent="0.2">
      <c r="A65" s="84"/>
      <c r="B65" s="22">
        <v>2132</v>
      </c>
      <c r="C65" s="84">
        <v>3634</v>
      </c>
      <c r="D65" s="22">
        <v>21</v>
      </c>
      <c r="E65" s="22" t="s">
        <v>39</v>
      </c>
      <c r="F65" s="54">
        <v>970</v>
      </c>
      <c r="G65" s="86"/>
    </row>
    <row r="66" spans="1:7" x14ac:dyDescent="0.2">
      <c r="A66" s="84"/>
      <c r="B66" s="22">
        <v>2132</v>
      </c>
      <c r="C66" s="84">
        <v>3639</v>
      </c>
      <c r="D66" s="22">
        <v>21</v>
      </c>
      <c r="E66" s="22" t="s">
        <v>157</v>
      </c>
      <c r="F66" s="54">
        <f>62+275+123</f>
        <v>460</v>
      </c>
      <c r="G66" s="86"/>
    </row>
    <row r="67" spans="1:7" x14ac:dyDescent="0.2">
      <c r="A67" s="84"/>
      <c r="B67" s="22">
        <v>2132</v>
      </c>
      <c r="C67" s="84">
        <v>3639</v>
      </c>
      <c r="D67" s="22">
        <v>319</v>
      </c>
      <c r="E67" s="22" t="s">
        <v>217</v>
      </c>
      <c r="F67" s="54">
        <v>274</v>
      </c>
      <c r="G67" s="86"/>
    </row>
    <row r="68" spans="1:7" x14ac:dyDescent="0.2">
      <c r="A68" s="84"/>
      <c r="B68" s="22">
        <v>2132</v>
      </c>
      <c r="C68" s="84">
        <v>4355</v>
      </c>
      <c r="D68" s="22">
        <v>311</v>
      </c>
      <c r="E68" s="22" t="s">
        <v>221</v>
      </c>
      <c r="F68" s="54">
        <v>906</v>
      </c>
      <c r="G68" s="86"/>
    </row>
    <row r="69" spans="1:7" ht="14.25" customHeight="1" x14ac:dyDescent="0.2">
      <c r="A69" s="84"/>
      <c r="B69" s="84"/>
      <c r="C69" s="84"/>
      <c r="D69" s="84"/>
      <c r="E69" s="23" t="s">
        <v>84</v>
      </c>
      <c r="F69" s="55">
        <f>SUM(F70:F72)</f>
        <v>26</v>
      </c>
      <c r="G69" s="144"/>
    </row>
    <row r="70" spans="1:7" x14ac:dyDescent="0.2">
      <c r="A70" s="84"/>
      <c r="B70" s="22">
        <v>2141</v>
      </c>
      <c r="C70" s="84">
        <v>6310</v>
      </c>
      <c r="D70" s="22">
        <v>314</v>
      </c>
      <c r="E70" s="22" t="s">
        <v>226</v>
      </c>
      <c r="F70" s="54">
        <v>10</v>
      </c>
      <c r="G70" s="86"/>
    </row>
    <row r="71" spans="1:7" x14ac:dyDescent="0.2">
      <c r="A71" s="84"/>
      <c r="B71" s="22">
        <v>2141</v>
      </c>
      <c r="C71" s="84">
        <v>6310</v>
      </c>
      <c r="D71" s="22">
        <v>245</v>
      </c>
      <c r="E71" s="22" t="s">
        <v>162</v>
      </c>
      <c r="F71" s="54">
        <v>11</v>
      </c>
      <c r="G71" s="86"/>
    </row>
    <row r="72" spans="1:7" ht="13.5" customHeight="1" x14ac:dyDescent="0.2">
      <c r="A72" s="84"/>
      <c r="B72" s="22">
        <v>2141</v>
      </c>
      <c r="C72" s="84">
        <v>6310</v>
      </c>
      <c r="D72" s="22">
        <v>318</v>
      </c>
      <c r="E72" s="22" t="s">
        <v>304</v>
      </c>
      <c r="F72" s="54">
        <v>5</v>
      </c>
      <c r="G72" s="86"/>
    </row>
    <row r="73" spans="1:7" x14ac:dyDescent="0.2">
      <c r="A73" s="74" t="s">
        <v>121</v>
      </c>
      <c r="B73" s="23"/>
      <c r="C73" s="74"/>
      <c r="D73" s="23"/>
      <c r="E73" s="23"/>
      <c r="F73" s="55">
        <f>SUM(F74:F80)</f>
        <v>1300</v>
      </c>
      <c r="G73" s="140"/>
    </row>
    <row r="74" spans="1:7" x14ac:dyDescent="0.2">
      <c r="A74" s="84"/>
      <c r="B74" s="22">
        <v>2212</v>
      </c>
      <c r="C74" s="84">
        <v>6171</v>
      </c>
      <c r="D74" s="22">
        <v>11</v>
      </c>
      <c r="E74" s="22" t="s">
        <v>126</v>
      </c>
      <c r="F74" s="54">
        <v>5</v>
      </c>
      <c r="G74" s="140"/>
    </row>
    <row r="75" spans="1:7" x14ac:dyDescent="0.2">
      <c r="B75" s="22">
        <v>2212</v>
      </c>
      <c r="C75" s="84">
        <v>6171</v>
      </c>
      <c r="D75" s="22">
        <v>14.33</v>
      </c>
      <c r="E75" s="22" t="s">
        <v>199</v>
      </c>
      <c r="F75" s="54">
        <v>65</v>
      </c>
      <c r="G75" s="86"/>
    </row>
    <row r="76" spans="1:7" x14ac:dyDescent="0.2">
      <c r="A76" s="75"/>
      <c r="B76" s="22">
        <v>2212</v>
      </c>
      <c r="C76" s="84">
        <v>2169</v>
      </c>
      <c r="D76" s="22">
        <v>15</v>
      </c>
      <c r="E76" s="22" t="s">
        <v>148</v>
      </c>
      <c r="F76" s="54">
        <v>50</v>
      </c>
      <c r="G76" s="199"/>
    </row>
    <row r="77" spans="1:7" x14ac:dyDescent="0.2">
      <c r="A77" s="84"/>
      <c r="B77" s="22">
        <v>2212</v>
      </c>
      <c r="C77" s="135" t="s">
        <v>168</v>
      </c>
      <c r="D77" s="22">
        <v>17</v>
      </c>
      <c r="E77" s="22" t="s">
        <v>124</v>
      </c>
      <c r="F77" s="54">
        <v>30</v>
      </c>
      <c r="G77" s="86"/>
    </row>
    <row r="78" spans="1:7" x14ac:dyDescent="0.2">
      <c r="A78" s="84"/>
      <c r="B78" s="22">
        <v>2212</v>
      </c>
      <c r="C78" s="84">
        <v>6171</v>
      </c>
      <c r="D78" s="22">
        <v>25.26</v>
      </c>
      <c r="E78" s="22" t="s">
        <v>123</v>
      </c>
      <c r="F78" s="54">
        <v>1000</v>
      </c>
      <c r="G78" s="86"/>
    </row>
    <row r="79" spans="1:7" x14ac:dyDescent="0.2">
      <c r="A79" s="84"/>
      <c r="B79" s="22">
        <v>2212</v>
      </c>
      <c r="C79" s="84">
        <v>6171</v>
      </c>
      <c r="D79" s="22">
        <v>30.13</v>
      </c>
      <c r="E79" s="22" t="s">
        <v>253</v>
      </c>
      <c r="F79" s="54">
        <v>0</v>
      </c>
      <c r="G79" s="86"/>
    </row>
    <row r="80" spans="1:7" x14ac:dyDescent="0.2">
      <c r="A80" s="84"/>
      <c r="B80" s="22">
        <v>2212</v>
      </c>
      <c r="C80" s="84">
        <v>5311</v>
      </c>
      <c r="D80" s="22">
        <v>16</v>
      </c>
      <c r="E80" s="22" t="s">
        <v>40</v>
      </c>
      <c r="F80" s="54">
        <v>150</v>
      </c>
      <c r="G80" s="86"/>
    </row>
    <row r="81" spans="1:16" x14ac:dyDescent="0.2">
      <c r="A81" s="74" t="s">
        <v>120</v>
      </c>
      <c r="B81" s="22"/>
      <c r="C81" s="84"/>
      <c r="D81" s="22"/>
      <c r="E81" s="22"/>
      <c r="F81" s="55">
        <f>SUM(F82:F83)</f>
        <v>1869</v>
      </c>
      <c r="G81" s="187"/>
    </row>
    <row r="82" spans="1:16" x14ac:dyDescent="0.2">
      <c r="A82" s="84"/>
      <c r="B82" s="22">
        <v>2229</v>
      </c>
      <c r="C82" s="84">
        <v>4355</v>
      </c>
      <c r="D82" s="22"/>
      <c r="E82" s="22" t="s">
        <v>303</v>
      </c>
      <c r="F82" s="54">
        <v>769</v>
      </c>
      <c r="G82" s="86"/>
    </row>
    <row r="83" spans="1:16" x14ac:dyDescent="0.2">
      <c r="A83" s="84"/>
      <c r="B83" s="22"/>
      <c r="C83" s="84">
        <v>3613</v>
      </c>
      <c r="D83" s="22">
        <v>305</v>
      </c>
      <c r="E83" s="22" t="s">
        <v>292</v>
      </c>
      <c r="F83" s="54">
        <v>1100</v>
      </c>
      <c r="G83" s="86"/>
    </row>
    <row r="84" spans="1:16" x14ac:dyDescent="0.2">
      <c r="A84" s="74" t="s">
        <v>119</v>
      </c>
      <c r="B84" s="22"/>
      <c r="C84" s="84"/>
      <c r="D84" s="22"/>
      <c r="E84" s="22"/>
      <c r="F84" s="55">
        <f>SUM(F85:F85)</f>
        <v>0</v>
      </c>
      <c r="G84" s="139"/>
    </row>
    <row r="85" spans="1:16" ht="13.5" thickBot="1" x14ac:dyDescent="0.25">
      <c r="A85" s="84"/>
      <c r="B85" s="22"/>
      <c r="C85" s="84"/>
      <c r="D85" s="22"/>
      <c r="E85" s="22"/>
      <c r="F85" s="54"/>
      <c r="G85" s="248"/>
    </row>
    <row r="86" spans="1:16" ht="16.5" thickBot="1" x14ac:dyDescent="0.3">
      <c r="A86" s="89" t="s">
        <v>41</v>
      </c>
      <c r="B86" s="92"/>
      <c r="C86" s="93"/>
      <c r="D86" s="92"/>
      <c r="E86" s="92"/>
      <c r="F86" s="56">
        <f>SUM(F38+F58+F69+F73+F81+F84)</f>
        <v>26505</v>
      </c>
      <c r="G86" s="145"/>
    </row>
    <row r="87" spans="1:16" x14ac:dyDescent="0.2">
      <c r="A87" s="85" t="s">
        <v>137</v>
      </c>
      <c r="B87" s="60"/>
      <c r="C87" s="85"/>
      <c r="D87" s="60"/>
      <c r="E87" s="85" t="s">
        <v>42</v>
      </c>
      <c r="F87" s="59"/>
      <c r="G87" s="141"/>
    </row>
    <row r="88" spans="1:16" x14ac:dyDescent="0.2">
      <c r="A88" s="74" t="s">
        <v>43</v>
      </c>
      <c r="B88" s="23"/>
      <c r="C88" s="74"/>
      <c r="D88" s="23"/>
      <c r="E88" s="23"/>
      <c r="F88" s="55"/>
      <c r="G88" s="140"/>
    </row>
    <row r="89" spans="1:16" x14ac:dyDescent="0.2">
      <c r="A89" s="84"/>
      <c r="B89" s="22">
        <v>3111</v>
      </c>
      <c r="C89" s="84">
        <v>2121</v>
      </c>
      <c r="D89" s="22">
        <v>20</v>
      </c>
      <c r="E89" s="22" t="s">
        <v>163</v>
      </c>
      <c r="F89" s="54">
        <v>50</v>
      </c>
      <c r="G89" s="86"/>
    </row>
    <row r="90" spans="1:16" x14ac:dyDescent="0.2">
      <c r="A90" s="84"/>
      <c r="B90" s="22">
        <v>3111</v>
      </c>
      <c r="C90" s="84">
        <v>3612</v>
      </c>
      <c r="D90" s="22">
        <v>326</v>
      </c>
      <c r="E90" s="22" t="s">
        <v>266</v>
      </c>
      <c r="F90" s="54">
        <f>1239+1558</f>
        <v>2797</v>
      </c>
      <c r="G90" s="86"/>
      <c r="P90" s="87"/>
    </row>
    <row r="91" spans="1:16" x14ac:dyDescent="0.2">
      <c r="A91" s="84"/>
      <c r="B91" s="22">
        <v>3112</v>
      </c>
      <c r="C91" s="84">
        <v>3612</v>
      </c>
      <c r="D91" s="22">
        <v>45</v>
      </c>
      <c r="E91" s="22" t="s">
        <v>164</v>
      </c>
      <c r="F91" s="54">
        <v>4000</v>
      </c>
      <c r="G91" s="86"/>
    </row>
    <row r="92" spans="1:16" ht="13.5" thickBot="1" x14ac:dyDescent="0.25">
      <c r="A92" s="84"/>
      <c r="B92" s="22">
        <v>3112</v>
      </c>
      <c r="C92" s="84">
        <v>3612</v>
      </c>
      <c r="D92" s="22">
        <v>245</v>
      </c>
      <c r="E92" s="22" t="s">
        <v>165</v>
      </c>
      <c r="F92" s="54">
        <v>268</v>
      </c>
      <c r="G92" s="86"/>
    </row>
    <row r="93" spans="1:16" ht="15.75" customHeight="1" thickBot="1" x14ac:dyDescent="0.3">
      <c r="A93" s="89" t="s">
        <v>44</v>
      </c>
      <c r="B93" s="92"/>
      <c r="C93" s="93"/>
      <c r="D93" s="92"/>
      <c r="E93" s="92"/>
      <c r="F93" s="56">
        <f>SUM(F89:F92)</f>
        <v>7115</v>
      </c>
      <c r="G93" s="230"/>
    </row>
    <row r="94" spans="1:16" x14ac:dyDescent="0.2">
      <c r="A94" s="85" t="s">
        <v>45</v>
      </c>
      <c r="B94" s="61"/>
      <c r="C94" s="94"/>
      <c r="D94" s="61"/>
      <c r="E94" s="85" t="s">
        <v>46</v>
      </c>
      <c r="F94" s="57"/>
      <c r="G94" s="146"/>
    </row>
    <row r="95" spans="1:16" x14ac:dyDescent="0.2">
      <c r="A95" s="74" t="s">
        <v>47</v>
      </c>
      <c r="B95" s="23"/>
      <c r="C95" s="74" t="s">
        <v>251</v>
      </c>
      <c r="D95" s="23" t="s">
        <v>128</v>
      </c>
      <c r="E95" s="23"/>
      <c r="F95" s="55">
        <f>SUM(F96:F109)</f>
        <v>35444</v>
      </c>
      <c r="G95" s="147"/>
    </row>
    <row r="96" spans="1:16" x14ac:dyDescent="0.2">
      <c r="A96" s="84"/>
      <c r="B96" s="22">
        <v>4112</v>
      </c>
      <c r="C96" s="22"/>
      <c r="D96" s="22"/>
      <c r="E96" s="22" t="s">
        <v>166</v>
      </c>
      <c r="F96" s="25">
        <v>23138.1</v>
      </c>
      <c r="G96" s="100"/>
      <c r="H96" s="87"/>
    </row>
    <row r="97" spans="1:9" x14ac:dyDescent="0.2">
      <c r="A97" s="84"/>
      <c r="B97" s="22">
        <v>4116</v>
      </c>
      <c r="C97" s="22">
        <v>314</v>
      </c>
      <c r="D97" s="156" t="s">
        <v>232</v>
      </c>
      <c r="E97" s="203" t="s">
        <v>263</v>
      </c>
      <c r="F97" s="54">
        <v>3500</v>
      </c>
      <c r="G97" s="218"/>
    </row>
    <row r="98" spans="1:9" x14ac:dyDescent="0.2">
      <c r="A98" s="84"/>
      <c r="B98" s="22">
        <v>4116</v>
      </c>
      <c r="C98" s="22">
        <v>314</v>
      </c>
      <c r="D98" s="156" t="s">
        <v>287</v>
      </c>
      <c r="E98" s="203" t="s">
        <v>242</v>
      </c>
      <c r="F98" s="54">
        <v>530</v>
      </c>
      <c r="G98" s="100"/>
    </row>
    <row r="99" spans="1:9" x14ac:dyDescent="0.2">
      <c r="A99" s="84"/>
      <c r="B99" s="22">
        <v>4116</v>
      </c>
      <c r="C99" s="22">
        <v>15479</v>
      </c>
      <c r="D99" s="22"/>
      <c r="E99" s="207" t="s">
        <v>323</v>
      </c>
      <c r="F99" s="54">
        <v>903</v>
      </c>
      <c r="G99" s="100"/>
    </row>
    <row r="100" spans="1:9" x14ac:dyDescent="0.2">
      <c r="A100" s="84"/>
      <c r="B100" s="22">
        <v>4116</v>
      </c>
      <c r="C100" s="22">
        <v>103.102</v>
      </c>
      <c r="D100" s="22"/>
      <c r="E100" s="124" t="s">
        <v>264</v>
      </c>
      <c r="F100" s="54">
        <v>800</v>
      </c>
      <c r="G100" s="100"/>
    </row>
    <row r="101" spans="1:9" x14ac:dyDescent="0.2">
      <c r="A101" s="84"/>
      <c r="B101" s="22">
        <v>4116</v>
      </c>
      <c r="C101" s="22">
        <v>226</v>
      </c>
      <c r="D101" s="22"/>
      <c r="E101" s="207" t="s">
        <v>339</v>
      </c>
      <c r="F101" s="247">
        <v>384</v>
      </c>
      <c r="G101" s="100" t="s">
        <v>340</v>
      </c>
    </row>
    <row r="102" spans="1:9" x14ac:dyDescent="0.2">
      <c r="A102" s="84"/>
      <c r="B102" s="22">
        <v>4121</v>
      </c>
      <c r="C102" s="22"/>
      <c r="D102" s="22" t="s">
        <v>225</v>
      </c>
      <c r="E102" s="124" t="s">
        <v>209</v>
      </c>
      <c r="F102" s="25">
        <f>500+40+0.9-50</f>
        <v>490.9</v>
      </c>
      <c r="G102" s="100"/>
      <c r="H102" s="87"/>
      <c r="I102" s="87"/>
    </row>
    <row r="103" spans="1:9" x14ac:dyDescent="0.2">
      <c r="A103" s="84"/>
      <c r="B103" s="22">
        <v>4121</v>
      </c>
      <c r="C103" s="22">
        <v>321</v>
      </c>
      <c r="D103" s="22">
        <v>321</v>
      </c>
      <c r="E103" s="124" t="s">
        <v>169</v>
      </c>
      <c r="F103" s="54">
        <f>60+65</f>
        <v>125</v>
      </c>
      <c r="G103" s="100" t="s">
        <v>0</v>
      </c>
    </row>
    <row r="104" spans="1:9" x14ac:dyDescent="0.2">
      <c r="A104" s="84"/>
      <c r="B104" s="22">
        <v>4121</v>
      </c>
      <c r="C104" s="22">
        <v>227</v>
      </c>
      <c r="D104" s="22"/>
      <c r="E104" s="124" t="s">
        <v>313</v>
      </c>
      <c r="F104" s="54">
        <v>408</v>
      </c>
      <c r="G104" s="100"/>
    </row>
    <row r="105" spans="1:9" x14ac:dyDescent="0.2">
      <c r="A105" s="84"/>
      <c r="B105" s="22">
        <v>4121</v>
      </c>
      <c r="C105" s="22">
        <v>225</v>
      </c>
      <c r="D105" s="22"/>
      <c r="E105" s="124" t="s">
        <v>311</v>
      </c>
      <c r="F105" s="54">
        <v>1481</v>
      </c>
      <c r="G105" s="100" t="s">
        <v>331</v>
      </c>
    </row>
    <row r="106" spans="1:9" x14ac:dyDescent="0.2">
      <c r="A106" s="84"/>
      <c r="B106" s="22">
        <v>4122</v>
      </c>
      <c r="C106" s="22">
        <v>46</v>
      </c>
      <c r="D106" s="22"/>
      <c r="E106" s="124" t="s">
        <v>342</v>
      </c>
      <c r="F106" s="54">
        <v>120</v>
      </c>
      <c r="G106" s="100"/>
    </row>
    <row r="107" spans="1:9" x14ac:dyDescent="0.2">
      <c r="A107" s="84"/>
      <c r="B107" s="22">
        <v>4122</v>
      </c>
      <c r="C107" s="22">
        <v>249</v>
      </c>
      <c r="D107" s="22"/>
      <c r="E107" s="124" t="s">
        <v>325</v>
      </c>
      <c r="F107" s="54">
        <v>3</v>
      </c>
      <c r="G107" s="100" t="s">
        <v>330</v>
      </c>
    </row>
    <row r="108" spans="1:9" x14ac:dyDescent="0.2">
      <c r="A108" s="84"/>
      <c r="B108" s="22">
        <v>4122</v>
      </c>
      <c r="C108" s="22">
        <v>227</v>
      </c>
      <c r="D108" s="22">
        <v>13305</v>
      </c>
      <c r="E108" s="217" t="s">
        <v>252</v>
      </c>
      <c r="F108" s="54">
        <v>3480</v>
      </c>
      <c r="G108" s="100"/>
      <c r="H108" s="220"/>
    </row>
    <row r="109" spans="1:9" ht="13.5" customHeight="1" x14ac:dyDescent="0.2">
      <c r="A109" s="84"/>
      <c r="B109" s="22">
        <v>4132</v>
      </c>
      <c r="C109" s="84"/>
      <c r="D109" s="22"/>
      <c r="E109" s="22" t="s">
        <v>341</v>
      </c>
      <c r="F109" s="54">
        <v>81</v>
      </c>
      <c r="G109" s="199"/>
    </row>
    <row r="110" spans="1:9" x14ac:dyDescent="0.2">
      <c r="A110" s="74" t="s">
        <v>48</v>
      </c>
      <c r="B110" s="23"/>
      <c r="C110" s="74"/>
      <c r="D110" s="23"/>
      <c r="E110" s="23"/>
      <c r="F110" s="55">
        <f>SUM(F111:F112)</f>
        <v>4579</v>
      </c>
      <c r="G110" s="86"/>
    </row>
    <row r="111" spans="1:9" x14ac:dyDescent="0.2">
      <c r="A111" s="74"/>
      <c r="B111" s="24">
        <v>4216</v>
      </c>
      <c r="C111" s="24">
        <v>226</v>
      </c>
      <c r="D111" s="23"/>
      <c r="E111" s="207" t="s">
        <v>319</v>
      </c>
      <c r="F111" s="246">
        <f>5079-500</f>
        <v>4579</v>
      </c>
      <c r="G111" s="100" t="s">
        <v>340</v>
      </c>
    </row>
    <row r="112" spans="1:9" ht="13.5" thickBot="1" x14ac:dyDescent="0.25">
      <c r="A112" s="74"/>
      <c r="B112" s="24">
        <v>4216</v>
      </c>
      <c r="C112" s="24">
        <v>312</v>
      </c>
      <c r="D112" s="23"/>
      <c r="E112" s="124" t="s">
        <v>284</v>
      </c>
      <c r="F112" s="197"/>
      <c r="G112" s="100"/>
    </row>
    <row r="113" spans="1:7" ht="14.25" customHeight="1" thickBot="1" x14ac:dyDescent="0.3">
      <c r="A113" s="89" t="s">
        <v>49</v>
      </c>
      <c r="B113" s="92"/>
      <c r="C113" s="93"/>
      <c r="D113" s="92"/>
      <c r="E113" s="92"/>
      <c r="F113" s="95">
        <f>SUM(F95+F110)</f>
        <v>40023</v>
      </c>
      <c r="G113" s="95"/>
    </row>
    <row r="114" spans="1:7" ht="15.75" x14ac:dyDescent="0.25">
      <c r="A114" s="27" t="s">
        <v>8</v>
      </c>
      <c r="B114" s="28"/>
      <c r="C114" s="29"/>
      <c r="D114" s="29"/>
      <c r="E114" s="30"/>
      <c r="F114" s="101">
        <f>SUM(F35+F86+F93+F113)</f>
        <v>176463</v>
      </c>
      <c r="G114" s="148"/>
    </row>
    <row r="115" spans="1:7" ht="24" customHeight="1" thickBot="1" x14ac:dyDescent="0.25">
      <c r="A115" s="83"/>
      <c r="B115" s="17"/>
      <c r="C115" s="83"/>
      <c r="D115" s="17"/>
      <c r="E115" s="17"/>
      <c r="F115" s="114"/>
      <c r="G115" s="136"/>
    </row>
    <row r="116" spans="1:7" ht="13.5" thickBot="1" x14ac:dyDescent="0.25">
      <c r="A116" s="31"/>
      <c r="B116" s="32"/>
      <c r="C116" s="31"/>
      <c r="D116" s="32"/>
      <c r="E116" s="33"/>
      <c r="F116" s="219" t="s">
        <v>302</v>
      </c>
      <c r="G116" s="149"/>
    </row>
    <row r="117" spans="1:7" x14ac:dyDescent="0.2">
      <c r="A117" s="31" t="s">
        <v>50</v>
      </c>
      <c r="B117" s="17"/>
      <c r="C117" s="83"/>
      <c r="D117" s="17"/>
      <c r="E117" s="48" t="s">
        <v>51</v>
      </c>
      <c r="F117" s="190">
        <f>F35</f>
        <v>102820</v>
      </c>
      <c r="G117" s="150"/>
    </row>
    <row r="118" spans="1:7" x14ac:dyDescent="0.2">
      <c r="A118" s="83"/>
      <c r="B118" s="17"/>
      <c r="C118" s="83"/>
      <c r="D118" s="17"/>
      <c r="E118" s="48" t="s">
        <v>52</v>
      </c>
      <c r="F118" s="190">
        <f>F86</f>
        <v>26505</v>
      </c>
      <c r="G118" s="151"/>
    </row>
    <row r="119" spans="1:7" x14ac:dyDescent="0.2">
      <c r="A119" s="83"/>
      <c r="B119" s="17"/>
      <c r="C119" s="83"/>
      <c r="D119" s="17"/>
      <c r="E119" s="48" t="s">
        <v>53</v>
      </c>
      <c r="F119" s="112">
        <f>F95</f>
        <v>35444</v>
      </c>
      <c r="G119" s="186"/>
    </row>
    <row r="120" spans="1:7" x14ac:dyDescent="0.2">
      <c r="A120" s="83"/>
      <c r="B120" s="17"/>
      <c r="C120" s="83"/>
      <c r="D120" s="17"/>
      <c r="E120" s="96" t="s">
        <v>54</v>
      </c>
      <c r="F120" s="121">
        <f>SUM(F117:F119)</f>
        <v>164769</v>
      </c>
      <c r="G120" s="152"/>
    </row>
    <row r="121" spans="1:7" x14ac:dyDescent="0.2">
      <c r="A121" s="83"/>
      <c r="B121" s="17"/>
      <c r="C121" s="83"/>
      <c r="D121" s="17"/>
      <c r="E121" s="48" t="s">
        <v>55</v>
      </c>
      <c r="F121" s="113">
        <f>F93</f>
        <v>7115</v>
      </c>
      <c r="G121" s="150" t="s">
        <v>1</v>
      </c>
    </row>
    <row r="122" spans="1:7" x14ac:dyDescent="0.2">
      <c r="A122" s="83"/>
      <c r="B122" s="17"/>
      <c r="C122" s="83"/>
      <c r="D122" s="17"/>
      <c r="E122" s="48" t="s">
        <v>56</v>
      </c>
      <c r="F122" s="113">
        <f>F110</f>
        <v>4579</v>
      </c>
      <c r="G122" s="150"/>
    </row>
    <row r="123" spans="1:7" ht="13.5" thickBot="1" x14ac:dyDescent="0.25">
      <c r="A123" s="97"/>
      <c r="B123" s="17"/>
      <c r="C123" s="83"/>
      <c r="D123" s="17"/>
      <c r="E123" s="98" t="s">
        <v>57</v>
      </c>
      <c r="F123" s="191">
        <f>SUM(F120:F122)</f>
        <v>176463</v>
      </c>
      <c r="G123" s="153"/>
    </row>
    <row r="124" spans="1:7" x14ac:dyDescent="0.2">
      <c r="G124" s="154"/>
    </row>
    <row r="125" spans="1:7" x14ac:dyDescent="0.2">
      <c r="A125" s="12"/>
      <c r="B125" s="103"/>
      <c r="C125" s="103"/>
      <c r="D125" s="232"/>
      <c r="E125" s="231"/>
      <c r="F125" s="111"/>
      <c r="G125" s="99"/>
    </row>
    <row r="126" spans="1:7" x14ac:dyDescent="0.2">
      <c r="A126" s="103"/>
      <c r="B126" s="103"/>
      <c r="C126" s="103"/>
      <c r="D126" s="183"/>
      <c r="E126" s="244"/>
      <c r="F126" s="111"/>
      <c r="G126" s="99"/>
    </row>
    <row r="127" spans="1:7" x14ac:dyDescent="0.2">
      <c r="A127" s="12"/>
      <c r="B127" s="103"/>
      <c r="C127" s="103"/>
      <c r="D127" s="183"/>
      <c r="E127" s="220"/>
      <c r="F127" s="111"/>
      <c r="G127" s="99"/>
    </row>
    <row r="128" spans="1:7" x14ac:dyDescent="0.2">
      <c r="D128" s="91"/>
      <c r="E128" s="220"/>
      <c r="F128" s="111"/>
      <c r="G128" s="99"/>
    </row>
    <row r="129" spans="5:7" x14ac:dyDescent="0.2">
      <c r="E129" s="220"/>
      <c r="F129" s="184"/>
      <c r="G129" s="99"/>
    </row>
    <row r="130" spans="5:7" x14ac:dyDescent="0.2">
      <c r="E130" s="220"/>
      <c r="G130" s="185"/>
    </row>
    <row r="131" spans="5:7" x14ac:dyDescent="0.2">
      <c r="E131" s="91"/>
      <c r="G131" s="154"/>
    </row>
    <row r="132" spans="5:7" x14ac:dyDescent="0.2">
      <c r="E132" s="220"/>
    </row>
    <row r="133" spans="5:7" x14ac:dyDescent="0.2">
      <c r="E133" s="220"/>
    </row>
    <row r="134" spans="5:7" x14ac:dyDescent="0.2">
      <c r="E134" s="220"/>
      <c r="G134" s="154"/>
    </row>
    <row r="135" spans="5:7" x14ac:dyDescent="0.2">
      <c r="E135" s="91"/>
    </row>
    <row r="136" spans="5:7" x14ac:dyDescent="0.2">
      <c r="E136" s="220"/>
    </row>
    <row r="137" spans="5:7" x14ac:dyDescent="0.2">
      <c r="E137" s="220"/>
    </row>
    <row r="138" spans="5:7" x14ac:dyDescent="0.2">
      <c r="E138" s="220"/>
    </row>
    <row r="139" spans="5:7" x14ac:dyDescent="0.2">
      <c r="E139" s="220"/>
    </row>
    <row r="140" spans="5:7" x14ac:dyDescent="0.2">
      <c r="E140" s="220"/>
    </row>
    <row r="141" spans="5:7" x14ac:dyDescent="0.2">
      <c r="E141" s="91"/>
    </row>
    <row r="142" spans="5:7" x14ac:dyDescent="0.2">
      <c r="E142" s="220"/>
    </row>
    <row r="143" spans="5:7" x14ac:dyDescent="0.2">
      <c r="E143" s="220"/>
    </row>
    <row r="144" spans="5:7" x14ac:dyDescent="0.2">
      <c r="E144" s="220"/>
    </row>
    <row r="145" spans="5:5" x14ac:dyDescent="0.2">
      <c r="E145" s="220"/>
    </row>
    <row r="146" spans="5:5" x14ac:dyDescent="0.2">
      <c r="E146" s="220"/>
    </row>
    <row r="147" spans="5:5" x14ac:dyDescent="0.2">
      <c r="E147" s="220"/>
    </row>
    <row r="148" spans="5:5" x14ac:dyDescent="0.2">
      <c r="E148" s="220"/>
    </row>
    <row r="149" spans="5:5" x14ac:dyDescent="0.2">
      <c r="E149" s="220"/>
    </row>
    <row r="150" spans="5:5" x14ac:dyDescent="0.2">
      <c r="E150" s="220"/>
    </row>
    <row r="151" spans="5:5" x14ac:dyDescent="0.2">
      <c r="E151" s="220"/>
    </row>
    <row r="152" spans="5:5" x14ac:dyDescent="0.2">
      <c r="E152" s="220"/>
    </row>
  </sheetData>
  <sortState ref="A32:AH34">
    <sortCondition ref="B32:B34"/>
  </sortState>
  <phoneticPr fontId="6" type="noConversion"/>
  <pageMargins left="0.43307086614173229" right="0.15748031496062992" top="0.43" bottom="0.27559055118110237" header="0.19685039370078741" footer="0.15748031496062992"/>
  <pageSetup paperSize="9" fitToWidth="0" fitToHeight="0" orientation="portrait" r:id="rId1"/>
  <headerFooter alignWithMargins="0">
    <oddHeader>&amp;R&amp;P+1.strana</oddHeader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C135"/>
  <sheetViews>
    <sheetView zoomScaleNormal="100" workbookViewId="0">
      <pane xSplit="4" ySplit="4" topLeftCell="E88" activePane="bottomRight" state="frozen"/>
      <selection pane="topRight" activeCell="E1" sqref="E1"/>
      <selection pane="bottomLeft" activeCell="A5" sqref="A5"/>
      <selection pane="bottomRight" activeCell="N99" sqref="N99"/>
    </sheetView>
  </sheetViews>
  <sheetFormatPr defaultColWidth="7.85546875" defaultRowHeight="12.75" x14ac:dyDescent="0.2"/>
  <cols>
    <col min="1" max="1" width="3.28515625" style="73" customWidth="1"/>
    <col min="2" max="2" width="4.85546875" style="76" customWidth="1"/>
    <col min="3" max="3" width="5.28515625" style="76" bestFit="1" customWidth="1"/>
    <col min="4" max="4" width="27.42578125" style="132" customWidth="1"/>
    <col min="5" max="5" width="7.28515625" style="252" customWidth="1"/>
    <col min="6" max="6" width="6" style="252" customWidth="1"/>
    <col min="7" max="7" width="7.42578125" style="91" customWidth="1"/>
    <col min="8" max="8" width="21.140625" style="91" customWidth="1"/>
    <col min="9" max="9" width="7.28515625" style="73" customWidth="1"/>
    <col min="10" max="10" width="7" style="73" customWidth="1"/>
    <col min="11" max="16384" width="7.85546875" style="73"/>
  </cols>
  <sheetData>
    <row r="1" spans="1:10" ht="18.75" thickBot="1" x14ac:dyDescent="0.3">
      <c r="A1" s="82" t="s">
        <v>388</v>
      </c>
      <c r="B1" s="158"/>
      <c r="C1" s="158"/>
      <c r="D1" s="157"/>
      <c r="E1" s="157"/>
      <c r="F1" s="157"/>
      <c r="G1" s="158"/>
      <c r="H1" s="227"/>
      <c r="I1" s="17"/>
      <c r="J1" s="91"/>
    </row>
    <row r="2" spans="1:10" x14ac:dyDescent="0.2">
      <c r="A2" s="104"/>
      <c r="B2" s="77"/>
      <c r="C2" s="77"/>
      <c r="D2" s="239"/>
      <c r="E2" s="118"/>
      <c r="F2" s="118" t="s">
        <v>305</v>
      </c>
      <c r="G2" s="118"/>
      <c r="H2" s="245"/>
      <c r="I2" s="211"/>
      <c r="J2" s="159"/>
    </row>
    <row r="3" spans="1:10" x14ac:dyDescent="0.2">
      <c r="A3" s="71"/>
      <c r="B3" s="23"/>
      <c r="C3" s="23"/>
      <c r="D3" s="241"/>
      <c r="E3" s="35">
        <v>2020</v>
      </c>
      <c r="F3" s="36">
        <v>2020</v>
      </c>
      <c r="G3" s="70">
        <v>2020</v>
      </c>
      <c r="H3" s="70"/>
      <c r="I3" s="193" t="s">
        <v>139</v>
      </c>
      <c r="J3" s="212" t="s">
        <v>147</v>
      </c>
    </row>
    <row r="4" spans="1:10" ht="13.5" thickBot="1" x14ac:dyDescent="0.25">
      <c r="A4" s="37" t="s">
        <v>58</v>
      </c>
      <c r="B4" s="20" t="s">
        <v>18</v>
      </c>
      <c r="C4" s="20" t="s">
        <v>19</v>
      </c>
      <c r="D4" s="204" t="s">
        <v>59</v>
      </c>
      <c r="E4" s="37" t="s">
        <v>60</v>
      </c>
      <c r="F4" s="20" t="s">
        <v>61</v>
      </c>
      <c r="G4" s="38" t="s">
        <v>62</v>
      </c>
      <c r="H4" s="38" t="s">
        <v>212</v>
      </c>
      <c r="I4" s="194" t="s">
        <v>138</v>
      </c>
      <c r="J4" s="213" t="s">
        <v>142</v>
      </c>
    </row>
    <row r="5" spans="1:10" x14ac:dyDescent="0.2">
      <c r="A5" s="105">
        <v>10</v>
      </c>
      <c r="B5" s="53"/>
      <c r="C5" s="53"/>
      <c r="D5" s="200" t="s">
        <v>63</v>
      </c>
      <c r="E5" s="39">
        <f>SUM(E6:E6)</f>
        <v>1316</v>
      </c>
      <c r="F5" s="40">
        <f>SUM(F6:F6)</f>
        <v>0</v>
      </c>
      <c r="G5" s="120">
        <f>SUM(G6:G6)</f>
        <v>1316</v>
      </c>
      <c r="H5" s="120"/>
      <c r="I5" s="41"/>
      <c r="J5" s="58"/>
    </row>
    <row r="6" spans="1:10" x14ac:dyDescent="0.2">
      <c r="A6" s="106"/>
      <c r="B6" s="22">
        <v>1031</v>
      </c>
      <c r="C6" s="22">
        <v>201</v>
      </c>
      <c r="D6" s="124" t="s">
        <v>173</v>
      </c>
      <c r="E6" s="34">
        <f>680+636</f>
        <v>1316</v>
      </c>
      <c r="F6" s="22"/>
      <c r="G6" s="43">
        <f>E6+F6</f>
        <v>1316</v>
      </c>
      <c r="H6" s="43"/>
      <c r="I6" s="173" t="s">
        <v>261</v>
      </c>
      <c r="J6" s="161" t="s">
        <v>64</v>
      </c>
    </row>
    <row r="7" spans="1:10" x14ac:dyDescent="0.2">
      <c r="A7" s="107">
        <v>21</v>
      </c>
      <c r="B7" s="18"/>
      <c r="C7" s="18"/>
      <c r="D7" s="205" t="s">
        <v>207</v>
      </c>
      <c r="E7" s="44">
        <f>SUM(E8:E12)</f>
        <v>1044</v>
      </c>
      <c r="F7" s="45">
        <f>SUM(F8:F12)</f>
        <v>505</v>
      </c>
      <c r="G7" s="46">
        <f>SUM(G8:G12)</f>
        <v>1549</v>
      </c>
      <c r="H7" s="46"/>
      <c r="I7" s="41"/>
      <c r="J7" s="58"/>
    </row>
    <row r="8" spans="1:10" x14ac:dyDescent="0.2">
      <c r="A8" s="48"/>
      <c r="B8" s="22">
        <v>2121</v>
      </c>
      <c r="C8" s="22">
        <v>20</v>
      </c>
      <c r="D8" s="124" t="s">
        <v>85</v>
      </c>
      <c r="E8" s="34"/>
      <c r="F8" s="13">
        <v>205</v>
      </c>
      <c r="G8" s="43">
        <f>E8+F8</f>
        <v>205</v>
      </c>
      <c r="H8" s="43" t="s">
        <v>359</v>
      </c>
      <c r="I8" s="173" t="s">
        <v>64</v>
      </c>
      <c r="J8" s="161" t="s">
        <v>107</v>
      </c>
    </row>
    <row r="9" spans="1:10" x14ac:dyDescent="0.2">
      <c r="A9" s="48"/>
      <c r="B9" s="22">
        <v>2121</v>
      </c>
      <c r="C9" s="22">
        <v>237</v>
      </c>
      <c r="D9" s="124" t="s">
        <v>154</v>
      </c>
      <c r="E9" s="34">
        <v>411</v>
      </c>
      <c r="F9" s="13"/>
      <c r="G9" s="43">
        <f>E9+F9</f>
        <v>411</v>
      </c>
      <c r="H9" s="43"/>
      <c r="I9" s="173" t="s">
        <v>64</v>
      </c>
      <c r="J9" s="161" t="s">
        <v>107</v>
      </c>
    </row>
    <row r="10" spans="1:10" x14ac:dyDescent="0.2">
      <c r="A10" s="48"/>
      <c r="B10" s="22">
        <v>2141</v>
      </c>
      <c r="C10" s="22">
        <v>101</v>
      </c>
      <c r="D10" s="124" t="s">
        <v>224</v>
      </c>
      <c r="E10" s="34">
        <v>80</v>
      </c>
      <c r="F10" s="13"/>
      <c r="G10" s="43">
        <f>E10+F10</f>
        <v>80</v>
      </c>
      <c r="H10" s="43"/>
      <c r="I10" s="173" t="s">
        <v>255</v>
      </c>
      <c r="J10" s="161" t="s">
        <v>107</v>
      </c>
    </row>
    <row r="11" spans="1:10" x14ac:dyDescent="0.2">
      <c r="A11" s="48"/>
      <c r="B11" s="22">
        <v>2144</v>
      </c>
      <c r="C11" s="22">
        <v>650</v>
      </c>
      <c r="D11" s="124" t="s">
        <v>150</v>
      </c>
      <c r="E11" s="34">
        <v>265</v>
      </c>
      <c r="F11" s="13"/>
      <c r="G11" s="43">
        <f>E11+F11</f>
        <v>265</v>
      </c>
      <c r="H11" s="43" t="s">
        <v>230</v>
      </c>
      <c r="I11" s="170" t="s">
        <v>237</v>
      </c>
      <c r="J11" s="162" t="s">
        <v>295</v>
      </c>
    </row>
    <row r="12" spans="1:10" x14ac:dyDescent="0.2">
      <c r="A12" s="48"/>
      <c r="B12" s="22">
        <v>2199</v>
      </c>
      <c r="C12" s="22">
        <v>912</v>
      </c>
      <c r="D12" s="124" t="s">
        <v>89</v>
      </c>
      <c r="E12" s="34">
        <v>288</v>
      </c>
      <c r="F12" s="13">
        <v>300</v>
      </c>
      <c r="G12" s="43">
        <f>E12+F12</f>
        <v>588</v>
      </c>
      <c r="H12" s="43"/>
      <c r="I12" s="171" t="s">
        <v>364</v>
      </c>
      <c r="J12" s="163" t="s">
        <v>107</v>
      </c>
    </row>
    <row r="13" spans="1:10" x14ac:dyDescent="0.2">
      <c r="A13" s="107">
        <v>22</v>
      </c>
      <c r="B13" s="18"/>
      <c r="C13" s="18"/>
      <c r="D13" s="205" t="s">
        <v>66</v>
      </c>
      <c r="E13" s="44">
        <f>SUM(E14:E25)</f>
        <v>12161</v>
      </c>
      <c r="F13" s="45">
        <f>SUM(F14:F25)</f>
        <v>12114</v>
      </c>
      <c r="G13" s="46">
        <f>SUM(G14:G25)</f>
        <v>24275</v>
      </c>
      <c r="H13" s="46"/>
      <c r="I13" s="41"/>
      <c r="J13" s="58"/>
    </row>
    <row r="14" spans="1:10" x14ac:dyDescent="0.2">
      <c r="A14" s="106"/>
      <c r="B14" s="22">
        <v>2212</v>
      </c>
      <c r="C14" s="22">
        <v>204</v>
      </c>
      <c r="D14" s="124" t="s">
        <v>112</v>
      </c>
      <c r="E14" s="34">
        <f>6608-180</f>
        <v>6428</v>
      </c>
      <c r="F14" s="13"/>
      <c r="G14" s="43">
        <f t="shared" ref="G14:G25" si="0">E14+F14</f>
        <v>6428</v>
      </c>
      <c r="H14" s="43"/>
      <c r="I14" s="173" t="s">
        <v>179</v>
      </c>
      <c r="J14" s="161" t="s">
        <v>107</v>
      </c>
    </row>
    <row r="15" spans="1:10" x14ac:dyDescent="0.2">
      <c r="A15" s="106"/>
      <c r="B15" s="22">
        <v>2212</v>
      </c>
      <c r="C15" s="22">
        <v>206</v>
      </c>
      <c r="D15" s="124" t="s">
        <v>259</v>
      </c>
      <c r="E15" s="34"/>
      <c r="F15" s="13">
        <v>300</v>
      </c>
      <c r="G15" s="43">
        <f t="shared" si="0"/>
        <v>300</v>
      </c>
      <c r="H15" s="43"/>
      <c r="I15" s="173" t="s">
        <v>364</v>
      </c>
      <c r="J15" s="161" t="s">
        <v>107</v>
      </c>
    </row>
    <row r="16" spans="1:10" x14ac:dyDescent="0.2">
      <c r="A16" s="106"/>
      <c r="B16" s="22">
        <v>2212</v>
      </c>
      <c r="C16" s="22">
        <v>207</v>
      </c>
      <c r="D16" s="124" t="s">
        <v>327</v>
      </c>
      <c r="E16" s="34">
        <v>2200</v>
      </c>
      <c r="F16" s="13"/>
      <c r="G16" s="43">
        <f t="shared" si="0"/>
        <v>2200</v>
      </c>
      <c r="H16" s="43"/>
      <c r="I16" s="173" t="s">
        <v>144</v>
      </c>
      <c r="J16" s="161" t="s">
        <v>107</v>
      </c>
    </row>
    <row r="17" spans="1:185" x14ac:dyDescent="0.2">
      <c r="A17" s="106"/>
      <c r="B17" s="22">
        <v>2212</v>
      </c>
      <c r="C17" s="22">
        <v>208</v>
      </c>
      <c r="D17" s="124" t="s">
        <v>240</v>
      </c>
      <c r="E17" s="34"/>
      <c r="F17" s="13">
        <v>450</v>
      </c>
      <c r="G17" s="43">
        <f t="shared" si="0"/>
        <v>450</v>
      </c>
      <c r="H17" s="43" t="s">
        <v>349</v>
      </c>
      <c r="I17" s="173" t="s">
        <v>144</v>
      </c>
      <c r="J17" s="161" t="s">
        <v>107</v>
      </c>
    </row>
    <row r="18" spans="1:185" x14ac:dyDescent="0.2">
      <c r="A18" s="106"/>
      <c r="B18" s="22">
        <v>2212</v>
      </c>
      <c r="C18" s="22">
        <v>217</v>
      </c>
      <c r="D18" s="124" t="s">
        <v>350</v>
      </c>
      <c r="E18" s="34"/>
      <c r="F18" s="13">
        <v>150</v>
      </c>
      <c r="G18" s="43">
        <f t="shared" si="0"/>
        <v>150</v>
      </c>
      <c r="H18" s="43"/>
      <c r="I18" s="173" t="s">
        <v>144</v>
      </c>
      <c r="J18" s="161" t="s">
        <v>107</v>
      </c>
    </row>
    <row r="19" spans="1:185" x14ac:dyDescent="0.2">
      <c r="A19" s="106"/>
      <c r="B19" s="22">
        <v>2212</v>
      </c>
      <c r="C19" s="22">
        <v>220</v>
      </c>
      <c r="D19" s="124" t="s">
        <v>329</v>
      </c>
      <c r="E19" s="34">
        <v>2886</v>
      </c>
      <c r="F19" s="13">
        <f>1500+7514+600</f>
        <v>9614</v>
      </c>
      <c r="G19" s="43">
        <f t="shared" si="0"/>
        <v>12500</v>
      </c>
      <c r="H19" s="43" t="s">
        <v>360</v>
      </c>
      <c r="I19" s="173" t="s">
        <v>144</v>
      </c>
      <c r="J19" s="161" t="s">
        <v>107</v>
      </c>
    </row>
    <row r="20" spans="1:185" x14ac:dyDescent="0.2">
      <c r="A20" s="106"/>
      <c r="B20" s="22">
        <v>2219</v>
      </c>
      <c r="C20" s="22">
        <v>43</v>
      </c>
      <c r="D20" s="124" t="s">
        <v>110</v>
      </c>
      <c r="E20" s="34">
        <v>35</v>
      </c>
      <c r="F20" s="13"/>
      <c r="G20" s="43">
        <f t="shared" si="0"/>
        <v>35</v>
      </c>
      <c r="H20" s="43"/>
      <c r="I20" s="178" t="s">
        <v>143</v>
      </c>
      <c r="J20" s="162" t="s">
        <v>237</v>
      </c>
    </row>
    <row r="21" spans="1:185" x14ac:dyDescent="0.2">
      <c r="A21" s="106"/>
      <c r="B21" s="22">
        <v>2219</v>
      </c>
      <c r="C21" s="22">
        <v>46</v>
      </c>
      <c r="D21" s="124" t="s">
        <v>248</v>
      </c>
      <c r="E21" s="34"/>
      <c r="F21" s="13">
        <v>250</v>
      </c>
      <c r="G21" s="43">
        <f t="shared" si="0"/>
        <v>250</v>
      </c>
      <c r="H21" s="43" t="s">
        <v>361</v>
      </c>
      <c r="I21" s="173" t="s">
        <v>364</v>
      </c>
      <c r="J21" s="161" t="s">
        <v>107</v>
      </c>
    </row>
    <row r="22" spans="1:185" x14ac:dyDescent="0.2">
      <c r="A22" s="106"/>
      <c r="B22" s="22">
        <v>2219</v>
      </c>
      <c r="C22" s="22">
        <v>49</v>
      </c>
      <c r="D22" s="124" t="s">
        <v>351</v>
      </c>
      <c r="E22" s="34"/>
      <c r="F22" s="13">
        <v>150</v>
      </c>
      <c r="G22" s="43">
        <f t="shared" si="0"/>
        <v>150</v>
      </c>
      <c r="H22" s="43"/>
      <c r="I22" s="173" t="s">
        <v>364</v>
      </c>
      <c r="J22" s="161" t="s">
        <v>107</v>
      </c>
    </row>
    <row r="23" spans="1:185" x14ac:dyDescent="0.2">
      <c r="A23" s="106"/>
      <c r="B23" s="22">
        <v>2292</v>
      </c>
      <c r="C23" s="22">
        <v>204</v>
      </c>
      <c r="D23" s="124" t="s">
        <v>108</v>
      </c>
      <c r="E23" s="34">
        <v>486</v>
      </c>
      <c r="F23" s="13"/>
      <c r="G23" s="43">
        <f t="shared" si="0"/>
        <v>486</v>
      </c>
      <c r="H23" s="43" t="s">
        <v>332</v>
      </c>
      <c r="I23" s="214" t="s">
        <v>180</v>
      </c>
      <c r="J23" s="160" t="s">
        <v>67</v>
      </c>
    </row>
    <row r="24" spans="1:185" x14ac:dyDescent="0.2">
      <c r="A24" s="268"/>
      <c r="B24" s="22">
        <v>2321</v>
      </c>
      <c r="C24" s="22">
        <v>5103</v>
      </c>
      <c r="D24" s="124" t="s">
        <v>257</v>
      </c>
      <c r="E24" s="34">
        <v>46</v>
      </c>
      <c r="F24" s="13">
        <v>1200</v>
      </c>
      <c r="G24" s="43">
        <f t="shared" si="0"/>
        <v>1246</v>
      </c>
      <c r="H24" s="43"/>
      <c r="I24" s="269" t="s">
        <v>271</v>
      </c>
      <c r="J24" s="270" t="s">
        <v>67</v>
      </c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4"/>
      <c r="ET24" s="224"/>
      <c r="EU24" s="224"/>
      <c r="EV24" s="224"/>
      <c r="EW24" s="224"/>
      <c r="EX24" s="224"/>
      <c r="EY24" s="224"/>
      <c r="EZ24" s="224"/>
      <c r="FA24" s="224"/>
      <c r="FB24" s="224"/>
      <c r="FC24" s="224"/>
      <c r="FD24" s="224"/>
      <c r="FE24" s="224"/>
      <c r="FF24" s="224"/>
      <c r="FG24" s="224"/>
      <c r="FH24" s="224"/>
      <c r="FI24" s="224"/>
      <c r="FJ24" s="224"/>
      <c r="FK24" s="224"/>
      <c r="FL24" s="224"/>
      <c r="FM24" s="224"/>
      <c r="FN24" s="224"/>
      <c r="FO24" s="224"/>
      <c r="FP24" s="224"/>
      <c r="FQ24" s="224"/>
      <c r="FR24" s="224"/>
      <c r="FS24" s="224"/>
      <c r="FT24" s="224"/>
      <c r="FU24" s="224"/>
      <c r="FV24" s="224"/>
      <c r="FW24" s="224"/>
      <c r="FX24" s="224"/>
      <c r="FY24" s="224"/>
      <c r="FZ24" s="224"/>
      <c r="GA24" s="224"/>
      <c r="GB24" s="224"/>
      <c r="GC24" s="224"/>
    </row>
    <row r="25" spans="1:185" s="224" customFormat="1" x14ac:dyDescent="0.2">
      <c r="A25" s="108"/>
      <c r="B25" s="26">
        <v>2333</v>
      </c>
      <c r="C25" s="26">
        <v>233</v>
      </c>
      <c r="D25" s="206" t="s">
        <v>328</v>
      </c>
      <c r="E25" s="47">
        <v>80</v>
      </c>
      <c r="F25" s="50"/>
      <c r="G25" s="49">
        <f t="shared" si="0"/>
        <v>80</v>
      </c>
      <c r="H25" s="49" t="s">
        <v>348</v>
      </c>
      <c r="I25" s="171" t="s">
        <v>144</v>
      </c>
      <c r="J25" s="163" t="s">
        <v>107</v>
      </c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/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252"/>
      <c r="DF25" s="252"/>
      <c r="DG25" s="252"/>
      <c r="DH25" s="252"/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252"/>
      <c r="DX25" s="252"/>
      <c r="DY25" s="252"/>
      <c r="DZ25" s="252"/>
      <c r="EA25" s="252"/>
      <c r="EB25" s="252"/>
      <c r="EC25" s="252"/>
      <c r="ED25" s="252"/>
      <c r="EE25" s="252"/>
      <c r="EF25" s="252"/>
      <c r="EG25" s="252"/>
      <c r="EH25" s="252"/>
      <c r="EI25" s="252"/>
      <c r="EJ25" s="252"/>
      <c r="EK25" s="252"/>
      <c r="EL25" s="252"/>
      <c r="EM25" s="252"/>
      <c r="EN25" s="252"/>
      <c r="EO25" s="252"/>
      <c r="EP25" s="252"/>
      <c r="EQ25" s="252"/>
      <c r="ER25" s="252"/>
      <c r="ES25" s="252"/>
      <c r="ET25" s="252"/>
      <c r="EU25" s="252"/>
      <c r="EV25" s="252"/>
      <c r="EW25" s="252"/>
      <c r="EX25" s="252"/>
      <c r="EY25" s="252"/>
      <c r="EZ25" s="252"/>
      <c r="FA25" s="252"/>
      <c r="FB25" s="252"/>
      <c r="FC25" s="252"/>
      <c r="FD25" s="252"/>
      <c r="FE25" s="252"/>
      <c r="FF25" s="252"/>
      <c r="FG25" s="252"/>
      <c r="FH25" s="252"/>
      <c r="FI25" s="252"/>
      <c r="FJ25" s="252"/>
      <c r="FK25" s="252"/>
      <c r="FL25" s="252"/>
      <c r="FM25" s="252"/>
      <c r="FN25" s="252"/>
      <c r="FO25" s="252"/>
      <c r="FP25" s="252"/>
      <c r="FQ25" s="252"/>
      <c r="FR25" s="252"/>
      <c r="FS25" s="252"/>
      <c r="FT25" s="252"/>
      <c r="FU25" s="252"/>
      <c r="FV25" s="252"/>
      <c r="FW25" s="252"/>
      <c r="FX25" s="252"/>
      <c r="FY25" s="252"/>
      <c r="FZ25" s="252"/>
      <c r="GA25" s="252"/>
      <c r="GB25" s="252"/>
      <c r="GC25" s="252"/>
    </row>
    <row r="26" spans="1:185" x14ac:dyDescent="0.2">
      <c r="A26" s="71">
        <v>31</v>
      </c>
      <c r="B26" s="23">
        <v>3100</v>
      </c>
      <c r="C26" s="23"/>
      <c r="D26" s="200" t="s">
        <v>372</v>
      </c>
      <c r="E26" s="41">
        <f>SUM(E27:E39)</f>
        <v>15257</v>
      </c>
      <c r="F26" s="15">
        <f>SUM(F27:F39)</f>
        <v>15015</v>
      </c>
      <c r="G26" s="42">
        <f>SUM(G27:G39)</f>
        <v>30272</v>
      </c>
      <c r="H26" s="42"/>
      <c r="I26" s="174"/>
      <c r="J26" s="58"/>
    </row>
    <row r="27" spans="1:185" ht="12" customHeight="1" x14ac:dyDescent="0.2">
      <c r="A27" s="106"/>
      <c r="B27" s="22">
        <v>3111</v>
      </c>
      <c r="C27" s="22">
        <v>301</v>
      </c>
      <c r="D27" s="124" t="s">
        <v>188</v>
      </c>
      <c r="E27" s="34">
        <v>1415</v>
      </c>
      <c r="F27" s="13"/>
      <c r="G27" s="43">
        <f t="shared" ref="G27:G31" si="1">E27+F27</f>
        <v>1415</v>
      </c>
      <c r="H27" s="43"/>
      <c r="I27" s="172" t="s">
        <v>181</v>
      </c>
      <c r="J27" s="160" t="s">
        <v>67</v>
      </c>
    </row>
    <row r="28" spans="1:185" ht="12" customHeight="1" x14ac:dyDescent="0.2">
      <c r="A28" s="106"/>
      <c r="B28" s="22">
        <v>3111</v>
      </c>
      <c r="C28" s="22">
        <v>301</v>
      </c>
      <c r="D28" s="124" t="s">
        <v>201</v>
      </c>
      <c r="E28" s="34">
        <v>231</v>
      </c>
      <c r="F28" s="13"/>
      <c r="G28" s="43">
        <f t="shared" si="1"/>
        <v>231</v>
      </c>
      <c r="H28" s="43"/>
      <c r="I28" s="172" t="s">
        <v>181</v>
      </c>
      <c r="J28" s="160" t="s">
        <v>67</v>
      </c>
    </row>
    <row r="29" spans="1:185" ht="12" customHeight="1" x14ac:dyDescent="0.2">
      <c r="A29" s="106"/>
      <c r="B29" s="22">
        <v>3111</v>
      </c>
      <c r="C29" s="22" t="s">
        <v>307</v>
      </c>
      <c r="D29" s="124" t="s">
        <v>293</v>
      </c>
      <c r="E29" s="34">
        <v>4500</v>
      </c>
      <c r="F29" s="13"/>
      <c r="G29" s="43">
        <f t="shared" si="1"/>
        <v>4500</v>
      </c>
      <c r="H29" s="43"/>
      <c r="I29" s="173" t="s">
        <v>144</v>
      </c>
      <c r="J29" s="161" t="s">
        <v>107</v>
      </c>
    </row>
    <row r="30" spans="1:185" x14ac:dyDescent="0.2">
      <c r="A30" s="106"/>
      <c r="B30" s="22">
        <v>3113</v>
      </c>
      <c r="C30" s="22">
        <v>300</v>
      </c>
      <c r="D30" s="124" t="s">
        <v>182</v>
      </c>
      <c r="E30" s="34">
        <f>3200+100</f>
        <v>3300</v>
      </c>
      <c r="F30" s="13"/>
      <c r="G30" s="43">
        <f t="shared" si="1"/>
        <v>3300</v>
      </c>
      <c r="H30" s="43" t="s">
        <v>362</v>
      </c>
      <c r="I30" s="173" t="s">
        <v>144</v>
      </c>
      <c r="J30" s="161" t="s">
        <v>107</v>
      </c>
    </row>
    <row r="31" spans="1:185" ht="12.75" customHeight="1" x14ac:dyDescent="0.2">
      <c r="A31" s="106"/>
      <c r="B31" s="22">
        <v>3113</v>
      </c>
      <c r="C31" s="22">
        <v>303</v>
      </c>
      <c r="D31" s="124" t="s">
        <v>189</v>
      </c>
      <c r="E31" s="34">
        <f>1770+296</f>
        <v>2066</v>
      </c>
      <c r="F31" s="13"/>
      <c r="G31" s="43">
        <f t="shared" si="1"/>
        <v>2066</v>
      </c>
      <c r="H31" s="43" t="s">
        <v>334</v>
      </c>
      <c r="I31" s="172" t="s">
        <v>181</v>
      </c>
      <c r="J31" s="160" t="s">
        <v>67</v>
      </c>
    </row>
    <row r="32" spans="1:185" x14ac:dyDescent="0.2">
      <c r="A32" s="106"/>
      <c r="B32" s="22">
        <v>3113</v>
      </c>
      <c r="C32" s="22">
        <v>303.30399999999997</v>
      </c>
      <c r="D32" s="124" t="s">
        <v>202</v>
      </c>
      <c r="E32" s="34">
        <f>661+462</f>
        <v>1123</v>
      </c>
      <c r="F32" s="13"/>
      <c r="G32" s="43">
        <f t="shared" ref="G32:G39" si="2">E32+F32</f>
        <v>1123</v>
      </c>
      <c r="H32" s="43"/>
      <c r="I32" s="172" t="s">
        <v>181</v>
      </c>
      <c r="J32" s="160" t="s">
        <v>67</v>
      </c>
    </row>
    <row r="33" spans="1:160" x14ac:dyDescent="0.2">
      <c r="A33" s="106"/>
      <c r="B33" s="22">
        <v>3113</v>
      </c>
      <c r="C33" s="22">
        <v>304</v>
      </c>
      <c r="D33" s="124" t="s">
        <v>190</v>
      </c>
      <c r="E33" s="34">
        <v>1431</v>
      </c>
      <c r="F33" s="13"/>
      <c r="G33" s="43">
        <f t="shared" si="2"/>
        <v>1431</v>
      </c>
      <c r="H33" s="43" t="s">
        <v>363</v>
      </c>
      <c r="I33" s="172" t="s">
        <v>181</v>
      </c>
      <c r="J33" s="160" t="s">
        <v>67</v>
      </c>
    </row>
    <row r="34" spans="1:160" x14ac:dyDescent="0.2">
      <c r="A34" s="106"/>
      <c r="B34" s="22">
        <v>3113</v>
      </c>
      <c r="C34" s="22">
        <v>4169</v>
      </c>
      <c r="D34" s="225" t="s">
        <v>278</v>
      </c>
      <c r="E34" s="34">
        <v>150</v>
      </c>
      <c r="F34" s="13">
        <f>12450+1065+100</f>
        <v>13615</v>
      </c>
      <c r="G34" s="43">
        <f t="shared" si="2"/>
        <v>13765</v>
      </c>
      <c r="H34" s="43"/>
      <c r="I34" s="173" t="s">
        <v>364</v>
      </c>
      <c r="J34" s="161" t="s">
        <v>107</v>
      </c>
    </row>
    <row r="35" spans="1:160" x14ac:dyDescent="0.2">
      <c r="A35" s="106"/>
      <c r="B35" s="22">
        <v>3113</v>
      </c>
      <c r="C35" s="22">
        <v>319</v>
      </c>
      <c r="D35" s="124" t="s">
        <v>352</v>
      </c>
      <c r="E35" s="34"/>
      <c r="F35" s="13">
        <v>500</v>
      </c>
      <c r="G35" s="43">
        <f t="shared" si="2"/>
        <v>500</v>
      </c>
      <c r="H35" s="43" t="s">
        <v>353</v>
      </c>
      <c r="I35" s="173" t="s">
        <v>364</v>
      </c>
      <c r="J35" s="161" t="s">
        <v>107</v>
      </c>
    </row>
    <row r="36" spans="1:160" x14ac:dyDescent="0.2">
      <c r="A36" s="106"/>
      <c r="B36" s="22">
        <v>3119</v>
      </c>
      <c r="C36" s="22">
        <v>1112</v>
      </c>
      <c r="D36" s="124" t="s">
        <v>213</v>
      </c>
      <c r="E36" s="34">
        <v>160</v>
      </c>
      <c r="F36" s="13"/>
      <c r="G36" s="43">
        <f t="shared" si="2"/>
        <v>160</v>
      </c>
      <c r="H36" s="43" t="s">
        <v>241</v>
      </c>
      <c r="I36" s="172" t="s">
        <v>181</v>
      </c>
      <c r="J36" s="160" t="s">
        <v>67</v>
      </c>
    </row>
    <row r="37" spans="1:160" x14ac:dyDescent="0.2">
      <c r="A37" s="106"/>
      <c r="B37" s="22">
        <v>3141</v>
      </c>
      <c r="C37" s="22">
        <v>309</v>
      </c>
      <c r="D37" s="124" t="s">
        <v>220</v>
      </c>
      <c r="E37" s="34">
        <v>540</v>
      </c>
      <c r="F37" s="13">
        <v>900</v>
      </c>
      <c r="G37" s="43">
        <f t="shared" si="2"/>
        <v>1440</v>
      </c>
      <c r="H37" s="43" t="s">
        <v>354</v>
      </c>
      <c r="I37" s="172" t="s">
        <v>181</v>
      </c>
      <c r="J37" s="165" t="s">
        <v>245</v>
      </c>
    </row>
    <row r="38" spans="1:160" x14ac:dyDescent="0.2">
      <c r="A38" s="106"/>
      <c r="B38" s="22">
        <v>3231</v>
      </c>
      <c r="C38" s="22">
        <v>310</v>
      </c>
      <c r="D38" s="124" t="s">
        <v>274</v>
      </c>
      <c r="E38" s="34">
        <v>275</v>
      </c>
      <c r="F38" s="13"/>
      <c r="G38" s="43">
        <f t="shared" si="2"/>
        <v>275</v>
      </c>
      <c r="H38" s="43"/>
      <c r="I38" s="172" t="s">
        <v>181</v>
      </c>
      <c r="J38" s="160" t="s">
        <v>67</v>
      </c>
    </row>
    <row r="39" spans="1:160" x14ac:dyDescent="0.2">
      <c r="A39" s="108"/>
      <c r="B39" s="26">
        <v>3231</v>
      </c>
      <c r="C39" s="26">
        <v>310</v>
      </c>
      <c r="D39" s="206" t="s">
        <v>203</v>
      </c>
      <c r="E39" s="47">
        <v>66</v>
      </c>
      <c r="F39" s="50"/>
      <c r="G39" s="49">
        <f t="shared" si="2"/>
        <v>66</v>
      </c>
      <c r="H39" s="49"/>
      <c r="I39" s="215" t="s">
        <v>181</v>
      </c>
      <c r="J39" s="164" t="s">
        <v>67</v>
      </c>
    </row>
    <row r="40" spans="1:160" x14ac:dyDescent="0.2">
      <c r="A40" s="71">
        <v>33</v>
      </c>
      <c r="B40" s="23">
        <v>3300</v>
      </c>
      <c r="C40" s="23"/>
      <c r="D40" s="200" t="s">
        <v>68</v>
      </c>
      <c r="E40" s="41">
        <f>SUM(E41:E51)</f>
        <v>11005</v>
      </c>
      <c r="F40" s="15">
        <f>SUM(F41:F51)</f>
        <v>80</v>
      </c>
      <c r="G40" s="42">
        <f>SUM(G41:G51)</f>
        <v>11085</v>
      </c>
      <c r="H40" s="42"/>
      <c r="I40" s="174"/>
      <c r="J40" s="58"/>
    </row>
    <row r="41" spans="1:160" x14ac:dyDescent="0.2">
      <c r="A41" s="106"/>
      <c r="B41" s="22">
        <v>3314</v>
      </c>
      <c r="C41" s="22">
        <v>504</v>
      </c>
      <c r="D41" s="124" t="s">
        <v>106</v>
      </c>
      <c r="E41" s="34">
        <f>211+40+80+1405</f>
        <v>1736</v>
      </c>
      <c r="F41" s="13">
        <v>80</v>
      </c>
      <c r="G41" s="43">
        <f>E41+F41</f>
        <v>1816</v>
      </c>
      <c r="H41" s="43"/>
      <c r="I41" s="48" t="s">
        <v>223</v>
      </c>
      <c r="J41" s="43" t="s">
        <v>117</v>
      </c>
    </row>
    <row r="42" spans="1:160" x14ac:dyDescent="0.2">
      <c r="A42" s="106"/>
      <c r="B42" s="22">
        <v>3315</v>
      </c>
      <c r="C42" s="22">
        <v>505</v>
      </c>
      <c r="D42" s="124" t="s">
        <v>211</v>
      </c>
      <c r="E42" s="34">
        <f>1200+85</f>
        <v>1285</v>
      </c>
      <c r="F42" s="13"/>
      <c r="G42" s="43">
        <f t="shared" ref="G42:G50" si="3">E42+F42</f>
        <v>1285</v>
      </c>
      <c r="H42" s="43" t="s">
        <v>355</v>
      </c>
      <c r="I42" s="172" t="s">
        <v>181</v>
      </c>
      <c r="J42" s="160" t="s">
        <v>67</v>
      </c>
    </row>
    <row r="43" spans="1:160" ht="12.75" customHeight="1" x14ac:dyDescent="0.2">
      <c r="A43" s="106"/>
      <c r="B43" s="22">
        <v>3319</v>
      </c>
      <c r="C43" s="22">
        <v>106</v>
      </c>
      <c r="D43" s="124" t="s">
        <v>300</v>
      </c>
      <c r="E43" s="34">
        <v>40</v>
      </c>
      <c r="F43" s="13"/>
      <c r="G43" s="43">
        <f t="shared" si="3"/>
        <v>40</v>
      </c>
      <c r="H43" s="43" t="s">
        <v>336</v>
      </c>
      <c r="I43" s="172" t="s">
        <v>181</v>
      </c>
      <c r="J43" s="160" t="s">
        <v>67</v>
      </c>
    </row>
    <row r="44" spans="1:160" ht="12.75" customHeight="1" x14ac:dyDescent="0.2">
      <c r="A44" s="106"/>
      <c r="B44" s="22">
        <v>3319</v>
      </c>
      <c r="C44" s="22">
        <v>112</v>
      </c>
      <c r="D44" s="124" t="s">
        <v>298</v>
      </c>
      <c r="E44" s="34">
        <v>280</v>
      </c>
      <c r="F44" s="13"/>
      <c r="G44" s="43">
        <f t="shared" si="3"/>
        <v>280</v>
      </c>
      <c r="H44" s="43"/>
      <c r="I44" s="172" t="s">
        <v>296</v>
      </c>
      <c r="J44" s="160" t="s">
        <v>67</v>
      </c>
    </row>
    <row r="45" spans="1:160" x14ac:dyDescent="0.2">
      <c r="A45" s="106"/>
      <c r="B45" s="22">
        <v>3322</v>
      </c>
      <c r="C45" s="22">
        <v>111</v>
      </c>
      <c r="D45" s="124" t="s">
        <v>272</v>
      </c>
      <c r="E45" s="34">
        <v>206</v>
      </c>
      <c r="F45" s="13"/>
      <c r="G45" s="43">
        <f t="shared" si="3"/>
        <v>206</v>
      </c>
      <c r="H45" s="43" t="s">
        <v>337</v>
      </c>
      <c r="I45" s="175" t="s">
        <v>280</v>
      </c>
      <c r="J45" s="161" t="s">
        <v>107</v>
      </c>
    </row>
    <row r="46" spans="1:160" x14ac:dyDescent="0.2">
      <c r="A46" s="106"/>
      <c r="B46" s="22">
        <v>3322.3326000000002</v>
      </c>
      <c r="C46" s="22" t="s">
        <v>206</v>
      </c>
      <c r="D46" s="124" t="s">
        <v>129</v>
      </c>
      <c r="E46" s="34">
        <f>1780+239+150+90+30+350</f>
        <v>2639</v>
      </c>
      <c r="F46" s="13"/>
      <c r="G46" s="43">
        <f t="shared" si="3"/>
        <v>2639</v>
      </c>
      <c r="H46" s="43"/>
      <c r="I46" s="175" t="s">
        <v>280</v>
      </c>
      <c r="J46" s="161" t="s">
        <v>107</v>
      </c>
    </row>
    <row r="47" spans="1:160" x14ac:dyDescent="0.2">
      <c r="A47" s="106"/>
      <c r="B47" s="22">
        <v>3326</v>
      </c>
      <c r="C47" s="22">
        <v>103</v>
      </c>
      <c r="D47" s="124" t="s">
        <v>193</v>
      </c>
      <c r="E47" s="34">
        <v>80</v>
      </c>
      <c r="F47" s="13"/>
      <c r="G47" s="43">
        <f t="shared" si="3"/>
        <v>80</v>
      </c>
      <c r="H47" s="43"/>
      <c r="I47" s="175" t="s">
        <v>280</v>
      </c>
      <c r="J47" s="161" t="s">
        <v>107</v>
      </c>
    </row>
    <row r="48" spans="1:160" x14ac:dyDescent="0.2">
      <c r="A48" s="106"/>
      <c r="B48" s="22">
        <v>3349</v>
      </c>
      <c r="C48" s="22">
        <v>42</v>
      </c>
      <c r="D48" s="124" t="s">
        <v>69</v>
      </c>
      <c r="E48" s="34">
        <v>379</v>
      </c>
      <c r="F48" s="13"/>
      <c r="G48" s="43">
        <f t="shared" si="3"/>
        <v>379</v>
      </c>
      <c r="H48" s="43"/>
      <c r="I48" s="202" t="s">
        <v>347</v>
      </c>
      <c r="J48" s="201" t="s">
        <v>65</v>
      </c>
      <c r="FD48" s="87">
        <f>SUM(H48:FC48)</f>
        <v>0</v>
      </c>
    </row>
    <row r="49" spans="1:10" x14ac:dyDescent="0.2">
      <c r="A49" s="106"/>
      <c r="B49" s="22">
        <v>3392</v>
      </c>
      <c r="C49" s="22">
        <v>312</v>
      </c>
      <c r="D49" s="124" t="s">
        <v>210</v>
      </c>
      <c r="E49" s="34">
        <v>3553</v>
      </c>
      <c r="F49" s="13"/>
      <c r="G49" s="43">
        <f t="shared" si="3"/>
        <v>3553</v>
      </c>
      <c r="H49" s="43" t="s">
        <v>235</v>
      </c>
      <c r="I49" s="172" t="s">
        <v>181</v>
      </c>
      <c r="J49" s="160" t="s">
        <v>67</v>
      </c>
    </row>
    <row r="50" spans="1:10" x14ac:dyDescent="0.2">
      <c r="A50" s="106"/>
      <c r="B50" s="22">
        <v>3392</v>
      </c>
      <c r="C50" s="22" t="s">
        <v>205</v>
      </c>
      <c r="D50" s="124" t="s">
        <v>204</v>
      </c>
      <c r="E50" s="34">
        <f>355+302</f>
        <v>657</v>
      </c>
      <c r="F50" s="13"/>
      <c r="G50" s="43">
        <f t="shared" si="3"/>
        <v>657</v>
      </c>
      <c r="H50" s="43"/>
      <c r="I50" s="172" t="s">
        <v>181</v>
      </c>
      <c r="J50" s="160" t="s">
        <v>67</v>
      </c>
    </row>
    <row r="51" spans="1:10" x14ac:dyDescent="0.2">
      <c r="A51" s="106"/>
      <c r="B51" s="22">
        <v>3399</v>
      </c>
      <c r="C51" s="22">
        <v>313</v>
      </c>
      <c r="D51" s="124" t="s">
        <v>91</v>
      </c>
      <c r="E51" s="34">
        <v>150</v>
      </c>
      <c r="F51" s="13"/>
      <c r="G51" s="43">
        <f>E51+F51</f>
        <v>150</v>
      </c>
      <c r="H51" s="43" t="s">
        <v>236</v>
      </c>
      <c r="I51" s="202" t="s">
        <v>222</v>
      </c>
      <c r="J51" s="210" t="s">
        <v>295</v>
      </c>
    </row>
    <row r="52" spans="1:10" x14ac:dyDescent="0.2">
      <c r="A52" s="107">
        <v>34</v>
      </c>
      <c r="B52" s="18">
        <v>3400</v>
      </c>
      <c r="C52" s="18"/>
      <c r="D52" s="205" t="s">
        <v>70</v>
      </c>
      <c r="E52" s="44">
        <f>SUM(E53:E59)</f>
        <v>6240</v>
      </c>
      <c r="F52" s="45">
        <f>SUM(F53:F59)</f>
        <v>9640</v>
      </c>
      <c r="G52" s="46">
        <f>SUM(G53:G59)</f>
        <v>15880</v>
      </c>
      <c r="H52" s="46"/>
      <c r="I52" s="174"/>
      <c r="J52" s="58"/>
    </row>
    <row r="53" spans="1:10" ht="13.5" customHeight="1" x14ac:dyDescent="0.2">
      <c r="A53" s="106"/>
      <c r="B53" s="22">
        <v>3412</v>
      </c>
      <c r="C53" s="22">
        <v>506</v>
      </c>
      <c r="D53" s="124" t="s">
        <v>277</v>
      </c>
      <c r="E53" s="34">
        <v>4500</v>
      </c>
      <c r="F53" s="13"/>
      <c r="G53" s="43">
        <f t="shared" ref="G53:G59" si="4">E53+F53</f>
        <v>4500</v>
      </c>
      <c r="H53" s="43" t="s">
        <v>279</v>
      </c>
      <c r="I53" s="172" t="s">
        <v>181</v>
      </c>
      <c r="J53" s="160" t="s">
        <v>67</v>
      </c>
    </row>
    <row r="54" spans="1:10" ht="13.5" customHeight="1" x14ac:dyDescent="0.2">
      <c r="A54" s="106"/>
      <c r="B54" s="22">
        <v>3412</v>
      </c>
      <c r="C54" s="22">
        <v>506</v>
      </c>
      <c r="D54" s="124" t="s">
        <v>283</v>
      </c>
      <c r="E54" s="34"/>
      <c r="F54" s="13">
        <f>3640+6000</f>
        <v>9640</v>
      </c>
      <c r="G54" s="43">
        <f t="shared" si="4"/>
        <v>9640</v>
      </c>
      <c r="H54" s="43" t="s">
        <v>294</v>
      </c>
      <c r="I54" s="172" t="s">
        <v>181</v>
      </c>
      <c r="J54" s="160" t="s">
        <v>67</v>
      </c>
    </row>
    <row r="55" spans="1:10" ht="13.5" customHeight="1" x14ac:dyDescent="0.2">
      <c r="A55" s="106"/>
      <c r="B55" s="22">
        <v>3412</v>
      </c>
      <c r="C55" s="22">
        <v>506</v>
      </c>
      <c r="D55" s="124" t="s">
        <v>277</v>
      </c>
      <c r="E55" s="34">
        <v>300</v>
      </c>
      <c r="F55" s="13"/>
      <c r="G55" s="43">
        <f t="shared" si="4"/>
        <v>300</v>
      </c>
      <c r="H55" s="43" t="s">
        <v>356</v>
      </c>
      <c r="I55" s="172" t="s">
        <v>181</v>
      </c>
      <c r="J55" s="160" t="s">
        <v>67</v>
      </c>
    </row>
    <row r="56" spans="1:10" ht="13.5" customHeight="1" x14ac:dyDescent="0.2">
      <c r="A56" s="106"/>
      <c r="B56" s="22">
        <v>3412</v>
      </c>
      <c r="C56" s="22">
        <v>216</v>
      </c>
      <c r="D56" s="124" t="s">
        <v>282</v>
      </c>
      <c r="E56" s="34">
        <f>172+73</f>
        <v>245</v>
      </c>
      <c r="F56" s="13"/>
      <c r="G56" s="43">
        <f t="shared" si="4"/>
        <v>245</v>
      </c>
      <c r="H56" s="43"/>
      <c r="I56" s="173" t="s">
        <v>258</v>
      </c>
      <c r="J56" s="240" t="s">
        <v>64</v>
      </c>
    </row>
    <row r="57" spans="1:10" ht="13.5" customHeight="1" x14ac:dyDescent="0.2">
      <c r="A57" s="106"/>
      <c r="B57" s="22">
        <v>3419</v>
      </c>
      <c r="C57" s="22">
        <v>105</v>
      </c>
      <c r="D57" s="124" t="s">
        <v>301</v>
      </c>
      <c r="E57" s="34">
        <v>50</v>
      </c>
      <c r="F57" s="13"/>
      <c r="G57" s="43">
        <f t="shared" si="4"/>
        <v>50</v>
      </c>
      <c r="H57" s="43" t="s">
        <v>299</v>
      </c>
      <c r="I57" s="172" t="s">
        <v>296</v>
      </c>
      <c r="J57" s="160" t="s">
        <v>67</v>
      </c>
    </row>
    <row r="58" spans="1:10" ht="13.5" customHeight="1" x14ac:dyDescent="0.2">
      <c r="A58" s="106"/>
      <c r="B58" s="22">
        <v>3419</v>
      </c>
      <c r="C58" s="22">
        <v>104</v>
      </c>
      <c r="D58" s="124" t="s">
        <v>291</v>
      </c>
      <c r="E58" s="34">
        <f>50+45+20+50+30</f>
        <v>195</v>
      </c>
      <c r="F58" s="13"/>
      <c r="G58" s="43">
        <f t="shared" si="4"/>
        <v>195</v>
      </c>
      <c r="H58" s="43"/>
      <c r="I58" s="172" t="s">
        <v>296</v>
      </c>
      <c r="J58" s="160" t="s">
        <v>67</v>
      </c>
    </row>
    <row r="59" spans="1:10" ht="12.75" customHeight="1" x14ac:dyDescent="0.2">
      <c r="A59" s="106"/>
      <c r="B59" s="22">
        <v>3421</v>
      </c>
      <c r="C59" s="22">
        <v>105</v>
      </c>
      <c r="D59" s="124" t="s">
        <v>289</v>
      </c>
      <c r="E59" s="34">
        <v>950</v>
      </c>
      <c r="F59" s="13"/>
      <c r="G59" s="43">
        <f t="shared" si="4"/>
        <v>950</v>
      </c>
      <c r="H59" s="43"/>
      <c r="I59" s="172" t="s">
        <v>296</v>
      </c>
      <c r="J59" s="160" t="s">
        <v>67</v>
      </c>
    </row>
    <row r="60" spans="1:10" x14ac:dyDescent="0.2">
      <c r="A60" s="107">
        <v>35</v>
      </c>
      <c r="B60" s="18">
        <v>3500</v>
      </c>
      <c r="C60" s="18"/>
      <c r="D60" s="205" t="s">
        <v>104</v>
      </c>
      <c r="E60" s="44">
        <f>SUM(E61:E61)</f>
        <v>351</v>
      </c>
      <c r="F60" s="45">
        <f>SUM(F61:F61)</f>
        <v>792</v>
      </c>
      <c r="G60" s="46">
        <f>SUM(G61:G61)</f>
        <v>1143</v>
      </c>
      <c r="H60" s="46"/>
      <c r="I60" s="44"/>
      <c r="J60" s="166"/>
    </row>
    <row r="61" spans="1:10" x14ac:dyDescent="0.2">
      <c r="A61" s="71"/>
      <c r="B61" s="23">
        <v>3522</v>
      </c>
      <c r="C61" s="23">
        <v>233</v>
      </c>
      <c r="D61" s="192" t="s">
        <v>254</v>
      </c>
      <c r="E61" s="123">
        <f>221+130</f>
        <v>351</v>
      </c>
      <c r="F61" s="13">
        <v>792</v>
      </c>
      <c r="G61" s="223">
        <f>E61+F61</f>
        <v>1143</v>
      </c>
      <c r="H61" s="223" t="s">
        <v>312</v>
      </c>
      <c r="I61" s="172" t="s">
        <v>181</v>
      </c>
      <c r="J61" s="160" t="s">
        <v>67</v>
      </c>
    </row>
    <row r="62" spans="1:10" x14ac:dyDescent="0.2">
      <c r="A62" s="107">
        <v>36</v>
      </c>
      <c r="B62" s="18">
        <v>3600</v>
      </c>
      <c r="C62" s="18"/>
      <c r="D62" s="205" t="s">
        <v>71</v>
      </c>
      <c r="E62" s="44">
        <f>SUM(E63:E82)</f>
        <v>15302</v>
      </c>
      <c r="F62" s="45">
        <f>SUM(F63:F82)</f>
        <v>22650</v>
      </c>
      <c r="G62" s="46">
        <f>SUM(G63:G82)</f>
        <v>37952</v>
      </c>
      <c r="H62" s="46"/>
      <c r="I62" s="44"/>
      <c r="J62" s="166"/>
    </row>
    <row r="63" spans="1:10" ht="12" customHeight="1" x14ac:dyDescent="0.2">
      <c r="A63" s="106"/>
      <c r="B63" s="22">
        <v>3612</v>
      </c>
      <c r="C63" s="22" t="s">
        <v>239</v>
      </c>
      <c r="D63" s="124" t="s">
        <v>113</v>
      </c>
      <c r="E63" s="34">
        <f>8006-500</f>
        <v>7506</v>
      </c>
      <c r="F63" s="13"/>
      <c r="G63" s="43">
        <f t="shared" ref="G63:G82" si="5">E63+F63</f>
        <v>7506</v>
      </c>
      <c r="H63" s="43" t="s">
        <v>365</v>
      </c>
      <c r="I63" s="169" t="s">
        <v>281</v>
      </c>
      <c r="J63" s="167" t="s">
        <v>238</v>
      </c>
    </row>
    <row r="64" spans="1:10" x14ac:dyDescent="0.2">
      <c r="A64" s="106"/>
      <c r="B64" s="22">
        <v>3612</v>
      </c>
      <c r="C64" s="22" t="s">
        <v>239</v>
      </c>
      <c r="D64" s="124" t="s">
        <v>114</v>
      </c>
      <c r="E64" s="34">
        <v>1980</v>
      </c>
      <c r="F64" s="13"/>
      <c r="G64" s="43">
        <f t="shared" si="5"/>
        <v>1980</v>
      </c>
      <c r="H64" s="43" t="s">
        <v>246</v>
      </c>
      <c r="I64" s="169" t="s">
        <v>281</v>
      </c>
      <c r="J64" s="167" t="s">
        <v>238</v>
      </c>
    </row>
    <row r="65" spans="1:10" x14ac:dyDescent="0.2">
      <c r="A65" s="106"/>
      <c r="B65" s="22">
        <v>3612</v>
      </c>
      <c r="C65" s="22">
        <v>324</v>
      </c>
      <c r="D65" s="207" t="s">
        <v>290</v>
      </c>
      <c r="E65" s="34">
        <v>40</v>
      </c>
      <c r="F65" s="13">
        <v>4800</v>
      </c>
      <c r="G65" s="43">
        <f t="shared" si="5"/>
        <v>4840</v>
      </c>
      <c r="H65" s="198" t="s">
        <v>315</v>
      </c>
      <c r="I65" s="173" t="s">
        <v>364</v>
      </c>
      <c r="J65" s="161" t="s">
        <v>107</v>
      </c>
    </row>
    <row r="66" spans="1:10" x14ac:dyDescent="0.2">
      <c r="A66" s="106"/>
      <c r="B66" s="22">
        <v>3612</v>
      </c>
      <c r="C66" s="22">
        <v>326</v>
      </c>
      <c r="D66" s="124" t="s">
        <v>297</v>
      </c>
      <c r="E66" s="34"/>
      <c r="F66" s="13">
        <v>17200</v>
      </c>
      <c r="G66" s="43">
        <f t="shared" si="5"/>
        <v>17200</v>
      </c>
      <c r="H66" s="43"/>
      <c r="I66" s="173" t="s">
        <v>364</v>
      </c>
      <c r="J66" s="161" t="s">
        <v>107</v>
      </c>
    </row>
    <row r="67" spans="1:10" x14ac:dyDescent="0.2">
      <c r="A67" s="106"/>
      <c r="B67" s="22">
        <v>3612</v>
      </c>
      <c r="C67" s="22">
        <v>327</v>
      </c>
      <c r="D67" s="124" t="s">
        <v>358</v>
      </c>
      <c r="E67" s="34"/>
      <c r="F67" s="13">
        <v>300</v>
      </c>
      <c r="G67" s="43">
        <f t="shared" si="5"/>
        <v>300</v>
      </c>
      <c r="H67" s="43"/>
      <c r="I67" s="173" t="s">
        <v>364</v>
      </c>
      <c r="J67" s="161" t="s">
        <v>107</v>
      </c>
    </row>
    <row r="68" spans="1:10" x14ac:dyDescent="0.2">
      <c r="A68" s="106"/>
      <c r="B68" s="22">
        <v>3613</v>
      </c>
      <c r="C68" s="22">
        <v>305</v>
      </c>
      <c r="D68" s="207" t="s">
        <v>275</v>
      </c>
      <c r="E68" s="34">
        <f>243+146</f>
        <v>389</v>
      </c>
      <c r="F68" s="13"/>
      <c r="G68" s="43">
        <f t="shared" si="5"/>
        <v>389</v>
      </c>
      <c r="H68" s="43" t="s">
        <v>276</v>
      </c>
      <c r="I68" s="173" t="s">
        <v>258</v>
      </c>
      <c r="J68" s="161" t="s">
        <v>107</v>
      </c>
    </row>
    <row r="69" spans="1:10" x14ac:dyDescent="0.2">
      <c r="A69" s="106"/>
      <c r="B69" s="22">
        <v>3613</v>
      </c>
      <c r="C69" s="22">
        <v>316</v>
      </c>
      <c r="D69" s="124" t="s">
        <v>265</v>
      </c>
      <c r="E69" s="34">
        <v>398</v>
      </c>
      <c r="F69" s="13"/>
      <c r="G69" s="43">
        <f t="shared" si="5"/>
        <v>398</v>
      </c>
      <c r="H69" s="43" t="s">
        <v>321</v>
      </c>
      <c r="I69" s="173" t="s">
        <v>255</v>
      </c>
      <c r="J69" s="161" t="s">
        <v>64</v>
      </c>
    </row>
    <row r="70" spans="1:10" x14ac:dyDescent="0.2">
      <c r="A70" s="106"/>
      <c r="B70" s="22">
        <v>3613</v>
      </c>
      <c r="C70" s="22">
        <v>317</v>
      </c>
      <c r="D70" s="124" t="s">
        <v>183</v>
      </c>
      <c r="E70" s="34">
        <v>134</v>
      </c>
      <c r="F70" s="13"/>
      <c r="G70" s="43">
        <f t="shared" si="5"/>
        <v>134</v>
      </c>
      <c r="H70" s="43"/>
      <c r="I70" s="175" t="s">
        <v>255</v>
      </c>
      <c r="J70" s="161" t="s">
        <v>64</v>
      </c>
    </row>
    <row r="71" spans="1:10" x14ac:dyDescent="0.2">
      <c r="A71" s="106"/>
      <c r="B71" s="22">
        <v>3613</v>
      </c>
      <c r="C71" s="22">
        <v>703</v>
      </c>
      <c r="D71" s="124" t="s">
        <v>115</v>
      </c>
      <c r="E71" s="34">
        <v>300</v>
      </c>
      <c r="F71" s="13"/>
      <c r="G71" s="43">
        <f t="shared" si="5"/>
        <v>300</v>
      </c>
      <c r="H71" s="43" t="s">
        <v>335</v>
      </c>
      <c r="I71" s="169" t="s">
        <v>281</v>
      </c>
      <c r="J71" s="167" t="s">
        <v>238</v>
      </c>
    </row>
    <row r="72" spans="1:10" x14ac:dyDescent="0.2">
      <c r="A72" s="106"/>
      <c r="B72" s="22">
        <v>3613</v>
      </c>
      <c r="C72" s="22">
        <v>703</v>
      </c>
      <c r="D72" s="124" t="s">
        <v>116</v>
      </c>
      <c r="E72" s="34">
        <v>300</v>
      </c>
      <c r="F72" s="13"/>
      <c r="G72" s="43">
        <f t="shared" si="5"/>
        <v>300</v>
      </c>
      <c r="H72" s="43"/>
      <c r="I72" s="169" t="s">
        <v>281</v>
      </c>
      <c r="J72" s="167" t="s">
        <v>238</v>
      </c>
    </row>
    <row r="73" spans="1:10" x14ac:dyDescent="0.2">
      <c r="A73" s="106"/>
      <c r="B73" s="22">
        <v>3631</v>
      </c>
      <c r="C73" s="22">
        <v>107</v>
      </c>
      <c r="D73" s="124" t="s">
        <v>72</v>
      </c>
      <c r="E73" s="34">
        <v>1640</v>
      </c>
      <c r="F73" s="13"/>
      <c r="G73" s="43">
        <f t="shared" si="5"/>
        <v>1640</v>
      </c>
      <c r="H73" s="43"/>
      <c r="I73" s="173" t="s">
        <v>179</v>
      </c>
      <c r="J73" s="161" t="s">
        <v>107</v>
      </c>
    </row>
    <row r="74" spans="1:10" x14ac:dyDescent="0.2">
      <c r="A74" s="106"/>
      <c r="B74" s="22">
        <v>3632</v>
      </c>
      <c r="C74" s="22">
        <v>238</v>
      </c>
      <c r="D74" s="124" t="s">
        <v>34</v>
      </c>
      <c r="E74" s="34">
        <v>351</v>
      </c>
      <c r="F74" s="13">
        <v>50</v>
      </c>
      <c r="G74" s="43">
        <f t="shared" si="5"/>
        <v>401</v>
      </c>
      <c r="H74" s="43" t="s">
        <v>320</v>
      </c>
      <c r="I74" s="175" t="s">
        <v>255</v>
      </c>
      <c r="J74" s="161" t="s">
        <v>64</v>
      </c>
    </row>
    <row r="75" spans="1:10" x14ac:dyDescent="0.2">
      <c r="A75" s="106"/>
      <c r="B75" s="22">
        <v>3632</v>
      </c>
      <c r="C75" s="22">
        <v>232</v>
      </c>
      <c r="D75" s="124" t="s">
        <v>357</v>
      </c>
      <c r="E75" s="34"/>
      <c r="F75" s="13">
        <v>300</v>
      </c>
      <c r="G75" s="43">
        <f t="shared" si="5"/>
        <v>300</v>
      </c>
      <c r="H75" s="43"/>
      <c r="I75" s="173" t="s">
        <v>364</v>
      </c>
      <c r="J75" s="161" t="s">
        <v>107</v>
      </c>
    </row>
    <row r="76" spans="1:10" x14ac:dyDescent="0.2">
      <c r="A76" s="106"/>
      <c r="B76" s="22">
        <v>3635</v>
      </c>
      <c r="C76" s="22">
        <v>248</v>
      </c>
      <c r="D76" s="124" t="s">
        <v>186</v>
      </c>
      <c r="E76" s="34">
        <v>50</v>
      </c>
      <c r="F76" s="13"/>
      <c r="G76" s="43">
        <f t="shared" si="5"/>
        <v>50</v>
      </c>
      <c r="H76" s="43"/>
      <c r="I76" s="176" t="s">
        <v>185</v>
      </c>
      <c r="J76" s="168" t="s">
        <v>184</v>
      </c>
    </row>
    <row r="77" spans="1:10" x14ac:dyDescent="0.2">
      <c r="A77" s="106"/>
      <c r="B77" s="22">
        <v>3636</v>
      </c>
      <c r="C77" s="22">
        <v>249</v>
      </c>
      <c r="D77" s="124" t="s">
        <v>208</v>
      </c>
      <c r="E77" s="34">
        <f>238-42</f>
        <v>196</v>
      </c>
      <c r="F77" s="13"/>
      <c r="G77" s="43">
        <f t="shared" si="5"/>
        <v>196</v>
      </c>
      <c r="H77" s="13" t="s">
        <v>326</v>
      </c>
      <c r="I77" s="249" t="s">
        <v>347</v>
      </c>
      <c r="J77" s="161" t="s">
        <v>107</v>
      </c>
    </row>
    <row r="78" spans="1:10" x14ac:dyDescent="0.2">
      <c r="A78" s="106"/>
      <c r="B78" s="22">
        <v>3639</v>
      </c>
      <c r="C78" s="22">
        <v>108</v>
      </c>
      <c r="D78" s="124" t="s">
        <v>88</v>
      </c>
      <c r="E78" s="34">
        <v>800</v>
      </c>
      <c r="F78" s="13"/>
      <c r="G78" s="43">
        <f t="shared" si="5"/>
        <v>800</v>
      </c>
      <c r="H78" s="43"/>
      <c r="I78" s="173" t="s">
        <v>144</v>
      </c>
      <c r="J78" s="161" t="s">
        <v>64</v>
      </c>
    </row>
    <row r="79" spans="1:10" x14ac:dyDescent="0.2">
      <c r="A79" s="106"/>
      <c r="B79" s="22">
        <v>3639</v>
      </c>
      <c r="C79" s="22">
        <v>239</v>
      </c>
      <c r="D79" s="124" t="s">
        <v>170</v>
      </c>
      <c r="E79" s="34">
        <v>486</v>
      </c>
      <c r="F79" s="13"/>
      <c r="G79" s="43">
        <f t="shared" si="5"/>
        <v>486</v>
      </c>
      <c r="H79" s="43"/>
      <c r="I79" s="173" t="s">
        <v>179</v>
      </c>
      <c r="J79" s="161" t="s">
        <v>107</v>
      </c>
    </row>
    <row r="80" spans="1:10" x14ac:dyDescent="0.2">
      <c r="A80" s="106"/>
      <c r="B80" s="22">
        <v>3639</v>
      </c>
      <c r="C80" s="22">
        <v>243</v>
      </c>
      <c r="D80" s="124" t="s">
        <v>140</v>
      </c>
      <c r="E80" s="34">
        <f>63+315</f>
        <v>378</v>
      </c>
      <c r="F80" s="13"/>
      <c r="G80" s="43">
        <f t="shared" si="5"/>
        <v>378</v>
      </c>
      <c r="H80" s="43"/>
      <c r="I80" s="175" t="s">
        <v>64</v>
      </c>
      <c r="J80" s="161" t="s">
        <v>250</v>
      </c>
    </row>
    <row r="81" spans="1:10" x14ac:dyDescent="0.2">
      <c r="A81" s="106"/>
      <c r="B81" s="22">
        <v>3639</v>
      </c>
      <c r="C81" s="22">
        <v>319</v>
      </c>
      <c r="D81" s="124" t="s">
        <v>218</v>
      </c>
      <c r="E81" s="34">
        <v>227</v>
      </c>
      <c r="F81" s="13"/>
      <c r="G81" s="43">
        <f t="shared" si="5"/>
        <v>227</v>
      </c>
      <c r="H81" s="43" t="s">
        <v>249</v>
      </c>
      <c r="I81" s="175" t="s">
        <v>255</v>
      </c>
      <c r="J81" s="161" t="s">
        <v>64</v>
      </c>
    </row>
    <row r="82" spans="1:10" x14ac:dyDescent="0.2">
      <c r="A82" s="108"/>
      <c r="B82" s="26">
        <v>3639</v>
      </c>
      <c r="C82" s="26">
        <v>319.20999999999998</v>
      </c>
      <c r="D82" s="206" t="s">
        <v>216</v>
      </c>
      <c r="E82" s="54">
        <f>36+91</f>
        <v>127</v>
      </c>
      <c r="F82" s="13"/>
      <c r="G82" s="43">
        <f t="shared" si="5"/>
        <v>127</v>
      </c>
      <c r="H82" s="49" t="s">
        <v>314</v>
      </c>
      <c r="I82" s="209" t="s">
        <v>255</v>
      </c>
      <c r="J82" s="163" t="s">
        <v>64</v>
      </c>
    </row>
    <row r="83" spans="1:10" x14ac:dyDescent="0.2">
      <c r="A83" s="107">
        <v>37</v>
      </c>
      <c r="B83" s="18"/>
      <c r="C83" s="18"/>
      <c r="D83" s="205" t="s">
        <v>105</v>
      </c>
      <c r="E83" s="44">
        <f>SUM(E84:E89)</f>
        <v>12522</v>
      </c>
      <c r="F83" s="45">
        <f>SUM(F84:F89)</f>
        <v>103</v>
      </c>
      <c r="G83" s="46">
        <f>SUM(G84:G89)</f>
        <v>12625</v>
      </c>
      <c r="H83" s="46"/>
      <c r="I83" s="41"/>
      <c r="J83" s="58"/>
    </row>
    <row r="84" spans="1:10" x14ac:dyDescent="0.2">
      <c r="A84" s="106"/>
      <c r="B84" s="22">
        <v>3722</v>
      </c>
      <c r="C84" s="22">
        <v>240</v>
      </c>
      <c r="D84" s="124" t="s">
        <v>73</v>
      </c>
      <c r="E84" s="34">
        <v>6522</v>
      </c>
      <c r="F84" s="13"/>
      <c r="G84" s="43">
        <f t="shared" ref="G84:G89" si="6">E84+F84</f>
        <v>6522</v>
      </c>
      <c r="H84" s="43"/>
      <c r="I84" s="173" t="s">
        <v>258</v>
      </c>
      <c r="J84" s="161" t="s">
        <v>179</v>
      </c>
    </row>
    <row r="85" spans="1:10" x14ac:dyDescent="0.2">
      <c r="A85" s="106"/>
      <c r="B85" s="22">
        <v>3722</v>
      </c>
      <c r="C85" s="22">
        <v>5110</v>
      </c>
      <c r="D85" s="124" t="s">
        <v>227</v>
      </c>
      <c r="E85" s="34">
        <f>208+94</f>
        <v>302</v>
      </c>
      <c r="F85" s="13">
        <v>103</v>
      </c>
      <c r="G85" s="43">
        <f t="shared" si="6"/>
        <v>405</v>
      </c>
      <c r="H85" s="43"/>
      <c r="I85" s="173" t="s">
        <v>258</v>
      </c>
      <c r="J85" s="161" t="s">
        <v>179</v>
      </c>
    </row>
    <row r="86" spans="1:10" x14ac:dyDescent="0.2">
      <c r="A86" s="106"/>
      <c r="B86" s="22">
        <v>3745</v>
      </c>
      <c r="C86" s="22">
        <v>241</v>
      </c>
      <c r="D86" s="124" t="s">
        <v>74</v>
      </c>
      <c r="E86" s="34">
        <f>2144-50+2364</f>
        <v>4458</v>
      </c>
      <c r="F86" s="13"/>
      <c r="G86" s="43">
        <f t="shared" si="6"/>
        <v>4458</v>
      </c>
      <c r="H86" s="43" t="s">
        <v>308</v>
      </c>
      <c r="I86" s="173" t="s">
        <v>231</v>
      </c>
      <c r="J86" s="161" t="s">
        <v>179</v>
      </c>
    </row>
    <row r="87" spans="1:10" x14ac:dyDescent="0.2">
      <c r="A87" s="106"/>
      <c r="B87" s="22">
        <v>3745</v>
      </c>
      <c r="C87" s="22">
        <v>242</v>
      </c>
      <c r="D87" s="124" t="s">
        <v>196</v>
      </c>
      <c r="E87" s="34">
        <v>450</v>
      </c>
      <c r="F87" s="13"/>
      <c r="G87" s="43">
        <f t="shared" si="6"/>
        <v>450</v>
      </c>
      <c r="H87" s="43"/>
      <c r="I87" s="173" t="s">
        <v>231</v>
      </c>
      <c r="J87" s="161" t="s">
        <v>179</v>
      </c>
    </row>
    <row r="88" spans="1:10" x14ac:dyDescent="0.2">
      <c r="A88" s="106"/>
      <c r="B88" s="22">
        <v>3745</v>
      </c>
      <c r="C88" s="22">
        <v>246</v>
      </c>
      <c r="D88" s="124" t="s">
        <v>228</v>
      </c>
      <c r="E88" s="34">
        <f>650+140</f>
        <v>790</v>
      </c>
      <c r="F88" s="13"/>
      <c r="G88" s="43">
        <f t="shared" si="6"/>
        <v>790</v>
      </c>
      <c r="H88" s="43" t="s">
        <v>256</v>
      </c>
      <c r="I88" s="175" t="s">
        <v>280</v>
      </c>
      <c r="J88" s="161" t="s">
        <v>107</v>
      </c>
    </row>
    <row r="89" spans="1:10" x14ac:dyDescent="0.2">
      <c r="A89" s="108"/>
      <c r="B89" s="26">
        <v>3745</v>
      </c>
      <c r="C89" s="26">
        <v>1544</v>
      </c>
      <c r="D89" s="206" t="s">
        <v>234</v>
      </c>
      <c r="E89" s="47"/>
      <c r="F89" s="50"/>
      <c r="G89" s="49">
        <f t="shared" si="6"/>
        <v>0</v>
      </c>
      <c r="H89" s="228"/>
      <c r="I89" s="48"/>
      <c r="J89" s="43"/>
    </row>
    <row r="90" spans="1:10" x14ac:dyDescent="0.2">
      <c r="A90" s="71">
        <v>43</v>
      </c>
      <c r="B90" s="23">
        <v>4300</v>
      </c>
      <c r="C90" s="23"/>
      <c r="D90" s="200" t="s">
        <v>75</v>
      </c>
      <c r="E90" s="41">
        <f>SUM(E91:E95)</f>
        <v>9434</v>
      </c>
      <c r="F90" s="15">
        <f>SUM(F91:F95)</f>
        <v>0</v>
      </c>
      <c r="G90" s="42">
        <f>SUM(G91:G95)</f>
        <v>9434</v>
      </c>
      <c r="H90" s="42"/>
      <c r="I90" s="44"/>
      <c r="J90" s="166"/>
    </row>
    <row r="91" spans="1:10" x14ac:dyDescent="0.2">
      <c r="A91" s="106"/>
      <c r="B91" s="22">
        <v>4349</v>
      </c>
      <c r="C91" s="22">
        <v>228</v>
      </c>
      <c r="D91" s="124" t="s">
        <v>187</v>
      </c>
      <c r="E91" s="34">
        <v>58</v>
      </c>
      <c r="F91" s="13"/>
      <c r="G91" s="43">
        <f t="shared" ref="G91:G95" si="7">E91+F91</f>
        <v>58</v>
      </c>
      <c r="H91" s="43" t="s">
        <v>273</v>
      </c>
      <c r="I91" s="48" t="s">
        <v>229</v>
      </c>
      <c r="J91" s="43" t="s">
        <v>243</v>
      </c>
    </row>
    <row r="92" spans="1:10" x14ac:dyDescent="0.2">
      <c r="A92" s="106"/>
      <c r="B92" s="22">
        <v>4349</v>
      </c>
      <c r="C92" s="22">
        <v>254</v>
      </c>
      <c r="D92" s="124" t="s">
        <v>343</v>
      </c>
      <c r="E92" s="34">
        <v>100</v>
      </c>
      <c r="F92" s="13"/>
      <c r="G92" s="43">
        <f t="shared" si="7"/>
        <v>100</v>
      </c>
      <c r="H92" s="43" t="s">
        <v>366</v>
      </c>
      <c r="I92" s="48" t="s">
        <v>229</v>
      </c>
      <c r="J92" s="43" t="s">
        <v>243</v>
      </c>
    </row>
    <row r="93" spans="1:10" x14ac:dyDescent="0.2">
      <c r="A93" s="106"/>
      <c r="B93" s="22">
        <v>4349</v>
      </c>
      <c r="C93" s="22">
        <v>225</v>
      </c>
      <c r="D93" s="207" t="s">
        <v>309</v>
      </c>
      <c r="E93" s="34">
        <v>1967</v>
      </c>
      <c r="F93" s="13"/>
      <c r="G93" s="43">
        <f t="shared" si="7"/>
        <v>1967</v>
      </c>
      <c r="H93" s="43" t="s">
        <v>333</v>
      </c>
      <c r="I93" s="48" t="s">
        <v>229</v>
      </c>
      <c r="J93" s="43" t="s">
        <v>243</v>
      </c>
    </row>
    <row r="94" spans="1:10" x14ac:dyDescent="0.2">
      <c r="A94" s="106"/>
      <c r="B94" s="22">
        <v>4351</v>
      </c>
      <c r="C94" s="22">
        <v>227</v>
      </c>
      <c r="D94" s="124" t="s">
        <v>35</v>
      </c>
      <c r="E94" s="13">
        <f>574+5447</f>
        <v>6021</v>
      </c>
      <c r="F94" s="13"/>
      <c r="G94" s="43">
        <f t="shared" si="7"/>
        <v>6021</v>
      </c>
      <c r="H94" s="43"/>
      <c r="I94" s="177" t="s">
        <v>368</v>
      </c>
      <c r="J94" s="122" t="s">
        <v>367</v>
      </c>
    </row>
    <row r="95" spans="1:10" x14ac:dyDescent="0.2">
      <c r="A95" s="106"/>
      <c r="B95" s="22">
        <v>4355</v>
      </c>
      <c r="C95" s="22">
        <v>307</v>
      </c>
      <c r="D95" s="124" t="s">
        <v>197</v>
      </c>
      <c r="E95" s="34">
        <f>382+906</f>
        <v>1288</v>
      </c>
      <c r="F95" s="13"/>
      <c r="G95" s="43">
        <f t="shared" si="7"/>
        <v>1288</v>
      </c>
      <c r="H95" s="43" t="s">
        <v>338</v>
      </c>
      <c r="I95" s="172" t="s">
        <v>181</v>
      </c>
      <c r="J95" s="160" t="s">
        <v>67</v>
      </c>
    </row>
    <row r="96" spans="1:10" x14ac:dyDescent="0.2">
      <c r="A96" s="107">
        <v>53</v>
      </c>
      <c r="B96" s="18">
        <v>5300</v>
      </c>
      <c r="C96" s="18"/>
      <c r="D96" s="205" t="s">
        <v>93</v>
      </c>
      <c r="E96" s="44">
        <f>SUM(E97:E99)</f>
        <v>3128</v>
      </c>
      <c r="F96" s="45">
        <f>SUM(F97:F99)</f>
        <v>350</v>
      </c>
      <c r="G96" s="46">
        <f>SUM(G97:G99)</f>
        <v>3478</v>
      </c>
      <c r="H96" s="46"/>
      <c r="I96" s="44"/>
      <c r="J96" s="58"/>
    </row>
    <row r="97" spans="1:10" x14ac:dyDescent="0.2">
      <c r="A97" s="71"/>
      <c r="B97" s="22">
        <v>5272</v>
      </c>
      <c r="C97" s="24">
        <v>320</v>
      </c>
      <c r="D97" s="124" t="s">
        <v>127</v>
      </c>
      <c r="E97" s="34">
        <v>238</v>
      </c>
      <c r="F97" s="13"/>
      <c r="G97" s="43">
        <f>E97+F97</f>
        <v>238</v>
      </c>
      <c r="H97" s="43"/>
      <c r="I97" s="249" t="s">
        <v>347</v>
      </c>
      <c r="J97" s="162" t="s">
        <v>295</v>
      </c>
    </row>
    <row r="98" spans="1:10" ht="13.5" customHeight="1" x14ac:dyDescent="0.2">
      <c r="A98" s="106"/>
      <c r="B98" s="22">
        <v>5311</v>
      </c>
      <c r="C98" s="22">
        <v>321</v>
      </c>
      <c r="D98" s="124" t="s">
        <v>76</v>
      </c>
      <c r="E98" s="34">
        <f>448+2011</f>
        <v>2459</v>
      </c>
      <c r="F98" s="13">
        <v>200</v>
      </c>
      <c r="G98" s="43">
        <f>E98+F98</f>
        <v>2659</v>
      </c>
      <c r="H98" s="43"/>
      <c r="I98" s="178" t="s">
        <v>143</v>
      </c>
      <c r="J98" s="162" t="s">
        <v>237</v>
      </c>
    </row>
    <row r="99" spans="1:10" x14ac:dyDescent="0.2">
      <c r="A99" s="106"/>
      <c r="B99" s="22">
        <v>5512</v>
      </c>
      <c r="C99" s="22">
        <v>223</v>
      </c>
      <c r="D99" s="124" t="s">
        <v>174</v>
      </c>
      <c r="E99" s="34">
        <f>381+50</f>
        <v>431</v>
      </c>
      <c r="F99" s="13">
        <v>150</v>
      </c>
      <c r="G99" s="43">
        <f>E99+F99</f>
        <v>581</v>
      </c>
      <c r="H99" s="43"/>
      <c r="I99" s="51" t="s">
        <v>145</v>
      </c>
      <c r="J99" s="210" t="s">
        <v>237</v>
      </c>
    </row>
    <row r="100" spans="1:10" x14ac:dyDescent="0.2">
      <c r="A100" s="107">
        <v>61</v>
      </c>
      <c r="B100" s="18">
        <v>6100</v>
      </c>
      <c r="C100" s="18"/>
      <c r="D100" s="205" t="s">
        <v>77</v>
      </c>
      <c r="E100" s="44">
        <f>SUM(E101:E104)</f>
        <v>62271</v>
      </c>
      <c r="F100" s="45">
        <f>SUM(F101:F104)</f>
        <v>1412</v>
      </c>
      <c r="G100" s="46">
        <f>SUM(G101:G104)</f>
        <v>63683</v>
      </c>
      <c r="H100" s="46"/>
      <c r="I100" s="174"/>
      <c r="J100" s="58"/>
    </row>
    <row r="101" spans="1:10" x14ac:dyDescent="0.2">
      <c r="A101" s="106"/>
      <c r="B101" s="22">
        <v>6112</v>
      </c>
      <c r="C101" s="22">
        <v>314</v>
      </c>
      <c r="D101" s="124" t="s">
        <v>78</v>
      </c>
      <c r="E101" s="34">
        <f>3225+60</f>
        <v>3285</v>
      </c>
      <c r="F101" s="13"/>
      <c r="G101" s="43">
        <f t="shared" ref="G101:G104" si="8">E101+F101</f>
        <v>3285</v>
      </c>
      <c r="H101" s="43"/>
      <c r="I101" s="170" t="s">
        <v>237</v>
      </c>
      <c r="J101" s="162" t="s">
        <v>295</v>
      </c>
    </row>
    <row r="102" spans="1:10" x14ac:dyDescent="0.2">
      <c r="A102" s="106"/>
      <c r="B102" s="22">
        <v>6171</v>
      </c>
      <c r="C102" s="22">
        <v>314</v>
      </c>
      <c r="D102" s="124" t="s">
        <v>90</v>
      </c>
      <c r="E102" s="34">
        <v>57481</v>
      </c>
      <c r="F102" s="13">
        <v>1412</v>
      </c>
      <c r="G102" s="43">
        <f t="shared" si="8"/>
        <v>58893</v>
      </c>
      <c r="H102" s="43"/>
      <c r="I102" s="179" t="s">
        <v>167</v>
      </c>
      <c r="J102" s="58"/>
    </row>
    <row r="103" spans="1:10" x14ac:dyDescent="0.2">
      <c r="A103" s="106"/>
      <c r="B103" s="22">
        <v>6171</v>
      </c>
      <c r="C103" s="22">
        <v>15479</v>
      </c>
      <c r="D103" s="207" t="s">
        <v>310</v>
      </c>
      <c r="E103" s="34">
        <v>621</v>
      </c>
      <c r="F103" s="13"/>
      <c r="G103" s="43">
        <f t="shared" si="8"/>
        <v>621</v>
      </c>
      <c r="H103" s="198" t="s">
        <v>322</v>
      </c>
      <c r="I103" s="48" t="s">
        <v>229</v>
      </c>
      <c r="J103" s="43" t="s">
        <v>243</v>
      </c>
    </row>
    <row r="104" spans="1:10" x14ac:dyDescent="0.2">
      <c r="A104" s="106"/>
      <c r="B104" s="22">
        <v>6171</v>
      </c>
      <c r="C104" s="22">
        <v>318</v>
      </c>
      <c r="D104" s="124" t="s">
        <v>194</v>
      </c>
      <c r="E104" s="34">
        <v>884</v>
      </c>
      <c r="F104" s="13"/>
      <c r="G104" s="43">
        <f t="shared" si="8"/>
        <v>884</v>
      </c>
      <c r="H104" s="43"/>
      <c r="I104" s="171" t="s">
        <v>144</v>
      </c>
      <c r="J104" s="163" t="s">
        <v>107</v>
      </c>
    </row>
    <row r="105" spans="1:10" x14ac:dyDescent="0.2">
      <c r="A105" s="107" t="s">
        <v>79</v>
      </c>
      <c r="B105" s="18">
        <v>6300</v>
      </c>
      <c r="C105" s="18"/>
      <c r="D105" s="205" t="s">
        <v>80</v>
      </c>
      <c r="E105" s="44">
        <f>SUM(E106:E112)</f>
        <v>10358</v>
      </c>
      <c r="F105" s="45">
        <f>SUM(F106:F112)</f>
        <v>1000</v>
      </c>
      <c r="G105" s="46">
        <f>SUM(G106:G112)</f>
        <v>11358</v>
      </c>
      <c r="H105" s="46"/>
      <c r="I105" s="174"/>
      <c r="J105" s="58"/>
    </row>
    <row r="106" spans="1:10" x14ac:dyDescent="0.2">
      <c r="A106" s="106"/>
      <c r="B106" s="22">
        <v>6320</v>
      </c>
      <c r="C106" s="22">
        <v>314</v>
      </c>
      <c r="D106" s="124" t="s">
        <v>175</v>
      </c>
      <c r="E106" s="34">
        <v>190</v>
      </c>
      <c r="F106" s="13"/>
      <c r="G106" s="43">
        <f t="shared" ref="G106:G112" si="9">E106+F106</f>
        <v>190</v>
      </c>
      <c r="H106" s="43"/>
      <c r="I106" s="175" t="s">
        <v>255</v>
      </c>
      <c r="J106" s="161" t="s">
        <v>64</v>
      </c>
    </row>
    <row r="107" spans="1:10" x14ac:dyDescent="0.2">
      <c r="A107" s="106"/>
      <c r="B107" s="22">
        <v>6399</v>
      </c>
      <c r="C107" s="22">
        <v>314</v>
      </c>
      <c r="D107" s="124" t="s">
        <v>195</v>
      </c>
      <c r="E107" s="34">
        <v>68</v>
      </c>
      <c r="F107" s="13"/>
      <c r="G107" s="43">
        <f t="shared" si="9"/>
        <v>68</v>
      </c>
      <c r="H107" s="43"/>
      <c r="I107" s="180" t="s">
        <v>67</v>
      </c>
      <c r="J107" s="162" t="s">
        <v>295</v>
      </c>
    </row>
    <row r="108" spans="1:10" x14ac:dyDescent="0.2">
      <c r="A108" s="106"/>
      <c r="B108" s="22">
        <v>6399</v>
      </c>
      <c r="C108" s="22">
        <v>315</v>
      </c>
      <c r="D108" s="124" t="s">
        <v>81</v>
      </c>
      <c r="E108" s="34">
        <v>6525</v>
      </c>
      <c r="F108" s="13"/>
      <c r="G108" s="43">
        <f t="shared" si="9"/>
        <v>6525</v>
      </c>
      <c r="H108" s="43" t="s">
        <v>176</v>
      </c>
      <c r="I108" s="172" t="s">
        <v>181</v>
      </c>
      <c r="J108" s="160" t="s">
        <v>67</v>
      </c>
    </row>
    <row r="109" spans="1:10" x14ac:dyDescent="0.2">
      <c r="A109" s="106"/>
      <c r="B109" s="22">
        <v>6399</v>
      </c>
      <c r="C109" s="22">
        <v>665</v>
      </c>
      <c r="D109" s="124" t="s">
        <v>198</v>
      </c>
      <c r="E109" s="34">
        <v>1050</v>
      </c>
      <c r="F109" s="13"/>
      <c r="G109" s="43">
        <f t="shared" si="9"/>
        <v>1050</v>
      </c>
      <c r="H109" s="43"/>
      <c r="I109" s="172" t="s">
        <v>181</v>
      </c>
      <c r="J109" s="160" t="s">
        <v>67</v>
      </c>
    </row>
    <row r="110" spans="1:10" x14ac:dyDescent="0.2">
      <c r="A110" s="106"/>
      <c r="B110" s="22">
        <v>6402</v>
      </c>
      <c r="C110" s="22">
        <v>2018</v>
      </c>
      <c r="D110" s="124" t="s">
        <v>262</v>
      </c>
      <c r="E110" s="34">
        <f>1025+769</f>
        <v>1794</v>
      </c>
      <c r="F110" s="13"/>
      <c r="G110" s="43">
        <f t="shared" si="9"/>
        <v>1794</v>
      </c>
      <c r="H110" s="43" t="s">
        <v>346</v>
      </c>
      <c r="I110" s="172" t="s">
        <v>181</v>
      </c>
      <c r="J110" s="160" t="s">
        <v>67</v>
      </c>
    </row>
    <row r="111" spans="1:10" x14ac:dyDescent="0.2">
      <c r="A111" s="106"/>
      <c r="B111" s="22">
        <v>6409</v>
      </c>
      <c r="C111" s="22">
        <v>100</v>
      </c>
      <c r="D111" s="124" t="s">
        <v>146</v>
      </c>
      <c r="E111" s="34">
        <v>493</v>
      </c>
      <c r="F111" s="13"/>
      <c r="G111" s="43">
        <f t="shared" si="9"/>
        <v>493</v>
      </c>
      <c r="H111" s="43"/>
      <c r="I111" s="172" t="s">
        <v>181</v>
      </c>
      <c r="J111" s="162" t="s">
        <v>237</v>
      </c>
    </row>
    <row r="112" spans="1:10" ht="13.5" thickBot="1" x14ac:dyDescent="0.25">
      <c r="A112" s="106"/>
      <c r="B112" s="22">
        <v>6409</v>
      </c>
      <c r="C112" s="22"/>
      <c r="D112" s="208" t="s">
        <v>130</v>
      </c>
      <c r="E112" s="34">
        <v>238</v>
      </c>
      <c r="F112" s="13">
        <v>1000</v>
      </c>
      <c r="G112" s="43">
        <f t="shared" si="9"/>
        <v>1238</v>
      </c>
      <c r="H112" s="43"/>
      <c r="I112" s="181" t="s">
        <v>67</v>
      </c>
      <c r="J112" s="160" t="s">
        <v>244</v>
      </c>
    </row>
    <row r="113" spans="1:10" ht="16.5" thickBot="1" x14ac:dyDescent="0.3">
      <c r="A113" s="109"/>
      <c r="B113" s="78"/>
      <c r="C113" s="78"/>
      <c r="D113" s="271" t="s">
        <v>82</v>
      </c>
      <c r="E113" s="272">
        <f>SUM(E5+E7+E13+E26+E40+E52+E60+E62+E83+E90+E96+E100+E105)</f>
        <v>160389</v>
      </c>
      <c r="F113" s="272">
        <f>SUM(F5+F7+F13+F26+F40+F52+F60+F62+F83+F90+F96+F100+F105)</f>
        <v>63661</v>
      </c>
      <c r="G113" s="272">
        <f>SUM(G5+G7+G13+G26+G40+G52+G60+G62+G83+G90+G96+G100+G105)</f>
        <v>224050</v>
      </c>
      <c r="H113" s="273"/>
      <c r="I113" s="273"/>
      <c r="J113" s="273"/>
    </row>
    <row r="114" spans="1:10" ht="13.5" thickBot="1" x14ac:dyDescent="0.25">
      <c r="A114" s="77"/>
      <c r="B114" s="237"/>
      <c r="C114" s="237"/>
      <c r="D114" s="237"/>
      <c r="E114" s="238" t="s">
        <v>83</v>
      </c>
      <c r="F114" s="26"/>
      <c r="G114" s="49">
        <f>SUM(E113:F113)</f>
        <v>224050</v>
      </c>
      <c r="H114" s="49"/>
      <c r="I114" s="216"/>
      <c r="J114" s="69"/>
    </row>
    <row r="115" spans="1:10" x14ac:dyDescent="0.2">
      <c r="A115" s="32"/>
      <c r="B115" s="17"/>
      <c r="C115" s="17"/>
      <c r="D115" s="226"/>
      <c r="E115" s="17"/>
      <c r="F115" s="17"/>
      <c r="G115" s="110"/>
      <c r="H115" s="110"/>
      <c r="I115" s="17"/>
    </row>
    <row r="116" spans="1:10" x14ac:dyDescent="0.2">
      <c r="A116" s="32"/>
      <c r="B116" s="17"/>
      <c r="C116" s="17"/>
      <c r="D116" s="226"/>
      <c r="E116" s="17"/>
      <c r="F116" s="17"/>
      <c r="G116" s="110"/>
      <c r="H116" s="110"/>
      <c r="I116" s="17"/>
    </row>
    <row r="117" spans="1:10" x14ac:dyDescent="0.2">
      <c r="A117" s="32"/>
      <c r="B117" s="17"/>
      <c r="C117" s="17"/>
      <c r="D117" s="243"/>
      <c r="E117" s="17"/>
      <c r="F117" s="17"/>
      <c r="G117" s="110"/>
      <c r="H117" s="110"/>
      <c r="I117" s="17"/>
    </row>
    <row r="118" spans="1:10" x14ac:dyDescent="0.2">
      <c r="A118" s="32"/>
      <c r="B118" s="17"/>
      <c r="C118" s="17"/>
      <c r="D118" s="226"/>
      <c r="E118" s="17"/>
      <c r="F118" s="17"/>
      <c r="G118" s="110"/>
      <c r="H118" s="110"/>
      <c r="I118" s="17"/>
    </row>
    <row r="119" spans="1:10" x14ac:dyDescent="0.2">
      <c r="B119" s="233"/>
      <c r="C119" s="233"/>
      <c r="D119" s="234"/>
      <c r="E119" s="91"/>
      <c r="F119" s="91"/>
      <c r="H119" s="99"/>
      <c r="I119" s="52"/>
    </row>
    <row r="120" spans="1:10" x14ac:dyDescent="0.2">
      <c r="B120" s="233"/>
      <c r="C120" s="233"/>
      <c r="D120" s="234"/>
      <c r="E120" s="91"/>
      <c r="F120" s="91"/>
      <c r="H120" s="220"/>
    </row>
    <row r="121" spans="1:10" x14ac:dyDescent="0.2">
      <c r="B121" s="233"/>
      <c r="C121" s="233"/>
      <c r="D121" s="235"/>
      <c r="E121" s="91"/>
      <c r="F121" s="91"/>
    </row>
    <row r="122" spans="1:10" x14ac:dyDescent="0.2">
      <c r="B122" s="233"/>
      <c r="C122" s="233"/>
      <c r="D122" s="236"/>
      <c r="E122" s="91"/>
      <c r="F122" s="91"/>
    </row>
    <row r="123" spans="1:10" x14ac:dyDescent="0.2">
      <c r="B123" s="233"/>
      <c r="C123" s="233"/>
      <c r="D123" s="235"/>
      <c r="E123" s="91"/>
      <c r="F123" s="91"/>
    </row>
    <row r="124" spans="1:10" x14ac:dyDescent="0.2">
      <c r="D124" s="133"/>
      <c r="E124" s="91"/>
      <c r="F124" s="91"/>
    </row>
    <row r="125" spans="1:10" x14ac:dyDescent="0.2">
      <c r="D125" s="134"/>
      <c r="E125" s="91"/>
      <c r="F125" s="91"/>
    </row>
    <row r="126" spans="1:10" x14ac:dyDescent="0.2">
      <c r="D126" s="133"/>
      <c r="E126" s="91"/>
      <c r="F126" s="91"/>
    </row>
    <row r="127" spans="1:10" x14ac:dyDescent="0.2">
      <c r="E127" s="91"/>
      <c r="F127" s="91"/>
    </row>
    <row r="128" spans="1:10" x14ac:dyDescent="0.2">
      <c r="E128" s="91"/>
      <c r="F128" s="91"/>
    </row>
    <row r="129" spans="4:6" x14ac:dyDescent="0.2">
      <c r="D129" s="133"/>
      <c r="E129" s="91"/>
      <c r="F129" s="91"/>
    </row>
    <row r="132" spans="4:6" x14ac:dyDescent="0.2">
      <c r="D132" s="134"/>
    </row>
    <row r="133" spans="4:6" x14ac:dyDescent="0.2">
      <c r="D133" s="134"/>
    </row>
    <row r="134" spans="4:6" x14ac:dyDescent="0.2">
      <c r="D134" s="134"/>
    </row>
    <row r="135" spans="4:6" x14ac:dyDescent="0.2">
      <c r="D135" s="134"/>
    </row>
  </sheetData>
  <sortState ref="A14:GP25">
    <sortCondition ref="B14:B25"/>
    <sortCondition ref="C14:C25"/>
  </sortState>
  <phoneticPr fontId="6" type="noConversion"/>
  <pageMargins left="0.39370078740157483" right="0.19685039370078741" top="0.74803149606299213" bottom="0.62992125984251968" header="0.15748031496062992" footer="0.23622047244094491"/>
  <pageSetup paperSize="9" orientation="portrait" r:id="rId1"/>
  <headerFooter alignWithMargins="0">
    <oddHeader xml:space="preserve">&amp;R&amp;P+3 . strana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B46" sqref="B46"/>
    </sheetView>
  </sheetViews>
  <sheetFormatPr defaultRowHeight="12.75" x14ac:dyDescent="0.2"/>
  <cols>
    <col min="1" max="1" width="6" style="251" customWidth="1"/>
    <col min="2" max="2" width="39.7109375" customWidth="1"/>
  </cols>
  <sheetData>
    <row r="2" spans="1:3" x14ac:dyDescent="0.2">
      <c r="B2" s="256" t="s">
        <v>374</v>
      </c>
    </row>
    <row r="3" spans="1:3" x14ac:dyDescent="0.2">
      <c r="B3" s="256" t="s">
        <v>369</v>
      </c>
    </row>
    <row r="4" spans="1:3" x14ac:dyDescent="0.2">
      <c r="A4" s="257"/>
      <c r="B4" s="259" t="s">
        <v>379</v>
      </c>
      <c r="C4" s="258">
        <v>102820</v>
      </c>
    </row>
    <row r="5" spans="1:3" x14ac:dyDescent="0.2">
      <c r="A5" s="257"/>
      <c r="B5" s="259" t="s">
        <v>380</v>
      </c>
      <c r="C5" s="258">
        <v>26505</v>
      </c>
    </row>
    <row r="6" spans="1:3" x14ac:dyDescent="0.2">
      <c r="A6" s="257"/>
      <c r="B6" s="259" t="s">
        <v>381</v>
      </c>
      <c r="C6" s="258">
        <v>7115</v>
      </c>
    </row>
    <row r="7" spans="1:3" x14ac:dyDescent="0.2">
      <c r="A7" s="257"/>
      <c r="B7" s="259" t="s">
        <v>7</v>
      </c>
      <c r="C7" s="258">
        <v>40023</v>
      </c>
    </row>
    <row r="8" spans="1:3" x14ac:dyDescent="0.2">
      <c r="A8" s="257"/>
      <c r="B8" s="260" t="s">
        <v>8</v>
      </c>
      <c r="C8" s="261">
        <v>176463</v>
      </c>
    </row>
    <row r="10" spans="1:3" x14ac:dyDescent="0.2">
      <c r="A10" s="251" t="s">
        <v>371</v>
      </c>
      <c r="B10" s="256" t="s">
        <v>370</v>
      </c>
    </row>
    <row r="11" spans="1:3" x14ac:dyDescent="0.2">
      <c r="A11" s="257">
        <v>10</v>
      </c>
      <c r="B11" s="262" t="s">
        <v>385</v>
      </c>
      <c r="C11" s="264">
        <v>1316</v>
      </c>
    </row>
    <row r="12" spans="1:3" x14ac:dyDescent="0.2">
      <c r="A12" s="257">
        <v>21</v>
      </c>
      <c r="B12" s="262" t="s">
        <v>207</v>
      </c>
      <c r="C12" s="264">
        <v>1549</v>
      </c>
    </row>
    <row r="13" spans="1:3" x14ac:dyDescent="0.2">
      <c r="A13" s="257">
        <v>22.23</v>
      </c>
      <c r="B13" s="262" t="s">
        <v>66</v>
      </c>
      <c r="C13" s="264">
        <v>24275</v>
      </c>
    </row>
    <row r="14" spans="1:3" x14ac:dyDescent="0.2">
      <c r="A14" s="254">
        <v>31</v>
      </c>
      <c r="B14" s="262" t="s">
        <v>372</v>
      </c>
      <c r="C14" s="264">
        <v>30272</v>
      </c>
    </row>
    <row r="15" spans="1:3" x14ac:dyDescent="0.2">
      <c r="A15" s="254">
        <v>33</v>
      </c>
      <c r="B15" s="262" t="s">
        <v>68</v>
      </c>
      <c r="C15" s="264">
        <v>11085</v>
      </c>
    </row>
    <row r="16" spans="1:3" x14ac:dyDescent="0.2">
      <c r="A16" s="254">
        <v>34</v>
      </c>
      <c r="B16" s="262" t="s">
        <v>70</v>
      </c>
      <c r="C16" s="264">
        <v>15880</v>
      </c>
    </row>
    <row r="17" spans="1:3" x14ac:dyDescent="0.2">
      <c r="A17" s="254">
        <v>35</v>
      </c>
      <c r="B17" s="262" t="s">
        <v>104</v>
      </c>
      <c r="C17" s="264">
        <v>1143</v>
      </c>
    </row>
    <row r="18" spans="1:3" x14ac:dyDescent="0.2">
      <c r="A18" s="254">
        <v>36</v>
      </c>
      <c r="B18" s="262" t="s">
        <v>71</v>
      </c>
      <c r="C18" s="265">
        <v>37952</v>
      </c>
    </row>
    <row r="19" spans="1:3" x14ac:dyDescent="0.2">
      <c r="A19" s="254">
        <v>37</v>
      </c>
      <c r="B19" s="262" t="s">
        <v>105</v>
      </c>
      <c r="C19" s="264">
        <v>12625</v>
      </c>
    </row>
    <row r="20" spans="1:3" x14ac:dyDescent="0.2">
      <c r="A20" s="254">
        <v>43</v>
      </c>
      <c r="B20" s="262" t="s">
        <v>75</v>
      </c>
      <c r="C20" s="264">
        <v>9434</v>
      </c>
    </row>
    <row r="21" spans="1:3" x14ac:dyDescent="0.2">
      <c r="A21" s="267" t="s">
        <v>382</v>
      </c>
      <c r="B21" s="262" t="s">
        <v>383</v>
      </c>
      <c r="C21" s="264">
        <v>3478</v>
      </c>
    </row>
    <row r="22" spans="1:3" x14ac:dyDescent="0.2">
      <c r="A22" s="254">
        <v>61</v>
      </c>
      <c r="B22" s="262" t="s">
        <v>77</v>
      </c>
      <c r="C22" s="264">
        <v>63683</v>
      </c>
    </row>
    <row r="23" spans="1:3" x14ac:dyDescent="0.2">
      <c r="A23" s="254">
        <v>63.64</v>
      </c>
      <c r="B23" s="262" t="s">
        <v>80</v>
      </c>
      <c r="C23" s="264">
        <v>11358</v>
      </c>
    </row>
    <row r="24" spans="1:3" x14ac:dyDescent="0.2">
      <c r="A24" s="257"/>
      <c r="B24" s="263" t="s">
        <v>82</v>
      </c>
      <c r="C24" s="261">
        <v>224050</v>
      </c>
    </row>
    <row r="25" spans="1:3" x14ac:dyDescent="0.2">
      <c r="B25" s="256" t="s">
        <v>373</v>
      </c>
      <c r="C25" s="255">
        <v>-47587</v>
      </c>
    </row>
    <row r="26" spans="1:3" s="251" customFormat="1" x14ac:dyDescent="0.2">
      <c r="C26" s="221"/>
    </row>
    <row r="27" spans="1:3" x14ac:dyDescent="0.2">
      <c r="B27" s="256" t="s">
        <v>376</v>
      </c>
    </row>
    <row r="28" spans="1:3" x14ac:dyDescent="0.2">
      <c r="A28" s="257"/>
      <c r="B28" s="259" t="s">
        <v>384</v>
      </c>
      <c r="C28" s="258">
        <v>-2220</v>
      </c>
    </row>
    <row r="29" spans="1:3" x14ac:dyDescent="0.2">
      <c r="A29" s="257"/>
      <c r="B29" s="259" t="s">
        <v>306</v>
      </c>
      <c r="C29" s="258">
        <v>18000</v>
      </c>
    </row>
    <row r="30" spans="1:3" x14ac:dyDescent="0.2">
      <c r="A30" s="257"/>
      <c r="B30" s="259" t="s">
        <v>375</v>
      </c>
      <c r="C30" s="258">
        <v>31807</v>
      </c>
    </row>
    <row r="31" spans="1:3" x14ac:dyDescent="0.2">
      <c r="A31" s="257"/>
      <c r="B31" s="266" t="s">
        <v>15</v>
      </c>
      <c r="C31" s="261">
        <v>47587</v>
      </c>
    </row>
  </sheetData>
  <pageMargins left="1.06" right="0.70866141732283472" top="0.78740157480314965" bottom="0.78740157480314965" header="0.31496062992125984" footer="0.31496062992125984"/>
  <pageSetup paperSize="9" orientation="portrait" r:id="rId1"/>
  <headerFooter>
    <oddHeader>&amp;R6.strana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sumář</vt:lpstr>
      <vt:lpstr>příjmy</vt:lpstr>
      <vt:lpstr>výdaje</vt:lpstr>
      <vt:lpstr>Závazné ukazatele rozpočtu</vt:lpstr>
      <vt:lpstr>příjmy!Názvy_tisku</vt:lpstr>
      <vt:lpstr>výdaje!Názvy_tisku</vt:lpstr>
      <vt:lpstr>příjmy!Oblast_tisku</vt:lpstr>
      <vt:lpstr>výdaje!Oblast_tisku</vt:lpstr>
    </vt:vector>
  </TitlesOfParts>
  <Company>Jilemnice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Jilemnice</dc:creator>
  <cp:lastModifiedBy>Město Jilemnice</cp:lastModifiedBy>
  <cp:lastPrinted>2020-02-28T08:18:02Z</cp:lastPrinted>
  <dcterms:created xsi:type="dcterms:W3CDTF">1999-02-03T10:11:29Z</dcterms:created>
  <dcterms:modified xsi:type="dcterms:W3CDTF">2020-02-28T11:12:01Z</dcterms:modified>
</cp:coreProperties>
</file>