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45" windowWidth="14010" windowHeight="13635" tabRatio="689" activeTab="4"/>
  </bookViews>
  <sheets>
    <sheet name="Sumář" sheetId="1" r:id="rId1"/>
    <sheet name="Příjmy" sheetId="2" r:id="rId2"/>
    <sheet name="Výdaje" sheetId="3" r:id="rId3"/>
    <sheet name="Příspěvkové organizace" sheetId="15" r:id="rId4"/>
    <sheet name="Obchodní organizace" sheetId="21" r:id="rId5"/>
  </sheets>
  <definedNames>
    <definedName name="_xlnm.Print_Titles" localSheetId="1">Příjmy!$A:$E,Příjmy!$1:$3</definedName>
    <definedName name="_xlnm.Print_Titles" localSheetId="2">Výdaje!$A:$D,Výdaje!$1:$4</definedName>
    <definedName name="_xlnm.Print_Area" localSheetId="1">Příjmy!$A$1:$L$141</definedName>
    <definedName name="_xlnm.Print_Area" localSheetId="3">'Příspěvkové organizace'!$A$1:$O$36</definedName>
    <definedName name="_xlnm.Print_Area" localSheetId="2">Výdaje!$A$1:$R$120</definedName>
  </definedNames>
  <calcPr calcId="145621"/>
</workbook>
</file>

<file path=xl/calcChain.xml><?xml version="1.0" encoding="utf-8"?>
<calcChain xmlns="http://schemas.openxmlformats.org/spreadsheetml/2006/main">
  <c r="H7" i="15" l="1"/>
  <c r="G7" i="15"/>
  <c r="D7" i="15"/>
  <c r="D33" i="21" l="1"/>
  <c r="D10" i="21"/>
  <c r="D19" i="21"/>
  <c r="C33" i="21" l="1"/>
  <c r="B33" i="21"/>
  <c r="K15" i="15" l="1"/>
  <c r="J15" i="15"/>
  <c r="I15" i="15"/>
  <c r="F15" i="15"/>
  <c r="E15" i="15"/>
  <c r="C15" i="15"/>
  <c r="B15" i="15"/>
  <c r="G13" i="15"/>
  <c r="D13" i="15"/>
  <c r="N12" i="15"/>
  <c r="M12" i="15"/>
  <c r="G12" i="15"/>
  <c r="D12" i="15"/>
  <c r="N11" i="15"/>
  <c r="M11" i="15"/>
  <c r="G11" i="15"/>
  <c r="D11" i="15"/>
  <c r="N10" i="15"/>
  <c r="M10" i="15"/>
  <c r="G10" i="15"/>
  <c r="D10" i="15"/>
  <c r="N9" i="15"/>
  <c r="M9" i="15"/>
  <c r="G9" i="15"/>
  <c r="D9" i="15"/>
  <c r="N8" i="15"/>
  <c r="G8" i="15"/>
  <c r="D8" i="15"/>
  <c r="N6" i="15"/>
  <c r="M6" i="15"/>
  <c r="G6" i="15"/>
  <c r="D6" i="15"/>
  <c r="N5" i="15"/>
  <c r="M5" i="15"/>
  <c r="G5" i="15"/>
  <c r="D5" i="15"/>
  <c r="H5" i="15" l="1"/>
  <c r="H13" i="15"/>
  <c r="H8" i="15"/>
  <c r="H9" i="15"/>
  <c r="H12" i="15"/>
  <c r="H6" i="15"/>
  <c r="H10" i="15"/>
  <c r="H11" i="15"/>
  <c r="N15" i="15"/>
  <c r="G15" i="15"/>
  <c r="M8" i="15"/>
  <c r="D15" i="15"/>
  <c r="L15" i="15"/>
  <c r="M15" i="15" s="1"/>
  <c r="H15" i="15" l="1"/>
  <c r="I85" i="3" l="1"/>
  <c r="H85" i="3"/>
  <c r="M56" i="3" l="1"/>
  <c r="I107" i="3" l="1"/>
  <c r="H107" i="3"/>
  <c r="H6" i="3" l="1"/>
  <c r="H8" i="3"/>
  <c r="G106" i="2"/>
  <c r="I62" i="2" l="1"/>
  <c r="M104" i="3"/>
  <c r="M73" i="3" l="1"/>
  <c r="M99" i="3" l="1"/>
  <c r="I63" i="2"/>
  <c r="I23" i="2"/>
  <c r="O116" i="3" l="1"/>
  <c r="M110" i="3"/>
  <c r="N107" i="3"/>
  <c r="M107" i="3" s="1"/>
  <c r="O105" i="3"/>
  <c r="O106" i="3"/>
  <c r="O104" i="3"/>
  <c r="M85" i="3"/>
  <c r="O85" i="3" s="1"/>
  <c r="M81" i="3"/>
  <c r="M74" i="3"/>
  <c r="O69" i="3"/>
  <c r="N60" i="3"/>
  <c r="M60" i="3"/>
  <c r="O61" i="3"/>
  <c r="M59" i="3"/>
  <c r="O44" i="3"/>
  <c r="O45" i="3"/>
  <c r="O46" i="3"/>
  <c r="O47" i="3"/>
  <c r="O48" i="3"/>
  <c r="M34" i="3"/>
  <c r="M33" i="3"/>
  <c r="M32" i="3"/>
  <c r="M31" i="3"/>
  <c r="M28" i="3"/>
  <c r="M22" i="3"/>
  <c r="N19" i="3"/>
  <c r="Q69" i="3" l="1"/>
  <c r="I93" i="2" l="1"/>
  <c r="I92" i="2" s="1"/>
  <c r="I117" i="2" l="1"/>
  <c r="I116" i="2" s="1"/>
  <c r="I103" i="2"/>
  <c r="I104" i="2"/>
  <c r="I70" i="2" l="1"/>
  <c r="I54" i="2"/>
  <c r="I83" i="2"/>
  <c r="G83" i="2"/>
  <c r="H85" i="2"/>
  <c r="I85" i="2"/>
  <c r="I50" i="2"/>
  <c r="I84" i="2"/>
  <c r="I106" i="2"/>
  <c r="I56" i="2"/>
  <c r="I58" i="2"/>
  <c r="I49" i="2"/>
  <c r="I61" i="2"/>
  <c r="I57" i="2"/>
  <c r="I53" i="2"/>
  <c r="I42" i="2"/>
  <c r="I101" i="2"/>
  <c r="I76" i="2"/>
  <c r="I35" i="2"/>
  <c r="I18" i="2"/>
  <c r="I28" i="2"/>
  <c r="I16" i="2"/>
  <c r="K95" i="2" l="1"/>
  <c r="K93" i="2"/>
  <c r="K86" i="2"/>
  <c r="K85" i="2"/>
  <c r="K71" i="2"/>
  <c r="I29" i="2"/>
  <c r="I56" i="3" l="1"/>
  <c r="H94" i="3"/>
  <c r="H95" i="3"/>
  <c r="H122" i="2"/>
  <c r="G118" i="2"/>
  <c r="G119" i="2"/>
  <c r="J122" i="2" l="1"/>
  <c r="K122" i="2"/>
  <c r="K73" i="3" l="1"/>
  <c r="J55" i="3"/>
  <c r="H28" i="3" l="1"/>
  <c r="H123" i="2"/>
  <c r="G112" i="2"/>
  <c r="H101" i="3"/>
  <c r="G110" i="2"/>
  <c r="H99" i="3"/>
  <c r="G104" i="2"/>
  <c r="J123" i="2" l="1"/>
  <c r="K123" i="2"/>
  <c r="I16" i="3" l="1"/>
  <c r="H51" i="3"/>
  <c r="G56" i="2"/>
  <c r="H118" i="3"/>
  <c r="H114" i="2"/>
  <c r="H31" i="3"/>
  <c r="H121" i="2"/>
  <c r="J104" i="3"/>
  <c r="G101" i="2"/>
  <c r="L104" i="3" l="1"/>
  <c r="Q104" i="3" s="1"/>
  <c r="J114" i="2"/>
  <c r="K114" i="2"/>
  <c r="J121" i="2"/>
  <c r="K121" i="2"/>
  <c r="K85" i="3"/>
  <c r="P104" i="3" l="1"/>
  <c r="J105" i="3" l="1"/>
  <c r="H33" i="3"/>
  <c r="H101" i="2"/>
  <c r="H113" i="2"/>
  <c r="H115" i="2"/>
  <c r="J101" i="2" l="1"/>
  <c r="K101" i="2"/>
  <c r="J113" i="2"/>
  <c r="K113" i="2"/>
  <c r="J115" i="2"/>
  <c r="K115" i="2"/>
  <c r="L105" i="3"/>
  <c r="P105" i="3" l="1"/>
  <c r="Q105" i="3"/>
  <c r="H58" i="3" l="1"/>
  <c r="H89" i="3"/>
  <c r="J85" i="3"/>
  <c r="L85" i="3" s="1"/>
  <c r="Q85" i="3" l="1"/>
  <c r="P85" i="3"/>
  <c r="H57" i="2"/>
  <c r="J57" i="2" l="1"/>
  <c r="K57" i="2"/>
  <c r="G103" i="2" l="1"/>
  <c r="H84" i="2" l="1"/>
  <c r="K84" i="2" s="1"/>
  <c r="H42" i="3"/>
  <c r="H83" i="2"/>
  <c r="K83" i="2" s="1"/>
  <c r="H112" i="2"/>
  <c r="J112" i="2" l="1"/>
  <c r="K112" i="2"/>
  <c r="J106" i="3" l="1"/>
  <c r="H109" i="2"/>
  <c r="H111" i="2"/>
  <c r="J111" i="2" l="1"/>
  <c r="K111" i="2"/>
  <c r="J109" i="2"/>
  <c r="K109" i="2"/>
  <c r="L106" i="3"/>
  <c r="J118" i="3"/>
  <c r="Q106" i="3" l="1"/>
  <c r="P106" i="3"/>
  <c r="J48" i="3"/>
  <c r="H127" i="2"/>
  <c r="J127" i="2" l="1"/>
  <c r="K127" i="2"/>
  <c r="L48" i="3"/>
  <c r="P48" i="3" l="1"/>
  <c r="Q48" i="3"/>
  <c r="J116" i="3" l="1"/>
  <c r="H120" i="2"/>
  <c r="H110" i="2"/>
  <c r="J110" i="2" l="1"/>
  <c r="K110" i="2"/>
  <c r="J120" i="2"/>
  <c r="K120" i="2"/>
  <c r="L116" i="3"/>
  <c r="O118" i="3"/>
  <c r="O117" i="3"/>
  <c r="O115" i="3"/>
  <c r="O114" i="3"/>
  <c r="O113" i="3"/>
  <c r="O112" i="3"/>
  <c r="N111" i="3"/>
  <c r="M111" i="3"/>
  <c r="O110" i="3"/>
  <c r="O109" i="3"/>
  <c r="O108" i="3"/>
  <c r="O107" i="3"/>
  <c r="O103" i="3"/>
  <c r="N102" i="3"/>
  <c r="M102" i="3"/>
  <c r="O101" i="3"/>
  <c r="O100" i="3"/>
  <c r="O99" i="3"/>
  <c r="O98" i="3"/>
  <c r="N97" i="3"/>
  <c r="M97" i="3"/>
  <c r="O95" i="3"/>
  <c r="O96" i="3"/>
  <c r="O94" i="3"/>
  <c r="O93" i="3"/>
  <c r="N92" i="3"/>
  <c r="M92" i="3"/>
  <c r="O91" i="3"/>
  <c r="O90" i="3"/>
  <c r="O89" i="3"/>
  <c r="O88" i="3"/>
  <c r="O87" i="3"/>
  <c r="O86" i="3"/>
  <c r="O84" i="3"/>
  <c r="O83" i="3"/>
  <c r="N82" i="3"/>
  <c r="M82" i="3"/>
  <c r="O81" i="3"/>
  <c r="O80" i="3"/>
  <c r="O79" i="3"/>
  <c r="O78" i="3"/>
  <c r="O77" i="3"/>
  <c r="O76" i="3"/>
  <c r="O75" i="3"/>
  <c r="O74" i="3"/>
  <c r="O73" i="3"/>
  <c r="O72" i="3"/>
  <c r="O71" i="3"/>
  <c r="O70" i="3"/>
  <c r="O68" i="3"/>
  <c r="O67" i="3"/>
  <c r="O66" i="3"/>
  <c r="O65" i="3"/>
  <c r="O64" i="3"/>
  <c r="N63" i="3"/>
  <c r="M63" i="3"/>
  <c r="O62" i="3"/>
  <c r="O60" i="3" s="1"/>
  <c r="O59" i="3"/>
  <c r="O58" i="3"/>
  <c r="O56" i="3"/>
  <c r="O55" i="3"/>
  <c r="O54" i="3"/>
  <c r="O53" i="3"/>
  <c r="O52" i="3"/>
  <c r="O51" i="3"/>
  <c r="N50" i="3"/>
  <c r="M50" i="3"/>
  <c r="O49" i="3"/>
  <c r="O43" i="3"/>
  <c r="O42" i="3"/>
  <c r="O41" i="3"/>
  <c r="O40" i="3"/>
  <c r="N39" i="3"/>
  <c r="M39" i="3"/>
  <c r="O38" i="3"/>
  <c r="O37" i="3"/>
  <c r="O36" i="3"/>
  <c r="O35" i="3"/>
  <c r="O34" i="3"/>
  <c r="O33" i="3"/>
  <c r="O32" i="3"/>
  <c r="O31" i="3"/>
  <c r="O30" i="3"/>
  <c r="O29" i="3"/>
  <c r="O28" i="3"/>
  <c r="N27" i="3"/>
  <c r="M27" i="3"/>
  <c r="O26" i="3"/>
  <c r="O25" i="3"/>
  <c r="O24" i="3"/>
  <c r="O23" i="3"/>
  <c r="O20" i="3"/>
  <c r="O18" i="3"/>
  <c r="O21" i="3"/>
  <c r="O22" i="3"/>
  <c r="O19" i="3"/>
  <c r="O17" i="3"/>
  <c r="O16" i="3"/>
  <c r="N15" i="3"/>
  <c r="M15" i="3"/>
  <c r="O14" i="3"/>
  <c r="O13" i="3"/>
  <c r="O12" i="3"/>
  <c r="O11" i="3"/>
  <c r="O10" i="3"/>
  <c r="N9" i="3"/>
  <c r="M9" i="3"/>
  <c r="O8" i="3"/>
  <c r="O7" i="3"/>
  <c r="O6" i="3"/>
  <c r="N5" i="3"/>
  <c r="M5" i="3"/>
  <c r="J43" i="3"/>
  <c r="J7" i="3"/>
  <c r="K7" i="3"/>
  <c r="J21" i="3"/>
  <c r="K21" i="3"/>
  <c r="J18" i="3"/>
  <c r="K18" i="3"/>
  <c r="J20" i="3"/>
  <c r="K20" i="3"/>
  <c r="J23" i="3"/>
  <c r="K23" i="3"/>
  <c r="J108" i="3"/>
  <c r="J109" i="3"/>
  <c r="J96" i="3"/>
  <c r="K96" i="3"/>
  <c r="Q116" i="3" l="1"/>
  <c r="P116" i="3"/>
  <c r="L43" i="3"/>
  <c r="Q43" i="3" s="1"/>
  <c r="O15" i="3"/>
  <c r="N119" i="3"/>
  <c r="L7" i="3"/>
  <c r="Q7" i="3" s="1"/>
  <c r="L21" i="3"/>
  <c r="Q21" i="3" s="1"/>
  <c r="O39" i="3"/>
  <c r="O111" i="3"/>
  <c r="L23" i="3"/>
  <c r="Q23" i="3" s="1"/>
  <c r="O9" i="3"/>
  <c r="O5" i="3"/>
  <c r="O27" i="3"/>
  <c r="O63" i="3"/>
  <c r="L96" i="3"/>
  <c r="M119" i="3"/>
  <c r="O50" i="3"/>
  <c r="O82" i="3"/>
  <c r="O92" i="3"/>
  <c r="O97" i="3"/>
  <c r="O102" i="3"/>
  <c r="L20" i="3"/>
  <c r="Q20" i="3" s="1"/>
  <c r="L109" i="3"/>
  <c r="L18" i="3"/>
  <c r="Q18" i="3" s="1"/>
  <c r="L108" i="3"/>
  <c r="Q108" i="3" s="1"/>
  <c r="P43" i="3" l="1"/>
  <c r="Q96" i="3"/>
  <c r="Q109" i="3"/>
  <c r="O120" i="3"/>
  <c r="P7" i="3"/>
  <c r="P109" i="3"/>
  <c r="P23" i="3"/>
  <c r="P96" i="3"/>
  <c r="P21" i="3"/>
  <c r="P20" i="3"/>
  <c r="P108" i="3"/>
  <c r="P18" i="3"/>
  <c r="O119" i="3"/>
  <c r="H5" i="3" l="1"/>
  <c r="I5" i="3"/>
  <c r="H9" i="3"/>
  <c r="I9" i="3"/>
  <c r="H15" i="3"/>
  <c r="I15" i="3"/>
  <c r="I27" i="3"/>
  <c r="H27" i="3"/>
  <c r="H39" i="3"/>
  <c r="I39" i="3"/>
  <c r="H50" i="3"/>
  <c r="I50" i="3"/>
  <c r="I60" i="3"/>
  <c r="H60" i="3"/>
  <c r="H63" i="3"/>
  <c r="I63" i="3"/>
  <c r="I82" i="3"/>
  <c r="H82" i="3"/>
  <c r="I92" i="3"/>
  <c r="H92" i="3"/>
  <c r="I97" i="3"/>
  <c r="H97" i="3"/>
  <c r="I102" i="3"/>
  <c r="H102" i="3"/>
  <c r="I111" i="3"/>
  <c r="H111" i="3"/>
  <c r="G118" i="3"/>
  <c r="E117" i="3"/>
  <c r="G117" i="3" s="1"/>
  <c r="G115" i="3"/>
  <c r="G114" i="3"/>
  <c r="E113" i="3"/>
  <c r="G113" i="3" s="1"/>
  <c r="G112" i="3"/>
  <c r="F111" i="3"/>
  <c r="G110" i="3"/>
  <c r="G109" i="3"/>
  <c r="G108" i="3"/>
  <c r="E103" i="3"/>
  <c r="G103" i="3" s="1"/>
  <c r="E101" i="3"/>
  <c r="G101" i="3" s="1"/>
  <c r="G100" i="3"/>
  <c r="E99" i="3"/>
  <c r="G99" i="3" s="1"/>
  <c r="E98" i="3"/>
  <c r="F97" i="3"/>
  <c r="E95" i="3"/>
  <c r="G95" i="3" s="1"/>
  <c r="G96" i="3"/>
  <c r="E94" i="3"/>
  <c r="G94" i="3" s="1"/>
  <c r="G93" i="3"/>
  <c r="F92" i="3"/>
  <c r="G91" i="3"/>
  <c r="G90" i="3"/>
  <c r="G89" i="3"/>
  <c r="G88" i="3"/>
  <c r="E87" i="3"/>
  <c r="G87" i="3" s="1"/>
  <c r="E86" i="3"/>
  <c r="G84" i="3"/>
  <c r="G83" i="3"/>
  <c r="F82" i="3"/>
  <c r="E81" i="3"/>
  <c r="G81" i="3" s="1"/>
  <c r="G80" i="3"/>
  <c r="E79" i="3"/>
  <c r="G79" i="3" s="1"/>
  <c r="E78" i="3"/>
  <c r="G78" i="3" s="1"/>
  <c r="G77" i="3"/>
  <c r="G76" i="3"/>
  <c r="G75" i="3"/>
  <c r="G74" i="3"/>
  <c r="G73" i="3"/>
  <c r="G72" i="3"/>
  <c r="G71" i="3"/>
  <c r="G70" i="3"/>
  <c r="E68" i="3"/>
  <c r="G68" i="3" s="1"/>
  <c r="G67" i="3"/>
  <c r="G66" i="3"/>
  <c r="G65" i="3"/>
  <c r="E64" i="3"/>
  <c r="F63" i="3"/>
  <c r="G62" i="3"/>
  <c r="G61" i="3"/>
  <c r="F60" i="3"/>
  <c r="E60" i="3"/>
  <c r="G59" i="3"/>
  <c r="G58" i="3"/>
  <c r="G56" i="3"/>
  <c r="G55" i="3"/>
  <c r="F54" i="3"/>
  <c r="G54" i="3" s="1"/>
  <c r="G53" i="3"/>
  <c r="G52" i="3"/>
  <c r="G51" i="3"/>
  <c r="E50" i="3"/>
  <c r="G49" i="3"/>
  <c r="G47" i="3"/>
  <c r="G46" i="3"/>
  <c r="G45" i="3"/>
  <c r="G44" i="3"/>
  <c r="G43" i="3"/>
  <c r="G42" i="3"/>
  <c r="G41" i="3"/>
  <c r="E40" i="3"/>
  <c r="G40" i="3" s="1"/>
  <c r="F39" i="3"/>
  <c r="G38" i="3"/>
  <c r="G37" i="3"/>
  <c r="G36" i="3"/>
  <c r="G35" i="3"/>
  <c r="E34" i="3"/>
  <c r="G34" i="3" s="1"/>
  <c r="G33" i="3"/>
  <c r="E32" i="3"/>
  <c r="G32" i="3" s="1"/>
  <c r="G31" i="3"/>
  <c r="E30" i="3"/>
  <c r="G30" i="3" s="1"/>
  <c r="G29" i="3"/>
  <c r="G28" i="3"/>
  <c r="F27" i="3"/>
  <c r="G26" i="3"/>
  <c r="G25" i="3"/>
  <c r="G24" i="3"/>
  <c r="G23" i="3"/>
  <c r="G20" i="3"/>
  <c r="G18" i="3"/>
  <c r="G21" i="3"/>
  <c r="G22" i="3"/>
  <c r="F19" i="3"/>
  <c r="G19" i="3" s="1"/>
  <c r="G17" i="3"/>
  <c r="F16" i="3"/>
  <c r="G16" i="3" s="1"/>
  <c r="E15" i="3"/>
  <c r="G14" i="3"/>
  <c r="G13" i="3"/>
  <c r="G12" i="3"/>
  <c r="G11" i="3"/>
  <c r="G10" i="3"/>
  <c r="F9" i="3"/>
  <c r="E9" i="3"/>
  <c r="G8" i="3"/>
  <c r="G7" i="3"/>
  <c r="E6" i="3"/>
  <c r="G6" i="3" s="1"/>
  <c r="F5" i="3"/>
  <c r="H128" i="2"/>
  <c r="K128" i="2" s="1"/>
  <c r="H105" i="2"/>
  <c r="H106" i="2"/>
  <c r="H107" i="2"/>
  <c r="H108" i="2"/>
  <c r="H117" i="2"/>
  <c r="H118" i="2"/>
  <c r="H94" i="2"/>
  <c r="I134" i="2"/>
  <c r="I125" i="2"/>
  <c r="I140" i="2" s="1"/>
  <c r="I99" i="2"/>
  <c r="I137" i="2" s="1"/>
  <c r="I97" i="2"/>
  <c r="I139" i="2" s="1"/>
  <c r="I87" i="2"/>
  <c r="I82" i="2"/>
  <c r="I74" i="2"/>
  <c r="I69" i="2"/>
  <c r="I59" i="2"/>
  <c r="I41" i="2"/>
  <c r="I36" i="2"/>
  <c r="I30" i="2"/>
  <c r="I27" i="2"/>
  <c r="I15" i="2"/>
  <c r="I5" i="2"/>
  <c r="G125" i="2"/>
  <c r="G140" i="2" s="1"/>
  <c r="G99" i="2"/>
  <c r="G137" i="2" s="1"/>
  <c r="G97" i="2"/>
  <c r="G139" i="2" s="1"/>
  <c r="G87" i="2"/>
  <c r="G82" i="2"/>
  <c r="G74" i="2"/>
  <c r="G69" i="2"/>
  <c r="G59" i="2"/>
  <c r="G41" i="2"/>
  <c r="G36" i="2"/>
  <c r="G30" i="2"/>
  <c r="G27" i="2"/>
  <c r="G15" i="2"/>
  <c r="G5" i="2"/>
  <c r="F125" i="2"/>
  <c r="F140" i="2" s="1"/>
  <c r="F116" i="2"/>
  <c r="H116" i="2" s="1"/>
  <c r="F104" i="2"/>
  <c r="F100" i="2"/>
  <c r="F97" i="2"/>
  <c r="F139" i="2" s="1"/>
  <c r="F87" i="2"/>
  <c r="F82" i="2"/>
  <c r="F76" i="2"/>
  <c r="F74" i="2" s="1"/>
  <c r="F69" i="2"/>
  <c r="F65" i="2"/>
  <c r="F61" i="2"/>
  <c r="F60" i="2"/>
  <c r="F58" i="2"/>
  <c r="F54" i="2"/>
  <c r="F53" i="2"/>
  <c r="F50" i="2"/>
  <c r="F36" i="2"/>
  <c r="F30" i="2"/>
  <c r="F27" i="2"/>
  <c r="F23" i="2"/>
  <c r="F18" i="2"/>
  <c r="F17" i="2"/>
  <c r="F5" i="2"/>
  <c r="F50" i="3" l="1"/>
  <c r="J118" i="2"/>
  <c r="K118" i="2"/>
  <c r="J117" i="2"/>
  <c r="K117" i="2"/>
  <c r="J105" i="2"/>
  <c r="K105" i="2"/>
  <c r="J116" i="2"/>
  <c r="K116" i="2"/>
  <c r="J108" i="2"/>
  <c r="K108" i="2"/>
  <c r="J94" i="2"/>
  <c r="K94" i="2"/>
  <c r="J107" i="2"/>
  <c r="K107" i="2"/>
  <c r="J106" i="2"/>
  <c r="K106" i="2"/>
  <c r="G60" i="3"/>
  <c r="E92" i="3"/>
  <c r="F15" i="2"/>
  <c r="G5" i="3"/>
  <c r="E63" i="3"/>
  <c r="E97" i="3"/>
  <c r="G98" i="3"/>
  <c r="G97" i="3" s="1"/>
  <c r="G92" i="3"/>
  <c r="G64" i="3"/>
  <c r="G63" i="3" s="1"/>
  <c r="E82" i="3"/>
  <c r="G27" i="3"/>
  <c r="G39" i="3"/>
  <c r="G50" i="3"/>
  <c r="E111" i="3"/>
  <c r="G15" i="3"/>
  <c r="G86" i="3"/>
  <c r="G82" i="3" s="1"/>
  <c r="G9" i="3"/>
  <c r="E102" i="3"/>
  <c r="F102" i="3"/>
  <c r="I119" i="3"/>
  <c r="D15" i="1" s="1"/>
  <c r="H119" i="3"/>
  <c r="D14" i="1" s="1"/>
  <c r="G111" i="3"/>
  <c r="E5" i="3"/>
  <c r="F15" i="3"/>
  <c r="E27" i="3"/>
  <c r="E39" i="3"/>
  <c r="F99" i="2"/>
  <c r="F137" i="2" s="1"/>
  <c r="G38" i="2"/>
  <c r="F41" i="2"/>
  <c r="I38" i="2"/>
  <c r="I135" i="2" s="1"/>
  <c r="G9" i="1" s="1"/>
  <c r="I89" i="2"/>
  <c r="I136" i="2" s="1"/>
  <c r="G10" i="1" s="1"/>
  <c r="F59" i="2"/>
  <c r="G89" i="2"/>
  <c r="G136" i="2" s="1"/>
  <c r="D10" i="1" s="1"/>
  <c r="F38" i="2"/>
  <c r="I131" i="2"/>
  <c r="G135" i="2"/>
  <c r="G131" i="2"/>
  <c r="F135" i="2"/>
  <c r="K55" i="3"/>
  <c r="L55" i="3" s="1"/>
  <c r="K61" i="3"/>
  <c r="L61" i="3" s="1"/>
  <c r="H130" i="2"/>
  <c r="H129" i="2"/>
  <c r="J6" i="3"/>
  <c r="K6" i="3"/>
  <c r="J8" i="3"/>
  <c r="K8" i="3"/>
  <c r="J10" i="3"/>
  <c r="K10" i="3"/>
  <c r="J12" i="3"/>
  <c r="K12" i="3"/>
  <c r="J13" i="3"/>
  <c r="J14" i="3"/>
  <c r="K14" i="3"/>
  <c r="K16" i="3"/>
  <c r="J16" i="3"/>
  <c r="K19" i="3"/>
  <c r="J19" i="3"/>
  <c r="J17" i="3"/>
  <c r="K17" i="3"/>
  <c r="J22" i="3"/>
  <c r="K22" i="3"/>
  <c r="J24" i="3"/>
  <c r="K24" i="3"/>
  <c r="J25" i="3"/>
  <c r="K25" i="3"/>
  <c r="J26" i="3"/>
  <c r="K26" i="3"/>
  <c r="J29" i="3"/>
  <c r="J30" i="3"/>
  <c r="J31" i="3"/>
  <c r="J32" i="3"/>
  <c r="J33" i="3"/>
  <c r="J34" i="3"/>
  <c r="J35" i="3"/>
  <c r="J36" i="3"/>
  <c r="K36" i="3"/>
  <c r="K27" i="3" s="1"/>
  <c r="J37" i="3"/>
  <c r="J38" i="3"/>
  <c r="K39" i="3"/>
  <c r="J40" i="3"/>
  <c r="J41" i="3"/>
  <c r="J42" i="3"/>
  <c r="J44" i="3"/>
  <c r="J45" i="3"/>
  <c r="J46" i="3"/>
  <c r="J47" i="3"/>
  <c r="J49" i="3"/>
  <c r="J51" i="3"/>
  <c r="K51" i="3"/>
  <c r="J52" i="3"/>
  <c r="K52" i="3"/>
  <c r="J53" i="3"/>
  <c r="K53" i="3"/>
  <c r="K54" i="3"/>
  <c r="J54" i="3"/>
  <c r="K56" i="3"/>
  <c r="J56" i="3"/>
  <c r="J58" i="3"/>
  <c r="J59" i="3"/>
  <c r="J62" i="3"/>
  <c r="K62" i="3"/>
  <c r="J64" i="3"/>
  <c r="J65" i="3"/>
  <c r="J66" i="3"/>
  <c r="J67" i="3"/>
  <c r="K67" i="3"/>
  <c r="J71" i="3"/>
  <c r="J72" i="3"/>
  <c r="J68" i="3"/>
  <c r="J70" i="3"/>
  <c r="J73" i="3"/>
  <c r="J74" i="3"/>
  <c r="K74" i="3"/>
  <c r="J75" i="3"/>
  <c r="J76" i="3"/>
  <c r="J77" i="3"/>
  <c r="J78" i="3"/>
  <c r="J79" i="3"/>
  <c r="J80" i="3"/>
  <c r="J81" i="3"/>
  <c r="J90" i="3"/>
  <c r="L90" i="3" s="1"/>
  <c r="J86" i="3"/>
  <c r="J87" i="3"/>
  <c r="J89" i="3"/>
  <c r="L89" i="3" s="1"/>
  <c r="J88" i="3"/>
  <c r="J91" i="3"/>
  <c r="J93" i="3"/>
  <c r="K92" i="3"/>
  <c r="J95" i="3"/>
  <c r="J98" i="3"/>
  <c r="K98" i="3"/>
  <c r="J99" i="3"/>
  <c r="K99" i="3"/>
  <c r="J100" i="3"/>
  <c r="J101" i="3"/>
  <c r="J103" i="3"/>
  <c r="J110" i="3"/>
  <c r="K110" i="3"/>
  <c r="J112" i="3"/>
  <c r="J113" i="3"/>
  <c r="J114" i="3"/>
  <c r="J115" i="3"/>
  <c r="J117" i="3"/>
  <c r="H6" i="2"/>
  <c r="K6" i="2" s="1"/>
  <c r="H7" i="2"/>
  <c r="K7" i="2" s="1"/>
  <c r="H8" i="2"/>
  <c r="K8" i="2" s="1"/>
  <c r="H9" i="2"/>
  <c r="K9" i="2" s="1"/>
  <c r="H10" i="2"/>
  <c r="K10" i="2" s="1"/>
  <c r="H11" i="2"/>
  <c r="K11" i="2" s="1"/>
  <c r="H12" i="2"/>
  <c r="H13" i="2"/>
  <c r="K13" i="2" s="1"/>
  <c r="H16" i="2"/>
  <c r="K16" i="2" s="1"/>
  <c r="H17" i="2"/>
  <c r="K17" i="2" s="1"/>
  <c r="H18" i="2"/>
  <c r="K18" i="2" s="1"/>
  <c r="H19" i="2"/>
  <c r="K19" i="2" s="1"/>
  <c r="H20" i="2"/>
  <c r="K20" i="2" s="1"/>
  <c r="H21" i="2"/>
  <c r="K21" i="2" s="1"/>
  <c r="H22" i="2"/>
  <c r="K22" i="2" s="1"/>
  <c r="H23" i="2"/>
  <c r="K23" i="2" s="1"/>
  <c r="H24" i="2"/>
  <c r="K24" i="2" s="1"/>
  <c r="H25" i="2"/>
  <c r="K25" i="2" s="1"/>
  <c r="H26" i="2"/>
  <c r="K26" i="2" s="1"/>
  <c r="H28" i="2"/>
  <c r="K28" i="2" s="1"/>
  <c r="H29" i="2"/>
  <c r="K29" i="2" s="1"/>
  <c r="H31" i="2"/>
  <c r="H32" i="2"/>
  <c r="K32" i="2" s="1"/>
  <c r="H33" i="2"/>
  <c r="K33" i="2" s="1"/>
  <c r="H34" i="2"/>
  <c r="K34" i="2" s="1"/>
  <c r="H35" i="2"/>
  <c r="H37" i="2"/>
  <c r="H42" i="2"/>
  <c r="K42" i="2" s="1"/>
  <c r="H43" i="2"/>
  <c r="K43" i="2" s="1"/>
  <c r="H44" i="2"/>
  <c r="K44" i="2" s="1"/>
  <c r="H45" i="2"/>
  <c r="K45" i="2" s="1"/>
  <c r="H46" i="2"/>
  <c r="K46" i="2" s="1"/>
  <c r="H47" i="2"/>
  <c r="K47" i="2" s="1"/>
  <c r="H48" i="2"/>
  <c r="K48" i="2" s="1"/>
  <c r="H49" i="2"/>
  <c r="K49" i="2" s="1"/>
  <c r="H50" i="2"/>
  <c r="K50" i="2" s="1"/>
  <c r="H51" i="2"/>
  <c r="K51" i="2" s="1"/>
  <c r="H52" i="2"/>
  <c r="K52" i="2" s="1"/>
  <c r="H53" i="2"/>
  <c r="K53" i="2" s="1"/>
  <c r="H54" i="2"/>
  <c r="K54" i="2" s="1"/>
  <c r="H55" i="2"/>
  <c r="K55" i="2" s="1"/>
  <c r="H56" i="2"/>
  <c r="H58" i="2"/>
  <c r="K58" i="2" s="1"/>
  <c r="H60" i="2"/>
  <c r="K60" i="2" s="1"/>
  <c r="H61" i="2"/>
  <c r="K61" i="2" s="1"/>
  <c r="H62" i="2"/>
  <c r="K62" i="2" s="1"/>
  <c r="H63" i="2"/>
  <c r="K63" i="2" s="1"/>
  <c r="H64" i="2"/>
  <c r="K64" i="2" s="1"/>
  <c r="H66" i="2"/>
  <c r="K66" i="2" s="1"/>
  <c r="H67" i="2"/>
  <c r="K67" i="2" s="1"/>
  <c r="H68" i="2"/>
  <c r="K68" i="2" s="1"/>
  <c r="H70" i="2"/>
  <c r="K70" i="2" s="1"/>
  <c r="H72" i="2"/>
  <c r="H73" i="2"/>
  <c r="K73" i="2" s="1"/>
  <c r="H75" i="2"/>
  <c r="K75" i="2" s="1"/>
  <c r="H76" i="2"/>
  <c r="K76" i="2" s="1"/>
  <c r="H77" i="2"/>
  <c r="K77" i="2" s="1"/>
  <c r="H78" i="2"/>
  <c r="K78" i="2" s="1"/>
  <c r="H79" i="2"/>
  <c r="K79" i="2" s="1"/>
  <c r="H80" i="2"/>
  <c r="K80" i="2" s="1"/>
  <c r="H81" i="2"/>
  <c r="K81" i="2" s="1"/>
  <c r="H88" i="2"/>
  <c r="K88" i="2" s="1"/>
  <c r="H92" i="2"/>
  <c r="K92" i="2" s="1"/>
  <c r="H96" i="2"/>
  <c r="H100" i="2"/>
  <c r="K100" i="2" s="1"/>
  <c r="H103" i="2"/>
  <c r="H119" i="2"/>
  <c r="H104" i="2"/>
  <c r="H102" i="2"/>
  <c r="H124" i="2"/>
  <c r="H126" i="2"/>
  <c r="C11" i="1"/>
  <c r="D11" i="1"/>
  <c r="D9" i="1"/>
  <c r="G11" i="1"/>
  <c r="E21" i="1"/>
  <c r="E22" i="1"/>
  <c r="E23" i="1"/>
  <c r="D24" i="1"/>
  <c r="E24" i="1" s="1"/>
  <c r="E25" i="1"/>
  <c r="J28" i="3"/>
  <c r="J11" i="3"/>
  <c r="D12" i="1"/>
  <c r="C12" i="1"/>
  <c r="H65" i="2"/>
  <c r="K65" i="2" s="1"/>
  <c r="J64" i="2"/>
  <c r="H82" i="2"/>
  <c r="J62" i="2"/>
  <c r="K82" i="3"/>
  <c r="G12" i="1"/>
  <c r="J84" i="3"/>
  <c r="J83" i="3"/>
  <c r="K101" i="3"/>
  <c r="J102" i="2" l="1"/>
  <c r="K102" i="2"/>
  <c r="J103" i="2"/>
  <c r="K103" i="2"/>
  <c r="J130" i="2"/>
  <c r="K130" i="2"/>
  <c r="K124" i="2"/>
  <c r="J104" i="2"/>
  <c r="K104" i="2"/>
  <c r="J126" i="2"/>
  <c r="K126" i="2"/>
  <c r="K96" i="2"/>
  <c r="K37" i="2"/>
  <c r="K36" i="2" s="1"/>
  <c r="J119" i="2"/>
  <c r="K119" i="2"/>
  <c r="K72" i="2"/>
  <c r="K35" i="2"/>
  <c r="K31" i="2"/>
  <c r="K12" i="2"/>
  <c r="J129" i="2"/>
  <c r="K129" i="2"/>
  <c r="K56" i="2"/>
  <c r="Q89" i="3"/>
  <c r="Q90" i="3"/>
  <c r="P61" i="3"/>
  <c r="Q61" i="3"/>
  <c r="Q55" i="3"/>
  <c r="J23" i="2"/>
  <c r="J81" i="2"/>
  <c r="L11" i="3"/>
  <c r="P11" i="3" s="1"/>
  <c r="L117" i="3"/>
  <c r="L113" i="3"/>
  <c r="K97" i="3"/>
  <c r="L103" i="3"/>
  <c r="L112" i="3"/>
  <c r="L93" i="3"/>
  <c r="J60" i="3"/>
  <c r="L115" i="3"/>
  <c r="L59" i="3"/>
  <c r="L114" i="3"/>
  <c r="P114" i="3" s="1"/>
  <c r="J10" i="2"/>
  <c r="L25" i="3"/>
  <c r="Q25" i="3" s="1"/>
  <c r="L95" i="3"/>
  <c r="Q95" i="3" s="1"/>
  <c r="L13" i="3"/>
  <c r="P13" i="3" s="1"/>
  <c r="L58" i="3"/>
  <c r="L84" i="3"/>
  <c r="L28" i="3"/>
  <c r="Q28" i="3" s="1"/>
  <c r="L91" i="3"/>
  <c r="L87" i="3"/>
  <c r="L80" i="3"/>
  <c r="L70" i="3"/>
  <c r="L49" i="3"/>
  <c r="Q49" i="3" s="1"/>
  <c r="L44" i="3"/>
  <c r="L38" i="3"/>
  <c r="L37" i="3"/>
  <c r="Q37" i="3" s="1"/>
  <c r="L35" i="3"/>
  <c r="Q35" i="3" s="1"/>
  <c r="L32" i="3"/>
  <c r="Q32" i="3" s="1"/>
  <c r="L29" i="3"/>
  <c r="Q29" i="3" s="1"/>
  <c r="L81" i="3"/>
  <c r="L73" i="3"/>
  <c r="Q73" i="3" s="1"/>
  <c r="L66" i="3"/>
  <c r="L65" i="3"/>
  <c r="L79" i="3"/>
  <c r="L75" i="3"/>
  <c r="L72" i="3"/>
  <c r="L64" i="3"/>
  <c r="L40" i="3"/>
  <c r="Q40" i="3" s="1"/>
  <c r="L86" i="3"/>
  <c r="P86" i="3" s="1"/>
  <c r="L77" i="3"/>
  <c r="L76" i="3"/>
  <c r="Q76" i="3" s="1"/>
  <c r="L68" i="3"/>
  <c r="L47" i="3"/>
  <c r="L46" i="3"/>
  <c r="L45" i="3"/>
  <c r="L41" i="3"/>
  <c r="Q41" i="3" s="1"/>
  <c r="L34" i="3"/>
  <c r="Q34" i="3" s="1"/>
  <c r="L78" i="3"/>
  <c r="L31" i="3"/>
  <c r="Q31" i="3" s="1"/>
  <c r="L30" i="3"/>
  <c r="Q30" i="3" s="1"/>
  <c r="L33" i="3"/>
  <c r="Q33" i="3" s="1"/>
  <c r="L42" i="3"/>
  <c r="L52" i="3"/>
  <c r="L24" i="3"/>
  <c r="Q24" i="3" s="1"/>
  <c r="L14" i="3"/>
  <c r="Q14" i="3" s="1"/>
  <c r="K9" i="3"/>
  <c r="G138" i="2"/>
  <c r="G141" i="2" s="1"/>
  <c r="K69" i="2"/>
  <c r="J53" i="2"/>
  <c r="J17" i="2"/>
  <c r="E11" i="1"/>
  <c r="K107" i="3"/>
  <c r="K102" i="3" s="1"/>
  <c r="L54" i="3"/>
  <c r="L53" i="3"/>
  <c r="Q53" i="3" s="1"/>
  <c r="G102" i="3"/>
  <c r="G119" i="3" s="1"/>
  <c r="J9" i="2"/>
  <c r="J65" i="2"/>
  <c r="J73" i="2"/>
  <c r="H36" i="2"/>
  <c r="J79" i="2"/>
  <c r="H87" i="2"/>
  <c r="K87" i="2" s="1"/>
  <c r="K27" i="2"/>
  <c r="J5" i="3"/>
  <c r="J6" i="2"/>
  <c r="E12" i="1"/>
  <c r="J22" i="2"/>
  <c r="J50" i="2"/>
  <c r="H69" i="2"/>
  <c r="P68" i="3"/>
  <c r="G132" i="2"/>
  <c r="F119" i="3"/>
  <c r="J25" i="2"/>
  <c r="K97" i="2"/>
  <c r="K139" i="2" s="1"/>
  <c r="J55" i="2"/>
  <c r="P117" i="3"/>
  <c r="P89" i="3"/>
  <c r="L51" i="3"/>
  <c r="L26" i="3"/>
  <c r="Q26" i="3" s="1"/>
  <c r="F89" i="2"/>
  <c r="F136" i="2" s="1"/>
  <c r="H25" i="1"/>
  <c r="L12" i="3"/>
  <c r="Q12" i="3" s="1"/>
  <c r="L10" i="3"/>
  <c r="Q10" i="3" s="1"/>
  <c r="L19" i="3"/>
  <c r="Q19" i="3" s="1"/>
  <c r="D16" i="1"/>
  <c r="L56" i="3"/>
  <c r="Q56" i="3" s="1"/>
  <c r="K5" i="3"/>
  <c r="J97" i="3"/>
  <c r="L22" i="3"/>
  <c r="J15" i="3"/>
  <c r="K15" i="3"/>
  <c r="K60" i="3"/>
  <c r="L16" i="3"/>
  <c r="Q16" i="3" s="1"/>
  <c r="L36" i="3"/>
  <c r="Q36" i="3" s="1"/>
  <c r="J111" i="3"/>
  <c r="L62" i="3"/>
  <c r="J27" i="3"/>
  <c r="G15" i="1"/>
  <c r="L110" i="3"/>
  <c r="L67" i="3"/>
  <c r="L101" i="3"/>
  <c r="J82" i="3"/>
  <c r="J9" i="3"/>
  <c r="L99" i="3"/>
  <c r="L74" i="3"/>
  <c r="L6" i="3"/>
  <c r="Q6" i="3" s="1"/>
  <c r="L100" i="3"/>
  <c r="L17" i="3"/>
  <c r="Q17" i="3" s="1"/>
  <c r="E119" i="3"/>
  <c r="J50" i="3"/>
  <c r="G14" i="1"/>
  <c r="J107" i="3"/>
  <c r="J39" i="3"/>
  <c r="L98" i="3"/>
  <c r="L83" i="3"/>
  <c r="K118" i="3"/>
  <c r="K111" i="3" s="1"/>
  <c r="L88" i="3"/>
  <c r="K63" i="3"/>
  <c r="K50" i="3"/>
  <c r="L8" i="3"/>
  <c r="Q8" i="3" s="1"/>
  <c r="J49" i="2"/>
  <c r="J20" i="2"/>
  <c r="J44" i="2"/>
  <c r="H97" i="2"/>
  <c r="H139" i="2" s="1"/>
  <c r="I11" i="1"/>
  <c r="J92" i="2"/>
  <c r="J52" i="2"/>
  <c r="J47" i="2"/>
  <c r="D13" i="1"/>
  <c r="J46" i="2"/>
  <c r="J60" i="2"/>
  <c r="J16" i="2"/>
  <c r="J70" i="2"/>
  <c r="F131" i="2"/>
  <c r="I138" i="2"/>
  <c r="I141" i="2" s="1"/>
  <c r="J100" i="2"/>
  <c r="J56" i="2"/>
  <c r="K82" i="2"/>
  <c r="G13" i="1"/>
  <c r="H74" i="2"/>
  <c r="H41" i="2"/>
  <c r="J18" i="2"/>
  <c r="H15" i="2"/>
  <c r="J13" i="2"/>
  <c r="J78" i="2"/>
  <c r="J68" i="2"/>
  <c r="J58" i="2"/>
  <c r="J45" i="2"/>
  <c r="J29" i="2"/>
  <c r="H99" i="2"/>
  <c r="J99" i="2" s="1"/>
  <c r="J66" i="2"/>
  <c r="J33" i="2"/>
  <c r="H5" i="2"/>
  <c r="J7" i="2"/>
  <c r="I132" i="2"/>
  <c r="J43" i="2"/>
  <c r="J48" i="2"/>
  <c r="H59" i="2"/>
  <c r="J24" i="2"/>
  <c r="J8" i="2"/>
  <c r="J19" i="2"/>
  <c r="C9" i="1"/>
  <c r="J96" i="2"/>
  <c r="J63" i="2"/>
  <c r="J77" i="2"/>
  <c r="J76" i="2"/>
  <c r="J75" i="2"/>
  <c r="J35" i="2"/>
  <c r="J32" i="2"/>
  <c r="H30" i="2"/>
  <c r="K30" i="2" s="1"/>
  <c r="J11" i="2"/>
  <c r="J67" i="2"/>
  <c r="J51" i="2"/>
  <c r="J42" i="2"/>
  <c r="J34" i="2"/>
  <c r="J31" i="2"/>
  <c r="H125" i="2"/>
  <c r="J80" i="2"/>
  <c r="J37" i="2"/>
  <c r="H27" i="2"/>
  <c r="J54" i="2"/>
  <c r="J21" i="2"/>
  <c r="J72" i="2"/>
  <c r="J61" i="2"/>
  <c r="J94" i="3"/>
  <c r="J63" i="3"/>
  <c r="L71" i="3"/>
  <c r="P115" i="3" l="1"/>
  <c r="P103" i="3"/>
  <c r="P14" i="3"/>
  <c r="P25" i="3"/>
  <c r="Q110" i="3"/>
  <c r="Q64" i="3"/>
  <c r="P59" i="3"/>
  <c r="P87" i="3"/>
  <c r="Q52" i="3"/>
  <c r="Q78" i="3"/>
  <c r="Q46" i="3"/>
  <c r="P46" i="3"/>
  <c r="Q68" i="3"/>
  <c r="Q77" i="3"/>
  <c r="Q13" i="3"/>
  <c r="P113" i="3"/>
  <c r="Q113" i="3"/>
  <c r="Q11" i="3"/>
  <c r="Q98" i="3"/>
  <c r="Q62" i="3"/>
  <c r="Q60" i="3" s="1"/>
  <c r="Q22" i="3"/>
  <c r="Q83" i="3"/>
  <c r="Q74" i="3"/>
  <c r="P28" i="3"/>
  <c r="Q72" i="3"/>
  <c r="Q79" i="3"/>
  <c r="Q65" i="3"/>
  <c r="Q38" i="3"/>
  <c r="Q80" i="3"/>
  <c r="Q91" i="3"/>
  <c r="Q84" i="3"/>
  <c r="Q114" i="3"/>
  <c r="Q115" i="3"/>
  <c r="Q93" i="3"/>
  <c r="Q103" i="3"/>
  <c r="Q88" i="3"/>
  <c r="Q100" i="3"/>
  <c r="Q75" i="3"/>
  <c r="Q66" i="3"/>
  <c r="Q81" i="3"/>
  <c r="P44" i="3"/>
  <c r="Q44" i="3"/>
  <c r="Q70" i="3"/>
  <c r="Q87" i="3"/>
  <c r="Q59" i="3"/>
  <c r="Q112" i="3"/>
  <c r="Q71" i="3"/>
  <c r="Q99" i="3"/>
  <c r="Q101" i="3"/>
  <c r="Q67" i="3"/>
  <c r="Q51" i="3"/>
  <c r="P52" i="3"/>
  <c r="Q54" i="3"/>
  <c r="Q42" i="3"/>
  <c r="P45" i="3"/>
  <c r="Q45" i="3"/>
  <c r="P47" i="3"/>
  <c r="Q47" i="3"/>
  <c r="Q86" i="3"/>
  <c r="Q58" i="3"/>
  <c r="Q117" i="3"/>
  <c r="P95" i="3"/>
  <c r="P76" i="3"/>
  <c r="P91" i="3"/>
  <c r="P84" i="3"/>
  <c r="P29" i="3"/>
  <c r="P112" i="3"/>
  <c r="P41" i="3"/>
  <c r="P40" i="3"/>
  <c r="P93" i="3"/>
  <c r="P37" i="3"/>
  <c r="P58" i="3"/>
  <c r="H11" i="1"/>
  <c r="P34" i="3"/>
  <c r="I12" i="1"/>
  <c r="P38" i="3"/>
  <c r="P49" i="3"/>
  <c r="P80" i="3"/>
  <c r="P72" i="3"/>
  <c r="P79" i="3"/>
  <c r="P65" i="3"/>
  <c r="P73" i="3"/>
  <c r="P35" i="3"/>
  <c r="P33" i="3"/>
  <c r="P31" i="3"/>
  <c r="P32" i="3"/>
  <c r="P64" i="3"/>
  <c r="L39" i="3"/>
  <c r="P66" i="3"/>
  <c r="P81" i="3"/>
  <c r="P78" i="3"/>
  <c r="P54" i="3"/>
  <c r="P75" i="3"/>
  <c r="P70" i="3"/>
  <c r="P24" i="3"/>
  <c r="P42" i="3"/>
  <c r="P77" i="3"/>
  <c r="P30" i="3"/>
  <c r="J102" i="3"/>
  <c r="H12" i="1"/>
  <c r="G120" i="3"/>
  <c r="H89" i="2"/>
  <c r="H136" i="2" s="1"/>
  <c r="F132" i="2"/>
  <c r="J97" i="2"/>
  <c r="J69" i="2"/>
  <c r="J36" i="2"/>
  <c r="D18" i="1"/>
  <c r="P6" i="3"/>
  <c r="P67" i="3"/>
  <c r="P12" i="3"/>
  <c r="P51" i="3"/>
  <c r="P74" i="3"/>
  <c r="L9" i="3"/>
  <c r="P110" i="3"/>
  <c r="P22" i="3"/>
  <c r="P88" i="3"/>
  <c r="P98" i="3"/>
  <c r="P17" i="3"/>
  <c r="P99" i="3"/>
  <c r="L50" i="3"/>
  <c r="L27" i="3"/>
  <c r="P36" i="3"/>
  <c r="P19" i="3"/>
  <c r="P71" i="3"/>
  <c r="P83" i="3"/>
  <c r="P100" i="3"/>
  <c r="P101" i="3"/>
  <c r="P16" i="3"/>
  <c r="P56" i="3"/>
  <c r="P10" i="3"/>
  <c r="P26" i="3"/>
  <c r="L60" i="3"/>
  <c r="K119" i="3"/>
  <c r="L82" i="3"/>
  <c r="L107" i="3"/>
  <c r="Q107" i="3" s="1"/>
  <c r="Q5" i="3"/>
  <c r="L15" i="3"/>
  <c r="C15" i="1"/>
  <c r="L5" i="3"/>
  <c r="L118" i="3"/>
  <c r="L97" i="3"/>
  <c r="K74" i="2"/>
  <c r="K5" i="2"/>
  <c r="J59" i="2"/>
  <c r="E9" i="1"/>
  <c r="C10" i="1"/>
  <c r="C13" i="1" s="1"/>
  <c r="J74" i="2"/>
  <c r="F138" i="2"/>
  <c r="J15" i="2"/>
  <c r="H137" i="2"/>
  <c r="J41" i="2"/>
  <c r="J5" i="2"/>
  <c r="J139" i="2"/>
  <c r="K125" i="2"/>
  <c r="K140" i="2" s="1"/>
  <c r="K15" i="2"/>
  <c r="J30" i="2"/>
  <c r="K59" i="2"/>
  <c r="J27" i="2"/>
  <c r="H38" i="2"/>
  <c r="K41" i="2"/>
  <c r="H140" i="2"/>
  <c r="J125" i="2"/>
  <c r="H131" i="2"/>
  <c r="K99" i="2"/>
  <c r="C14" i="1"/>
  <c r="L63" i="3"/>
  <c r="G16" i="1"/>
  <c r="L94" i="3"/>
  <c r="Q94" i="3" s="1"/>
  <c r="J92" i="3"/>
  <c r="Q9" i="3" l="1"/>
  <c r="Q82" i="3"/>
  <c r="Q39" i="3"/>
  <c r="Q118" i="3"/>
  <c r="Q111" i="3" s="1"/>
  <c r="P60" i="3"/>
  <c r="Q50" i="3"/>
  <c r="GB45" i="3"/>
  <c r="I9" i="1"/>
  <c r="Q27" i="3"/>
  <c r="J119" i="3"/>
  <c r="P39" i="3"/>
  <c r="Q102" i="3"/>
  <c r="J136" i="2"/>
  <c r="J89" i="2"/>
  <c r="D29" i="1"/>
  <c r="D27" i="1" s="1"/>
  <c r="F9" i="1"/>
  <c r="F11" i="1"/>
  <c r="P82" i="3"/>
  <c r="P63" i="3"/>
  <c r="P50" i="3"/>
  <c r="P97" i="3"/>
  <c r="P107" i="3"/>
  <c r="P118" i="3"/>
  <c r="P27" i="3"/>
  <c r="P15" i="3"/>
  <c r="P94" i="3"/>
  <c r="P5" i="3"/>
  <c r="P9" i="3"/>
  <c r="Q15" i="3"/>
  <c r="Q63" i="3"/>
  <c r="L102" i="3"/>
  <c r="Q97" i="3"/>
  <c r="E15" i="1"/>
  <c r="L111" i="3"/>
  <c r="L120" i="3"/>
  <c r="F12" i="1"/>
  <c r="K38" i="2"/>
  <c r="K135" i="2" s="1"/>
  <c r="J137" i="2"/>
  <c r="E10" i="1"/>
  <c r="F10" i="1"/>
  <c r="H9" i="1"/>
  <c r="F141" i="2"/>
  <c r="K89" i="2"/>
  <c r="K136" i="2" s="1"/>
  <c r="J38" i="2"/>
  <c r="J131" i="2"/>
  <c r="J140" i="2"/>
  <c r="H135" i="2"/>
  <c r="H132" i="2"/>
  <c r="K131" i="2"/>
  <c r="K137" i="2"/>
  <c r="G18" i="1"/>
  <c r="C16" i="1"/>
  <c r="F14" i="1" s="1"/>
  <c r="E14" i="1"/>
  <c r="Q92" i="3"/>
  <c r="L92" i="3"/>
  <c r="F13" i="1" l="1"/>
  <c r="P102" i="3"/>
  <c r="P92" i="3"/>
  <c r="P111" i="3"/>
  <c r="I15" i="1"/>
  <c r="Q119" i="3"/>
  <c r="H15" i="1"/>
  <c r="L119" i="3"/>
  <c r="I10" i="1"/>
  <c r="H10" i="1"/>
  <c r="E13" i="1"/>
  <c r="K132" i="2"/>
  <c r="J132" i="2"/>
  <c r="H138" i="2"/>
  <c r="J135" i="2"/>
  <c r="K138" i="2"/>
  <c r="K141" i="2" s="1"/>
  <c r="G29" i="1"/>
  <c r="G27" i="1" s="1"/>
  <c r="E16" i="1"/>
  <c r="I14" i="1"/>
  <c r="H14" i="1"/>
  <c r="C18" i="1"/>
  <c r="C29" i="1" s="1"/>
  <c r="C27" i="1" s="1"/>
  <c r="F15" i="1"/>
  <c r="P119" i="3" l="1"/>
  <c r="I13" i="1"/>
  <c r="H13" i="1"/>
  <c r="J138" i="2"/>
  <c r="H141" i="2"/>
  <c r="E18" i="1"/>
  <c r="I18" i="1" s="1"/>
  <c r="H16" i="1"/>
  <c r="I16" i="1"/>
  <c r="J141" i="2" l="1"/>
  <c r="E29" i="1"/>
  <c r="E27" i="1" s="1"/>
  <c r="H18" i="1"/>
</calcChain>
</file>

<file path=xl/comments1.xml><?xml version="1.0" encoding="utf-8"?>
<comments xmlns="http://schemas.openxmlformats.org/spreadsheetml/2006/main">
  <authors>
    <author>Ing. Miroslava Kynčlová</author>
    <author>Kynčlová</author>
    <author>Město Jilemnice</author>
  </authors>
  <commentList>
    <comment ref="E16" authorId="0">
      <text>
        <r>
          <rPr>
            <sz val="8"/>
            <color indexed="81"/>
            <rFont val="Tahoma"/>
            <family val="2"/>
            <charset val="238"/>
          </rPr>
          <t>3-trvalý pobyt
4-ověřování
6-změna jména
8-sňatky
9-video</t>
        </r>
      </text>
    </comment>
    <comment ref="E18" authorId="1">
      <text>
        <r>
          <rPr>
            <sz val="10"/>
            <color indexed="81"/>
            <rFont val="Tahoma"/>
            <family val="2"/>
            <charset val="238"/>
          </rPr>
          <t>10 rybářské lístky</t>
        </r>
        <r>
          <rPr>
            <sz val="10"/>
            <color indexed="81"/>
            <rFont val="Tahoma"/>
            <family val="2"/>
            <charset val="238"/>
          </rPr>
          <t xml:space="preserve">
23 životní prostředí </t>
        </r>
      </text>
    </comment>
    <comment ref="E23" authorId="0">
      <text>
        <r>
          <rPr>
            <sz val="8"/>
            <color indexed="81"/>
            <rFont val="Tahoma"/>
            <family val="2"/>
            <charset val="238"/>
          </rPr>
          <t xml:space="preserve">32-pasy
33-občanské průkazy
</t>
        </r>
      </text>
    </comment>
    <comment ref="E26" authorId="0">
      <text>
        <r>
          <rPr>
            <sz val="8"/>
            <color indexed="81"/>
            <rFont val="Tahoma"/>
            <family val="2"/>
            <charset val="238"/>
          </rPr>
          <t xml:space="preserve">13- 
19-vydání průkazů-soc
27-povolení tomboly
314-správa
</t>
        </r>
      </text>
    </comment>
    <comment ref="E28" authorId="0">
      <text>
        <r>
          <rPr>
            <sz val="8"/>
            <color indexed="81"/>
            <rFont val="Tahoma"/>
            <family val="2"/>
            <charset val="238"/>
          </rPr>
          <t xml:space="preserve">23 1332- za znečištní žp
12 1334 org 12 za odnětí půdy
</t>
        </r>
      </text>
    </comment>
    <comment ref="G42" authorId="2">
      <text>
        <r>
          <rPr>
            <b/>
            <sz val="9"/>
            <color indexed="81"/>
            <rFont val="Tahoma"/>
            <family val="2"/>
            <charset val="238"/>
          </rPr>
          <t>Město Jilemnice:</t>
        </r>
        <r>
          <rPr>
            <sz val="9"/>
            <color indexed="81"/>
            <rFont val="Tahoma"/>
            <family val="2"/>
            <charset val="238"/>
          </rPr>
          <t xml:space="preserve">
43,323 dar na zalesnění po požáru</t>
        </r>
      </text>
    </comment>
    <comment ref="I42" authorId="2">
      <text>
        <r>
          <rPr>
            <b/>
            <sz val="9"/>
            <color indexed="81"/>
            <rFont val="Tahoma"/>
            <family val="2"/>
            <charset val="238"/>
          </rPr>
          <t>Město Jilemnice:</t>
        </r>
        <r>
          <rPr>
            <sz val="9"/>
            <color indexed="81"/>
            <rFont val="Tahoma"/>
            <family val="2"/>
            <charset val="238"/>
          </rPr>
          <t xml:space="preserve">
43,323 dar na zalesnění</t>
        </r>
      </text>
    </comment>
    <comment ref="I49" authorId="2">
      <text>
        <r>
          <rPr>
            <b/>
            <sz val="9"/>
            <color indexed="81"/>
            <rFont val="Tahoma"/>
            <family val="2"/>
            <charset val="238"/>
          </rPr>
          <t>Město Jilemnice:</t>
        </r>
        <r>
          <rPr>
            <sz val="9"/>
            <color indexed="81"/>
            <rFont val="Tahoma"/>
            <family val="2"/>
            <charset val="238"/>
          </rPr>
          <t xml:space="preserve">
z toho 45,101 náhrady za pohřby</t>
        </r>
      </text>
    </comment>
    <comment ref="F50" authorId="2">
      <text>
        <r>
          <rPr>
            <b/>
            <sz val="9"/>
            <color indexed="81"/>
            <rFont val="Tahoma"/>
            <family val="2"/>
            <charset val="238"/>
          </rPr>
          <t>Město Jilemnice:</t>
        </r>
        <r>
          <rPr>
            <sz val="9"/>
            <color indexed="81"/>
            <rFont val="Tahoma"/>
            <family val="2"/>
            <charset val="238"/>
          </rPr>
          <t xml:space="preserve">
60 org. 319
12 org. 21</t>
        </r>
      </text>
    </comment>
    <comment ref="I50" authorId="2">
      <text>
        <r>
          <rPr>
            <b/>
            <sz val="9"/>
            <color indexed="81"/>
            <rFont val="Tahoma"/>
            <family val="2"/>
            <charset val="238"/>
          </rPr>
          <t>Město Jilemnice:</t>
        </r>
        <r>
          <rPr>
            <sz val="9"/>
            <color indexed="81"/>
            <rFont val="Tahoma"/>
            <family val="2"/>
            <charset val="238"/>
          </rPr>
          <t xml:space="preserve">
24,85661 org. 21
37,977 org. 319</t>
        </r>
      </text>
    </comment>
    <comment ref="I53" authorId="2">
      <text>
        <r>
          <rPr>
            <b/>
            <sz val="9"/>
            <color indexed="81"/>
            <rFont val="Tahoma"/>
            <family val="2"/>
            <charset val="238"/>
          </rPr>
          <t>Město Jilemnice:</t>
        </r>
        <r>
          <rPr>
            <sz val="9"/>
            <color indexed="81"/>
            <rFont val="Tahoma"/>
            <family val="2"/>
            <charset val="238"/>
          </rPr>
          <t xml:space="preserve">
828,09188 služby
100 dary
113,018 náhrady- vratka elektřiny za rok 2015,2016</t>
        </r>
      </text>
    </comment>
    <comment ref="F54" authorId="2">
      <text>
        <r>
          <rPr>
            <b/>
            <sz val="9"/>
            <color indexed="81"/>
            <rFont val="Tahoma"/>
            <family val="2"/>
            <charset val="238"/>
          </rPr>
          <t>Město Jilemnice:</t>
        </r>
        <r>
          <rPr>
            <sz val="9"/>
            <color indexed="81"/>
            <rFont val="Tahoma"/>
            <family val="2"/>
            <charset val="238"/>
          </rPr>
          <t xml:space="preserve">
70 služby sňatky 
30 ostatní</t>
        </r>
      </text>
    </comment>
    <comment ref="I54" authorId="2">
      <text>
        <r>
          <rPr>
            <b/>
            <sz val="9"/>
            <color indexed="81"/>
            <rFont val="Tahoma"/>
            <family val="2"/>
            <charset val="238"/>
          </rPr>
          <t>Město Jilemnice:</t>
        </r>
        <r>
          <rPr>
            <sz val="9"/>
            <color indexed="81"/>
            <rFont val="Tahoma"/>
            <family val="2"/>
            <charset val="238"/>
          </rPr>
          <t xml:space="preserve">
80 sňatky služby
0,1 č. popisné
1,52 prodej receptů
29,64 exekuce Tužová
1,604 služby
4,4 prodej dr. Majetku
6,152 náhrady
2 propagace</t>
        </r>
      </text>
    </comment>
    <comment ref="I57" authorId="2">
      <text>
        <r>
          <rPr>
            <b/>
            <sz val="9"/>
            <color indexed="81"/>
            <rFont val="Tahoma"/>
            <family val="2"/>
            <charset val="238"/>
          </rPr>
          <t>Město Jilemnice:</t>
        </r>
        <r>
          <rPr>
            <sz val="9"/>
            <color indexed="81"/>
            <rFont val="Tahoma"/>
            <family val="2"/>
            <charset val="238"/>
          </rPr>
          <t xml:space="preserve">
0,01282 příjem za SC, p.o.</t>
        </r>
      </text>
    </comment>
    <comment ref="I61" authorId="2">
      <text>
        <r>
          <rPr>
            <b/>
            <sz val="9"/>
            <color indexed="81"/>
            <rFont val="Tahoma"/>
            <family val="2"/>
            <charset val="238"/>
          </rPr>
          <t>Město Jilemnice:</t>
        </r>
        <r>
          <rPr>
            <sz val="9"/>
            <color indexed="81"/>
            <rFont val="Tahoma"/>
            <family val="2"/>
            <charset val="238"/>
          </rPr>
          <t xml:space="preserve">
45,17905 služby
1396,63828 nájemné</t>
        </r>
      </text>
    </comment>
    <comment ref="E76" authorId="1">
      <text>
        <r>
          <rPr>
            <sz val="8"/>
            <color indexed="81"/>
            <rFont val="Tahoma"/>
            <family val="2"/>
            <charset val="238"/>
          </rPr>
          <t>33 občanské průkazy</t>
        </r>
        <r>
          <rPr>
            <sz val="10"/>
            <color indexed="81"/>
            <rFont val="Tahoma"/>
            <family val="2"/>
            <charset val="238"/>
          </rPr>
          <t xml:space="preserve">
</t>
        </r>
        <r>
          <rPr>
            <sz val="8"/>
            <color indexed="81"/>
            <rFont val="Tahoma"/>
            <family val="2"/>
            <charset val="238"/>
          </rPr>
          <t xml:space="preserve">14 přestupky
13 památky
</t>
        </r>
      </text>
    </comment>
    <comment ref="F76" authorId="2">
      <text>
        <r>
          <rPr>
            <b/>
            <sz val="9"/>
            <color indexed="81"/>
            <rFont val="Tahoma"/>
            <family val="2"/>
            <charset val="238"/>
          </rPr>
          <t>Město Jilemnice:</t>
        </r>
        <r>
          <rPr>
            <sz val="9"/>
            <color indexed="81"/>
            <rFont val="Tahoma"/>
            <family val="2"/>
            <charset val="238"/>
          </rPr>
          <t xml:space="preserve">
60 přestupky
5 OP, CD</t>
        </r>
      </text>
    </comment>
    <comment ref="I76" authorId="2">
      <text>
        <r>
          <rPr>
            <b/>
            <sz val="9"/>
            <color indexed="81"/>
            <rFont val="Tahoma"/>
            <family val="2"/>
            <charset val="238"/>
          </rPr>
          <t>Město Jilemnice:</t>
        </r>
        <r>
          <rPr>
            <sz val="9"/>
            <color indexed="81"/>
            <rFont val="Tahoma"/>
            <family val="2"/>
            <charset val="238"/>
          </rPr>
          <t xml:space="preserve">
99,94932 přestupky</t>
        </r>
      </text>
    </comment>
    <comment ref="G83" authorId="2">
      <text>
        <r>
          <rPr>
            <b/>
            <sz val="9"/>
            <color indexed="81"/>
            <rFont val="Tahoma"/>
            <family val="2"/>
            <charset val="238"/>
          </rPr>
          <t>Město Jilemnice:</t>
        </r>
        <r>
          <rPr>
            <sz val="9"/>
            <color indexed="81"/>
            <rFont val="Tahoma"/>
            <family val="2"/>
            <charset val="238"/>
          </rPr>
          <t xml:space="preserve">
44,964 dar na zvoničku
10 pro ZŠ II na dětský den
20 dar na propagaci
</t>
        </r>
      </text>
    </comment>
    <comment ref="I83" authorId="2">
      <text>
        <r>
          <rPr>
            <b/>
            <sz val="9"/>
            <color indexed="81"/>
            <rFont val="Tahoma"/>
            <family val="2"/>
            <charset val="238"/>
          </rPr>
          <t>Město Jilemnice:</t>
        </r>
        <r>
          <rPr>
            <sz val="9"/>
            <color indexed="81"/>
            <rFont val="Tahoma"/>
            <family val="2"/>
            <charset val="238"/>
          </rPr>
          <t xml:space="preserve">
44,964 dar na zvoničku
10 dar pro ZŠ Harracha
20 na propagaci</t>
        </r>
      </text>
    </comment>
    <comment ref="I84" authorId="2">
      <text>
        <r>
          <rPr>
            <b/>
            <sz val="9"/>
            <color indexed="81"/>
            <rFont val="Tahoma"/>
            <family val="2"/>
            <charset val="238"/>
          </rPr>
          <t>Město Jilemnice:</t>
        </r>
        <r>
          <rPr>
            <sz val="9"/>
            <color indexed="81"/>
            <rFont val="Tahoma"/>
            <family val="2"/>
            <charset val="238"/>
          </rPr>
          <t xml:space="preserve">
29,126 požární ochrana
</t>
        </r>
      </text>
    </comment>
    <comment ref="I85" authorId="2">
      <text>
        <r>
          <rPr>
            <b/>
            <sz val="9"/>
            <color indexed="81"/>
            <rFont val="Tahoma"/>
            <family val="2"/>
            <charset val="238"/>
          </rPr>
          <t>Město Jilemnice:</t>
        </r>
        <r>
          <rPr>
            <sz val="9"/>
            <color indexed="81"/>
            <rFont val="Tahoma"/>
            <family val="2"/>
            <charset val="238"/>
          </rPr>
          <t xml:space="preserve">
22,87 veř. osvětlení
66,570 požární ochrana 
84,925 pojištění bonus z r. 2015-16
17,12218 městská policie</t>
        </r>
      </text>
    </comment>
    <comment ref="F100" authorId="2">
      <text>
        <r>
          <rPr>
            <sz val="9"/>
            <color indexed="81"/>
            <rFont val="Tahoma"/>
            <family val="2"/>
            <charset val="238"/>
          </rPr>
          <t>v tom 4*29=116 dotace na opatrovnictví</t>
        </r>
        <r>
          <rPr>
            <sz val="9"/>
            <color indexed="81"/>
            <rFont val="Tahoma"/>
            <family val="2"/>
            <charset val="238"/>
          </rPr>
          <t xml:space="preserve">
</t>
        </r>
      </text>
    </comment>
    <comment ref="I103" authorId="2">
      <text>
        <r>
          <rPr>
            <b/>
            <sz val="9"/>
            <color indexed="81"/>
            <rFont val="Tahoma"/>
            <family val="2"/>
            <charset val="238"/>
          </rPr>
          <t>Město Jilemnice:</t>
        </r>
        <r>
          <rPr>
            <sz val="9"/>
            <color indexed="81"/>
            <rFont val="Tahoma"/>
            <family val="2"/>
            <charset val="238"/>
          </rPr>
          <t xml:space="preserve">
848,116 doplatek z r. 2016</t>
        </r>
      </text>
    </comment>
    <comment ref="F104" authorId="2">
      <text>
        <r>
          <rPr>
            <b/>
            <sz val="9"/>
            <color indexed="81"/>
            <rFont val="Tahoma"/>
            <family val="2"/>
            <charset val="238"/>
          </rPr>
          <t>Město Jilemnice:</t>
        </r>
        <r>
          <rPr>
            <sz val="9"/>
            <color indexed="81"/>
            <rFont val="Tahoma"/>
            <family val="2"/>
            <charset val="238"/>
          </rPr>
          <t xml:space="preserve">
144 peč. Služba
468 veř. zeleň
169 policie
</t>
        </r>
      </text>
    </comment>
    <comment ref="G104" authorId="2">
      <text>
        <r>
          <rPr>
            <b/>
            <sz val="9"/>
            <color indexed="81"/>
            <rFont val="Tahoma"/>
            <family val="2"/>
            <charset val="238"/>
          </rPr>
          <t>Město Jilemnice:</t>
        </r>
        <r>
          <rPr>
            <sz val="9"/>
            <color indexed="81"/>
            <rFont val="Tahoma"/>
            <family val="2"/>
            <charset val="238"/>
          </rPr>
          <t xml:space="preserve">
70 peč. Služba
33 MP
163 místní správa</t>
        </r>
      </text>
    </comment>
    <comment ref="I104" authorId="2">
      <text>
        <r>
          <rPr>
            <b/>
            <sz val="9"/>
            <color indexed="81"/>
            <rFont val="Tahoma"/>
            <family val="2"/>
            <charset val="238"/>
          </rPr>
          <t>Město Jilemnice:</t>
        </r>
        <r>
          <rPr>
            <sz val="9"/>
            <color indexed="81"/>
            <rFont val="Tahoma"/>
            <family val="2"/>
            <charset val="238"/>
          </rPr>
          <t xml:space="preserve">
214,436 peč. Služba
474,558 veř. zeleň
162,512 správa
202,733 městská policie</t>
        </r>
      </text>
    </comment>
    <comment ref="F116" authorId="2">
      <text>
        <r>
          <rPr>
            <b/>
            <sz val="9"/>
            <color indexed="81"/>
            <rFont val="Tahoma"/>
            <family val="2"/>
            <charset val="238"/>
          </rPr>
          <t>Město Jilemnice:</t>
        </r>
        <r>
          <rPr>
            <sz val="9"/>
            <color indexed="81"/>
            <rFont val="Tahoma"/>
            <family val="2"/>
            <charset val="238"/>
          </rPr>
          <t xml:space="preserve">
130 přestupky
50 rušení tr. pobytů</t>
        </r>
      </text>
    </comment>
    <comment ref="G119" authorId="2">
      <text>
        <r>
          <rPr>
            <b/>
            <sz val="9"/>
            <color indexed="81"/>
            <rFont val="Tahoma"/>
            <family val="2"/>
            <charset val="238"/>
          </rPr>
          <t>Město Jilemnice:</t>
        </r>
        <r>
          <rPr>
            <sz val="9"/>
            <color indexed="81"/>
            <rFont val="Tahoma"/>
            <family val="2"/>
            <charset val="238"/>
          </rPr>
          <t xml:space="preserve">
53 úprava z rozhodnutí pro rok 2017
160 doplatek na rok 2017</t>
        </r>
      </text>
    </comment>
  </commentList>
</comments>
</file>

<file path=xl/comments2.xml><?xml version="1.0" encoding="utf-8"?>
<comments xmlns="http://schemas.openxmlformats.org/spreadsheetml/2006/main">
  <authors>
    <author>Město Jilemnice</author>
    <author>Jilemnice</author>
  </authors>
  <commentList>
    <comment ref="H6" authorId="0">
      <text>
        <r>
          <rPr>
            <b/>
            <sz val="9"/>
            <color indexed="81"/>
            <rFont val="Tahoma"/>
            <family val="2"/>
            <charset val="238"/>
          </rPr>
          <t>Město Jilemnice:</t>
        </r>
        <r>
          <rPr>
            <sz val="9"/>
            <color indexed="81"/>
            <rFont val="Tahoma"/>
            <family val="2"/>
            <charset val="238"/>
          </rPr>
          <t xml:space="preserve">
49,9 dotace LK na zajištění porostu lesa
43,323 na zalesnění po požáru - dar</t>
        </r>
      </text>
    </comment>
    <comment ref="H28" authorId="0">
      <text>
        <r>
          <rPr>
            <b/>
            <sz val="9"/>
            <color indexed="81"/>
            <rFont val="Tahoma"/>
            <family val="2"/>
            <charset val="238"/>
          </rPr>
          <t>Město Jilemnice:</t>
        </r>
        <r>
          <rPr>
            <sz val="9"/>
            <color indexed="81"/>
            <rFont val="Tahoma"/>
            <family val="2"/>
            <charset val="238"/>
          </rPr>
          <t xml:space="preserve">
391,4496 dotace z programu vzdělávání
45,04106 dotace LK na potravinovu pomoc</t>
        </r>
      </text>
    </comment>
    <comment ref="E30" authorId="0">
      <text>
        <r>
          <rPr>
            <b/>
            <sz val="9"/>
            <color indexed="81"/>
            <rFont val="Tahoma"/>
            <family val="2"/>
            <charset val="238"/>
          </rPr>
          <t>Město Jilemnice:</t>
        </r>
        <r>
          <rPr>
            <sz val="9"/>
            <color indexed="81"/>
            <rFont val="Tahoma"/>
            <family val="2"/>
            <charset val="238"/>
          </rPr>
          <t xml:space="preserve">
3860 ZŠ II
1200 ZŠ I stěhování
1000 úpravy čp. 85</t>
        </r>
      </text>
    </comment>
    <comment ref="H30" authorId="0">
      <text>
        <r>
          <rPr>
            <b/>
            <sz val="9"/>
            <color indexed="81"/>
            <rFont val="Tahoma"/>
            <family val="2"/>
            <charset val="238"/>
          </rPr>
          <t>Město Jilemnice:</t>
        </r>
        <r>
          <rPr>
            <sz val="9"/>
            <color indexed="81"/>
            <rFont val="Tahoma"/>
            <family val="2"/>
            <charset val="238"/>
          </rPr>
          <t xml:space="preserve">
1200 převedení na ZŠ Komenského (příspěvek na vybavení a stěhování do čp.101 (viz ZM 59/17
</t>
        </r>
      </text>
    </comment>
    <comment ref="H31" authorId="0">
      <text>
        <r>
          <rPr>
            <b/>
            <sz val="9"/>
            <color indexed="81"/>
            <rFont val="Tahoma"/>
            <family val="2"/>
            <charset val="238"/>
          </rPr>
          <t>Město Jilemnice:</t>
        </r>
        <r>
          <rPr>
            <sz val="9"/>
            <color indexed="81"/>
            <rFont val="Tahoma"/>
            <family val="2"/>
            <charset val="238"/>
          </rPr>
          <t xml:space="preserve">
1200 příspěvek na vybavení a stěhování do čp.101 (viz ZM 59/17)
230,52 dotace na nájem sportovišť
577,9596 dotace z OP VVV</t>
        </r>
      </text>
    </comment>
    <comment ref="H32" authorId="0">
      <text>
        <r>
          <rPr>
            <b/>
            <sz val="9"/>
            <color indexed="81"/>
            <rFont val="Tahoma"/>
            <family val="2"/>
            <charset val="238"/>
          </rPr>
          <t>Město Jilemnice:</t>
        </r>
        <r>
          <rPr>
            <sz val="9"/>
            <color indexed="81"/>
            <rFont val="Tahoma"/>
            <family val="2"/>
            <charset val="238"/>
          </rPr>
          <t xml:space="preserve">
74 úprava o  svěření majetku čp. 101</t>
        </r>
      </text>
    </comment>
    <comment ref="H33" authorId="0">
      <text>
        <r>
          <rPr>
            <b/>
            <sz val="9"/>
            <color indexed="81"/>
            <rFont val="Tahoma"/>
            <family val="2"/>
            <charset val="238"/>
          </rPr>
          <t>Město Jilemnice:</t>
        </r>
        <r>
          <rPr>
            <sz val="9"/>
            <color indexed="81"/>
            <rFont val="Tahoma"/>
            <family val="2"/>
            <charset val="238"/>
          </rPr>
          <t xml:space="preserve">
10 dar na dětský den
110,16 dotace na nájem sportovišť
507,5226 dotace z programu vzdělávání
</t>
        </r>
      </text>
    </comment>
    <comment ref="H34" authorId="0">
      <text>
        <r>
          <rPr>
            <b/>
            <sz val="9"/>
            <color indexed="81"/>
            <rFont val="Tahoma"/>
            <family val="2"/>
            <charset val="238"/>
          </rPr>
          <t>Město Jilemnice:</t>
        </r>
        <r>
          <rPr>
            <sz val="9"/>
            <color indexed="81"/>
            <rFont val="Tahoma"/>
            <family val="2"/>
            <charset val="238"/>
          </rPr>
          <t xml:space="preserve">
42,9 dotace LK na kompenzační pomůcky
</t>
        </r>
      </text>
    </comment>
    <comment ref="H42" authorId="0">
      <text>
        <r>
          <rPr>
            <b/>
            <sz val="9"/>
            <color indexed="81"/>
            <rFont val="Tahoma"/>
            <family val="2"/>
            <charset val="238"/>
          </rPr>
          <t>Město Jilemnice:</t>
        </r>
        <r>
          <rPr>
            <sz val="9"/>
            <color indexed="81"/>
            <rFont val="Tahoma"/>
            <family val="2"/>
            <charset val="238"/>
          </rPr>
          <t xml:space="preserve">
640.000 dotace MK ČR na obnovu památek
44,964 dar na zvoničku
</t>
        </r>
      </text>
    </comment>
    <comment ref="R42" authorId="1">
      <text>
        <r>
          <rPr>
            <b/>
            <sz val="8"/>
            <color indexed="81"/>
            <rFont val="Tahoma"/>
            <family val="2"/>
            <charset val="238"/>
          </rPr>
          <t xml:space="preserve">UZ 34054
</t>
        </r>
        <r>
          <rPr>
            <sz val="8"/>
            <color indexed="81"/>
            <rFont val="Tahoma"/>
            <family val="2"/>
            <charset val="238"/>
          </rPr>
          <t xml:space="preserve">
</t>
        </r>
      </text>
    </comment>
    <comment ref="H55" authorId="0">
      <text>
        <r>
          <rPr>
            <b/>
            <sz val="9"/>
            <color indexed="81"/>
            <rFont val="Tahoma"/>
            <family val="2"/>
            <charset val="238"/>
          </rPr>
          <t>Město Jilemnice:</t>
        </r>
        <r>
          <rPr>
            <sz val="9"/>
            <color indexed="81"/>
            <rFont val="Tahoma"/>
            <family val="2"/>
            <charset val="238"/>
          </rPr>
          <t xml:space="preserve">
1454 vyrovnávací platba</t>
        </r>
      </text>
    </comment>
    <comment ref="E58" authorId="0">
      <text>
        <r>
          <rPr>
            <b/>
            <sz val="9"/>
            <color indexed="81"/>
            <rFont val="Tahoma"/>
            <family val="2"/>
            <charset val="238"/>
          </rPr>
          <t>Město Jilemnice:</t>
        </r>
        <r>
          <rPr>
            <sz val="9"/>
            <color indexed="81"/>
            <rFont val="Tahoma"/>
            <family val="2"/>
            <charset val="238"/>
          </rPr>
          <t xml:space="preserve">
45 dotace na údržbu tratí SKI </t>
        </r>
      </text>
    </comment>
    <comment ref="H58" authorId="0">
      <text>
        <r>
          <rPr>
            <b/>
            <sz val="9"/>
            <color indexed="81"/>
            <rFont val="Tahoma"/>
            <family val="2"/>
            <charset val="238"/>
          </rPr>
          <t>Město Jilemnice:</t>
        </r>
        <r>
          <rPr>
            <sz val="9"/>
            <color indexed="81"/>
            <rFont val="Tahoma"/>
            <family val="2"/>
            <charset val="238"/>
          </rPr>
          <t xml:space="preserve">
117,417 dotace TJ Jilemnice
48,140 dotace SK NIKÉ</t>
        </r>
      </text>
    </comment>
    <comment ref="I73" authorId="0">
      <text>
        <r>
          <rPr>
            <b/>
            <sz val="9"/>
            <color indexed="81"/>
            <rFont val="Tahoma"/>
            <family val="2"/>
            <charset val="238"/>
          </rPr>
          <t>Město Jilemnice:</t>
        </r>
        <r>
          <rPr>
            <sz val="9"/>
            <color indexed="81"/>
            <rFont val="Tahoma"/>
            <family val="2"/>
            <charset val="238"/>
          </rPr>
          <t xml:space="preserve">
266,058 RO č. 10/17 odkup VO Za Láněmi
</t>
        </r>
      </text>
    </comment>
    <comment ref="H76" authorId="0">
      <text>
        <r>
          <rPr>
            <b/>
            <sz val="9"/>
            <color indexed="81"/>
            <rFont val="Tahoma"/>
            <family val="2"/>
            <charset val="238"/>
          </rPr>
          <t>Město Jilemnice:</t>
        </r>
        <r>
          <rPr>
            <sz val="9"/>
            <color indexed="81"/>
            <rFont val="Tahoma"/>
            <family val="2"/>
            <charset val="238"/>
          </rPr>
          <t xml:space="preserve">
42,840 dotace LK na zdravá města</t>
        </r>
      </text>
    </comment>
    <comment ref="H94" authorId="0">
      <text>
        <r>
          <rPr>
            <b/>
            <sz val="9"/>
            <color indexed="81"/>
            <rFont val="Tahoma"/>
            <family val="2"/>
            <charset val="238"/>
          </rPr>
          <t>Město Jilemnice:</t>
        </r>
        <r>
          <rPr>
            <sz val="9"/>
            <color indexed="81"/>
            <rFont val="Tahoma"/>
            <family val="2"/>
            <charset val="238"/>
          </rPr>
          <t xml:space="preserve">
53 dotacena soc. služby LK 
160 dotace na soc. služby LK
70 dotace z úřadu práce
55 ze zvýšených příjmů
131,251 dotace na soc. služby LK</t>
        </r>
      </text>
    </comment>
    <comment ref="H95" authorId="0">
      <text>
        <r>
          <rPr>
            <b/>
            <sz val="9"/>
            <color indexed="81"/>
            <rFont val="Tahoma"/>
            <family val="2"/>
            <charset val="238"/>
          </rPr>
          <t>Město Jilemnice:</t>
        </r>
        <r>
          <rPr>
            <sz val="9"/>
            <color indexed="81"/>
            <rFont val="Tahoma"/>
            <family val="2"/>
            <charset val="238"/>
          </rPr>
          <t xml:space="preserve">
5215 dotace MPSV na soc. služby
979 doplatek dotace na soc. služby
375,376 dotace LK na soc. služby
</t>
        </r>
      </text>
    </comment>
    <comment ref="H99" authorId="0">
      <text>
        <r>
          <rPr>
            <b/>
            <sz val="9"/>
            <color indexed="81"/>
            <rFont val="Tahoma"/>
            <family val="2"/>
            <charset val="238"/>
          </rPr>
          <t>Město Jilemnice:</t>
        </r>
        <r>
          <rPr>
            <sz val="9"/>
            <color indexed="81"/>
            <rFont val="Tahoma"/>
            <family val="2"/>
            <charset val="238"/>
          </rPr>
          <t xml:space="preserve">
37 na radiostanice
33 z úřadu práce</t>
        </r>
      </text>
    </comment>
    <comment ref="H101" authorId="0">
      <text>
        <r>
          <rPr>
            <b/>
            <sz val="9"/>
            <color indexed="81"/>
            <rFont val="Tahoma"/>
            <family val="2"/>
            <charset val="238"/>
          </rPr>
          <t>Město Jilemnice:</t>
        </r>
        <r>
          <rPr>
            <sz val="9"/>
            <color indexed="81"/>
            <rFont val="Tahoma"/>
            <family val="2"/>
            <charset val="238"/>
          </rPr>
          <t xml:space="preserve">
150 dotace MVČR na jednotky SDH
24,5 dopaltek dotace LK z r.2016
-0,85444 vratka dotace LK
38,516 dotace na akceschopnost od MV ČR</t>
        </r>
      </text>
    </comment>
    <comment ref="H107" authorId="0">
      <text>
        <r>
          <rPr>
            <b/>
            <sz val="9"/>
            <color indexed="81"/>
            <rFont val="Tahoma"/>
            <family val="2"/>
            <charset val="238"/>
          </rPr>
          <t>Město Jilemnice:</t>
        </r>
        <r>
          <rPr>
            <sz val="9"/>
            <color indexed="81"/>
            <rFont val="Tahoma"/>
            <family val="2"/>
            <charset val="238"/>
          </rPr>
          <t xml:space="preserve">
39,717 dotace na soc. práci
848,116 doplatek dotace na OSPOD za rok 2016
24,450 dotace pro ŽP na kosení louky
533 zvýšení dotace na OSPOD
163 z úřadu práce
40,050 dotace Mze ČR na kosení louky</t>
        </r>
      </text>
    </comment>
    <comment ref="H118" authorId="0">
      <text>
        <r>
          <rPr>
            <b/>
            <sz val="9"/>
            <color indexed="81"/>
            <rFont val="Tahoma"/>
            <family val="2"/>
            <charset val="238"/>
          </rPr>
          <t>Město Jilemnice:</t>
        </r>
        <r>
          <rPr>
            <sz val="9"/>
            <color indexed="81"/>
            <rFont val="Tahoma"/>
            <family val="2"/>
            <charset val="238"/>
          </rPr>
          <t xml:space="preserve">
0,67041 doplatek volby do krajů z r. 2016</t>
        </r>
      </text>
    </comment>
  </commentList>
</comments>
</file>

<file path=xl/sharedStrings.xml><?xml version="1.0" encoding="utf-8"?>
<sst xmlns="http://schemas.openxmlformats.org/spreadsheetml/2006/main" count="683" uniqueCount="480">
  <si>
    <t xml:space="preserve">                                 </t>
  </si>
  <si>
    <t xml:space="preserve">                           </t>
  </si>
  <si>
    <t>Rozpočet</t>
  </si>
  <si>
    <t>změna</t>
  </si>
  <si>
    <t>%</t>
  </si>
  <si>
    <t>Plnění</t>
  </si>
  <si>
    <t>k rozpočtu</t>
  </si>
  <si>
    <t>Třída 1 - Daňové příjmy</t>
  </si>
  <si>
    <t>Třída 2 - Nedaňové příjmy</t>
  </si>
  <si>
    <t>Třída 3 - Kapitálové příjmy</t>
  </si>
  <si>
    <t>Třída 4 - Přijaté dotace</t>
  </si>
  <si>
    <t>Příjmy celkem</t>
  </si>
  <si>
    <t>Třída 5 - Běžné výdaje</t>
  </si>
  <si>
    <t>Třída 6 - Kapitálové výdaje</t>
  </si>
  <si>
    <t>Výdaje celkem</t>
  </si>
  <si>
    <t>Saldo: Příjmy - výdaje</t>
  </si>
  <si>
    <t>pol.</t>
  </si>
  <si>
    <t>Třída 8 - financování</t>
  </si>
  <si>
    <t>Splátky úvěrů</t>
  </si>
  <si>
    <t>Celkem financování</t>
  </si>
  <si>
    <t>poznámka</t>
  </si>
  <si>
    <t>polož.</t>
  </si>
  <si>
    <t>§</t>
  </si>
  <si>
    <t>org.</t>
  </si>
  <si>
    <t>název</t>
  </si>
  <si>
    <t>1a) BĚŽNÉ</t>
  </si>
  <si>
    <t>DAŇOVÉ  - TŘÍDA  1</t>
  </si>
  <si>
    <t>11-daně z příjmů, zisku a kap. výnosů</t>
  </si>
  <si>
    <t>z toho:</t>
  </si>
  <si>
    <t>13-poplatky a daně z vybraných činností</t>
  </si>
  <si>
    <t>Matriční poplatky</t>
  </si>
  <si>
    <t>Živnostenské listy</t>
  </si>
  <si>
    <t>Hrací automaty</t>
  </si>
  <si>
    <t>15-majetkové daně</t>
  </si>
  <si>
    <t>bez</t>
  </si>
  <si>
    <t>Daňové příjmy celkem:</t>
  </si>
  <si>
    <t>NEDAŇOVÉ - TŘÍDA 2</t>
  </si>
  <si>
    <t>21-příjmy z vlastní činnosti</t>
  </si>
  <si>
    <t>Prodej zpravodaje</t>
  </si>
  <si>
    <t>Pohřebnictví</t>
  </si>
  <si>
    <t>Pečovatelská služba</t>
  </si>
  <si>
    <t>Příjmy z reklam ( zpravodaj, rozhlas)</t>
  </si>
  <si>
    <t>Nájemné:</t>
  </si>
  <si>
    <t>BH - Nájemné nebyt. prost.</t>
  </si>
  <si>
    <t>Nájemné Zásobování teplem s.r.o.</t>
  </si>
  <si>
    <t>Pokuty městská policie</t>
  </si>
  <si>
    <t>Nedaňové příjmy celkem:</t>
  </si>
  <si>
    <t>TŘÍDA  3</t>
  </si>
  <si>
    <t>31-příjmy z prodeje investičního majetku</t>
  </si>
  <si>
    <t>Kapitálové příjmy celkem:</t>
  </si>
  <si>
    <t xml:space="preserve">2)PŘIJATÉ DOTACE </t>
  </si>
  <si>
    <t>TŘÍDA  4</t>
  </si>
  <si>
    <t>2a) Běžné</t>
  </si>
  <si>
    <t>2b) Kapitálové</t>
  </si>
  <si>
    <t>Přijaté dotace celkem:</t>
  </si>
  <si>
    <t>Rekapitulace příjmů:</t>
  </si>
  <si>
    <t>Tř. 1 - Daňové příjmy</t>
  </si>
  <si>
    <t>Tř. 2. - Nedaňové příjmy</t>
  </si>
  <si>
    <t>Ze tř. 4 - Dotace běžné</t>
  </si>
  <si>
    <t>Vlastní příjmy celkem</t>
  </si>
  <si>
    <t>Tř. 3 - Kapitálové příjmy</t>
  </si>
  <si>
    <t>Ze tř. 4. - Dotace kapitálové</t>
  </si>
  <si>
    <t>Celkem příjmy</t>
  </si>
  <si>
    <t>sk</t>
  </si>
  <si>
    <t>Popis paragrafu</t>
  </si>
  <si>
    <t>běžné</t>
  </si>
  <si>
    <t>kap.</t>
  </si>
  <si>
    <t>celkem</t>
  </si>
  <si>
    <t>Zeměděl. a lesní hospodářství</t>
  </si>
  <si>
    <t>Morávková</t>
  </si>
  <si>
    <t>Doprava,vodovody,kanalizace</t>
  </si>
  <si>
    <t>Kynčlová</t>
  </si>
  <si>
    <t>Vzdělání</t>
  </si>
  <si>
    <t>Kultura, církve a sdělovací  prostř.</t>
  </si>
  <si>
    <t>Vydávání zpravodaje</t>
  </si>
  <si>
    <t>Tělovýchova a zájmová činnost</t>
  </si>
  <si>
    <t>Bydlení, komunální služby a územní rozvoj</t>
  </si>
  <si>
    <t>Veřejné osvětlení- provoz ,opravy</t>
  </si>
  <si>
    <t>Sběr a svoz komun. odpadů</t>
  </si>
  <si>
    <t>Péče o vzhled obcí a veřejnou zeleň</t>
  </si>
  <si>
    <t>Sociální péče</t>
  </si>
  <si>
    <t>Šimková</t>
  </si>
  <si>
    <t xml:space="preserve">Obecní policie </t>
  </si>
  <si>
    <t>Státní správa, územní samospráva</t>
  </si>
  <si>
    <t>Místní zastupitelské orgány</t>
  </si>
  <si>
    <t>63,64</t>
  </si>
  <si>
    <t>Finanční operace, ostatní činnosti</t>
  </si>
  <si>
    <t>Daň z příjmu práv. osob za obce</t>
  </si>
  <si>
    <t>Celkem výdaje</t>
  </si>
  <si>
    <t>kontrola</t>
  </si>
  <si>
    <t>Příjmy z úroků a fin. majetku</t>
  </si>
  <si>
    <t>rozdíl</t>
  </si>
  <si>
    <t>Výkup pozemků</t>
  </si>
  <si>
    <t>Příjem z veřejných WC</t>
  </si>
  <si>
    <t>rozpočet</t>
  </si>
  <si>
    <t>Lesní hospodářství</t>
  </si>
  <si>
    <t>Opravy pronajímaných nebyt. prostor</t>
  </si>
  <si>
    <t>Projekty do 60000,-/ nad 60000</t>
  </si>
  <si>
    <t xml:space="preserve">Činnost místní správy </t>
  </si>
  <si>
    <t>Upravený</t>
  </si>
  <si>
    <t>Upr. rozp.</t>
  </si>
  <si>
    <t>Upravený rozpočet</t>
  </si>
  <si>
    <t>Ost. poplatky</t>
  </si>
  <si>
    <t xml:space="preserve">SPOZ </t>
  </si>
  <si>
    <t>Popl. za komunální odpad</t>
  </si>
  <si>
    <t>Bezpečnost, požár. ochrana</t>
  </si>
  <si>
    <t>k sestavení rozpočtu</t>
  </si>
  <si>
    <t>Poplatek ze psů</t>
  </si>
  <si>
    <t>Popl. za užívání veřejného prostranství</t>
  </si>
  <si>
    <t>Popl. ze vstupného</t>
  </si>
  <si>
    <t>Popl. za znečišťování životního  prostř.</t>
  </si>
  <si>
    <t>DPFO - závislá činnost</t>
  </si>
  <si>
    <t xml:space="preserve">DPH </t>
  </si>
  <si>
    <t>DPFO - srážková daň</t>
  </si>
  <si>
    <t>DP - právnických osob</t>
  </si>
  <si>
    <t>DP práv. osob za obce</t>
  </si>
  <si>
    <t>daň sdílená</t>
  </si>
  <si>
    <t>Zdravotnictví</t>
  </si>
  <si>
    <t>Životní prostředí</t>
  </si>
  <si>
    <t xml:space="preserve">Knihovna </t>
  </si>
  <si>
    <t>Šnorbert</t>
  </si>
  <si>
    <t xml:space="preserve">Dopravní obslužnost </t>
  </si>
  <si>
    <t>Kompenzace za tříděný odpad</t>
  </si>
  <si>
    <t>Provoz parkoviště , park. automaty</t>
  </si>
  <si>
    <t>DPFO-závisl. činnost 1,5% podíl</t>
  </si>
  <si>
    <t>Prodej podílových listů</t>
  </si>
  <si>
    <t>Opravy, údržba komunikací</t>
  </si>
  <si>
    <t>Byty -  opravy z nájemného</t>
  </si>
  <si>
    <t>Byty - platby za služby</t>
  </si>
  <si>
    <t>Nebytové pr. - opravy</t>
  </si>
  <si>
    <t>Nebytové pr. - služby</t>
  </si>
  <si>
    <t>Zvelebilová</t>
  </si>
  <si>
    <t>Změna</t>
  </si>
  <si>
    <t>Přebytek ( - ),   ztráta  (+)</t>
  </si>
  <si>
    <t>8127</t>
  </si>
  <si>
    <t>24- přijaté splátky půjček</t>
  </si>
  <si>
    <t>23-příjmy z prodeje majetku a ost.nedaňové příjmy</t>
  </si>
  <si>
    <t xml:space="preserve">22-přijaté sankční platby </t>
  </si>
  <si>
    <t>Pasy, obč. průkazy</t>
  </si>
  <si>
    <t xml:space="preserve">Pokuty dopravní </t>
  </si>
  <si>
    <t>Pokuty životní prostředí</t>
  </si>
  <si>
    <t>Odvod z výtěžku hracích přístrojů</t>
  </si>
  <si>
    <t>3,4,6,8,9</t>
  </si>
  <si>
    <t>Pokuty živnost.úřad</t>
  </si>
  <si>
    <t xml:space="preserve">Rozpočet </t>
  </si>
  <si>
    <t>Krizové řízení, ochrana obyvatelstva</t>
  </si>
  <si>
    <t>z úč. dotace,nerozpočtuje se</t>
  </si>
  <si>
    <t>uz</t>
  </si>
  <si>
    <t>Zachov. a obn.kult. památek města</t>
  </si>
  <si>
    <t>Rezerva rozpočtová</t>
  </si>
  <si>
    <t>BH - Nájemné byt. prostory vč. penále</t>
  </si>
  <si>
    <t xml:space="preserve">Pečovatelská služba </t>
  </si>
  <si>
    <t>Příjmy - výdaje = - financování</t>
  </si>
  <si>
    <t>Příjmy místního hospodářství</t>
  </si>
  <si>
    <t>Příjmy z poskytování služeb a výrobků</t>
  </si>
  <si>
    <t>Správní poplatky</t>
  </si>
  <si>
    <t xml:space="preserve">Místní poplatky </t>
  </si>
  <si>
    <t>1b) KAPITÁLOVÉ -</t>
  </si>
  <si>
    <t>rozpočtu</t>
  </si>
  <si>
    <t>správce</t>
  </si>
  <si>
    <t>Příspěvky činnost lesního hosp. z dotací</t>
  </si>
  <si>
    <t>Provoz veř. WC</t>
  </si>
  <si>
    <t>daň vlastní</t>
  </si>
  <si>
    <t>operace</t>
  </si>
  <si>
    <t>Vojtíšek</t>
  </si>
  <si>
    <t>Zelinka</t>
  </si>
  <si>
    <t>Augustin</t>
  </si>
  <si>
    <t>Němcová</t>
  </si>
  <si>
    <t>Cerman</t>
  </si>
  <si>
    <t>Platby do svazků obcí, sdružení</t>
  </si>
  <si>
    <t>příkazce</t>
  </si>
  <si>
    <t>Exnerová</t>
  </si>
  <si>
    <t>Hartigová</t>
  </si>
  <si>
    <t>Pokuty stavební úřad</t>
  </si>
  <si>
    <t>Stavební poplatky</t>
  </si>
  <si>
    <t>Propagace města, výročí, zahr.spolupráce</t>
  </si>
  <si>
    <t>Životní prostředí poplatky</t>
  </si>
  <si>
    <t>Zvl. užívání místních komun.</t>
  </si>
  <si>
    <t>Dopravní poplatky</t>
  </si>
  <si>
    <t>Areál služeb</t>
  </si>
  <si>
    <t>Městská knihovna</t>
  </si>
  <si>
    <t>Parkovné</t>
  </si>
  <si>
    <t>Nájemné z reklamních ploch</t>
  </si>
  <si>
    <t>Nájemné z ost. nemovitostí</t>
  </si>
  <si>
    <t>Grantový program města</t>
  </si>
  <si>
    <t>Daň z nemovitostí</t>
  </si>
  <si>
    <t>BH - služby byt. prostory</t>
  </si>
  <si>
    <t>BH - služby nebyt. prostory</t>
  </si>
  <si>
    <t>Kopírování, ost příjmy správy</t>
  </si>
  <si>
    <t>Příjmy z úroků - akce Roztocká</t>
  </si>
  <si>
    <t>Prodej pozemků</t>
  </si>
  <si>
    <t>Inv. příspěvky 32b.j.</t>
  </si>
  <si>
    <t xml:space="preserve">Souhrnná neinvestiční dotace </t>
  </si>
  <si>
    <t>dle rozpisu položek v tabulce správa</t>
  </si>
  <si>
    <t>k datu</t>
  </si>
  <si>
    <t>3769,6171</t>
  </si>
  <si>
    <t>Veřejnopr. smlouvy policie</t>
  </si>
  <si>
    <t xml:space="preserve">Komunální služby </t>
  </si>
  <si>
    <t>Nájemné z pozemků</t>
  </si>
  <si>
    <t xml:space="preserve">Areál služeb </t>
  </si>
  <si>
    <t>Rozdíl</t>
  </si>
  <si>
    <t>Pěstební činnost v lesnictví</t>
  </si>
  <si>
    <t xml:space="preserve">Požární ochrana </t>
  </si>
  <si>
    <t>Pojistění majetku města</t>
  </si>
  <si>
    <t>stejná v příjmech</t>
  </si>
  <si>
    <t>13,14,19,27</t>
  </si>
  <si>
    <t>Zkoušky OZ řidičské průkazy</t>
  </si>
  <si>
    <t>DPFO - přiznání- 30% podíl</t>
  </si>
  <si>
    <t>DPFO - přiznání - sdílená část</t>
  </si>
  <si>
    <r>
      <t>F</t>
    </r>
    <r>
      <rPr>
        <sz val="8"/>
        <rFont val="Times New Roman"/>
        <family val="1"/>
        <charset val="238"/>
      </rPr>
      <t>ű</t>
    </r>
    <r>
      <rPr>
        <sz val="8"/>
        <rFont val="Arial CE"/>
        <family val="2"/>
        <charset val="238"/>
      </rPr>
      <t>ri</t>
    </r>
  </si>
  <si>
    <r>
      <t>M</t>
    </r>
    <r>
      <rPr>
        <sz val="8"/>
        <rFont val="Times New Roman"/>
        <family val="1"/>
        <charset val="238"/>
      </rPr>
      <t>ű</t>
    </r>
    <r>
      <rPr>
        <sz val="8"/>
        <rFont val="Arial CE"/>
        <family val="2"/>
        <charset val="238"/>
      </rPr>
      <t>llerová</t>
    </r>
  </si>
  <si>
    <t>Műllerová</t>
  </si>
  <si>
    <t>Čechová</t>
  </si>
  <si>
    <t>Opravy budov škol</t>
  </si>
  <si>
    <t>Výdaje,daň za prodej majetku</t>
  </si>
  <si>
    <t>čerpání</t>
  </si>
  <si>
    <t>Mečíř</t>
  </si>
  <si>
    <t>Bedrníková</t>
  </si>
  <si>
    <t>Územní plánování</t>
  </si>
  <si>
    <t xml:space="preserve">Ost. sociální péče </t>
  </si>
  <si>
    <t>Ouhrabková</t>
  </si>
  <si>
    <t>MŠ Jilemnice - příspěvek na provoz</t>
  </si>
  <si>
    <t>ZŠ Komenského- příspěvek na provoz</t>
  </si>
  <si>
    <t>ZŠ Harracha- příspěvek na provoz</t>
  </si>
  <si>
    <t>SC - příspěvek na provoz</t>
  </si>
  <si>
    <t>Organizace</t>
  </si>
  <si>
    <t xml:space="preserve">Hlavní </t>
  </si>
  <si>
    <t>činnost</t>
  </si>
  <si>
    <t>Doplňková</t>
  </si>
  <si>
    <t xml:space="preserve">Fond </t>
  </si>
  <si>
    <t>Náklady</t>
  </si>
  <si>
    <t>Výnosy</t>
  </si>
  <si>
    <t>investiční</t>
  </si>
  <si>
    <t>rezervní</t>
  </si>
  <si>
    <t>Poznámka</t>
  </si>
  <si>
    <t xml:space="preserve">Dětské centrum </t>
  </si>
  <si>
    <t>Masarykova.měst.nemocnice</t>
  </si>
  <si>
    <t>Mateřská škola</t>
  </si>
  <si>
    <t>Společenský dům Jilm</t>
  </si>
  <si>
    <t>Sportovní centrum</t>
  </si>
  <si>
    <t>Základní škola Harracha</t>
  </si>
  <si>
    <t>Základní škola Komenského</t>
  </si>
  <si>
    <t>Základní umělecká škola</t>
  </si>
  <si>
    <t>ZŠ spec. a MŠ spec.</t>
  </si>
  <si>
    <t>C e l k e m</t>
  </si>
  <si>
    <t>Czech Point poplatky</t>
  </si>
  <si>
    <t>Příjmy z věcných břemen pozemků</t>
  </si>
  <si>
    <t>Chodník Čsl. Legií - zvýšení bezpečnosti</t>
  </si>
  <si>
    <t>Dotace od ÚP</t>
  </si>
  <si>
    <t>energie</t>
  </si>
  <si>
    <t>Obnova a zachování kult. hodnot</t>
  </si>
  <si>
    <t>9513229,09513229</t>
  </si>
  <si>
    <t>Opravy budov MÚ</t>
  </si>
  <si>
    <t>Právní zastoupení města</t>
  </si>
  <si>
    <t>Péče o stromovou zeleň</t>
  </si>
  <si>
    <t xml:space="preserve">ZŠ spec. a MŠ spec.- příspěvek na provoz </t>
  </si>
  <si>
    <t>Dětské centrum příspěvek na provoz</t>
  </si>
  <si>
    <t>Myslivec</t>
  </si>
  <si>
    <t>VH</t>
  </si>
  <si>
    <t>Dotace na činnost lesního hospodáře</t>
  </si>
  <si>
    <t>Platba DPH za ekonomické činnosti</t>
  </si>
  <si>
    <t>Pokuty správní odbor, přestupky</t>
  </si>
  <si>
    <t>Odvody příspěvkových organizací</t>
  </si>
  <si>
    <t>Příspěvek na odpisy svěř. majetku MŠ</t>
  </si>
  <si>
    <t>Příspěvek na odpisy svěř. majetku ZŠ</t>
  </si>
  <si>
    <t>Příspěvek na odpisy svěř. majetku ZUŠ</t>
  </si>
  <si>
    <t>Příspěvek na odpisy svěř. majetku SDJ</t>
  </si>
  <si>
    <t>Příspěvek na odpisy svěř. majetku SC</t>
  </si>
  <si>
    <t>312,orj.10</t>
  </si>
  <si>
    <t>% čerpání</t>
  </si>
  <si>
    <t>103, orj1,2,3,4,1111</t>
  </si>
  <si>
    <t>Stavebnictví, cestovní ruch, služby</t>
  </si>
  <si>
    <t>Územní rozvoj ( Zdravá města)</t>
  </si>
  <si>
    <t>Veřejnopr. smlouvy správní odbor</t>
  </si>
  <si>
    <t>SD Jilm - příspěvek na provoz</t>
  </si>
  <si>
    <t>Příspěvek na činnost Krkonošského muzea</t>
  </si>
  <si>
    <t xml:space="preserve">poznámka k rozpočtu </t>
  </si>
  <si>
    <t>Provoz informačního centra pro mládež</t>
  </si>
  <si>
    <t xml:space="preserve">Odvody z vybraných činností </t>
  </si>
  <si>
    <t>Příjmy za služby pronajímaných prostor</t>
  </si>
  <si>
    <t>Služby pronajímaných prostor</t>
  </si>
  <si>
    <t>Nájemné restaurace pod radnicí</t>
  </si>
  <si>
    <t>Opravy restaurace pod radnicí</t>
  </si>
  <si>
    <t>Přijaté dary a ost. příjmy</t>
  </si>
  <si>
    <t>560Kč/os/rok</t>
  </si>
  <si>
    <t>Stravovadlo - Scolarest, ZŠ</t>
  </si>
  <si>
    <t>Příprava území k bytové výstavbě</t>
  </si>
  <si>
    <t>Nájemné PO města</t>
  </si>
  <si>
    <t>Kozáková</t>
  </si>
  <si>
    <t>Průkazy energetické náročnosti budov</t>
  </si>
  <si>
    <t>Nováková</t>
  </si>
  <si>
    <t>Systém EMAS</t>
  </si>
  <si>
    <t>Informační systém</t>
  </si>
  <si>
    <t>šetří se</t>
  </si>
  <si>
    <t>3,14,26</t>
  </si>
  <si>
    <t>Příjmy z úroků ( vč. fondů)</t>
  </si>
  <si>
    <t>Kompostárna - provoz (příspěvek svazku)</t>
  </si>
  <si>
    <t>Požární nádrž Kozinec</t>
  </si>
  <si>
    <t>Zámecký park - podium, cesty</t>
  </si>
  <si>
    <t>Kuříková</t>
  </si>
  <si>
    <t>Jandurová</t>
  </si>
  <si>
    <t xml:space="preserve">akce města u SPOZ </t>
  </si>
  <si>
    <t>Steinerová</t>
  </si>
  <si>
    <t>13011</t>
  </si>
  <si>
    <t>3349</t>
  </si>
  <si>
    <t>Kursové rozdíly</t>
  </si>
  <si>
    <t>307</t>
  </si>
  <si>
    <t>Projekt Hraběnka</t>
  </si>
  <si>
    <t>vč. akcí města</t>
  </si>
  <si>
    <t>Vinklář</t>
  </si>
  <si>
    <t>Vávrová</t>
  </si>
  <si>
    <t>700,701,702</t>
  </si>
  <si>
    <t>Ulice Žižkova - rekonstrukce</t>
  </si>
  <si>
    <t>bez plakátovacích ploch</t>
  </si>
  <si>
    <t>Revitalizace parku v Dolení ul.</t>
  </si>
  <si>
    <t>Dotace na projekt revitalizace parku v Dolení ul.</t>
  </si>
  <si>
    <t>Dotace LK na projekt Hraběnka</t>
  </si>
  <si>
    <t>příspěvek spolku</t>
  </si>
  <si>
    <t>Dotace na výkon st. správy -  soc. práci</t>
  </si>
  <si>
    <t>Vébrová</t>
  </si>
  <si>
    <t>RM,ZM</t>
  </si>
  <si>
    <t>Vohnická</t>
  </si>
  <si>
    <t>29008,29004</t>
  </si>
  <si>
    <t>700-702</t>
  </si>
  <si>
    <t>Cyklostezka "Za prací" - projekce</t>
  </si>
  <si>
    <t>Nouzov - pokračování z r.2015</t>
  </si>
  <si>
    <t>dle spl. kalendáře</t>
  </si>
  <si>
    <t>2017</t>
  </si>
  <si>
    <t>Rozpočet 2017</t>
  </si>
  <si>
    <t>Novotná</t>
  </si>
  <si>
    <t>Fűri</t>
  </si>
  <si>
    <t>garant</t>
  </si>
  <si>
    <t>Přijaté náhrady</t>
  </si>
  <si>
    <t>90104</t>
  </si>
  <si>
    <t>org</t>
  </si>
  <si>
    <t xml:space="preserve">Dotace LK na pečovatelskou službu </t>
  </si>
  <si>
    <t>Dotace LK na soc. služby pro DC</t>
  </si>
  <si>
    <t>Příjmy z úroků -z poskytn. půjček, divident</t>
  </si>
  <si>
    <t>Vaněk</t>
  </si>
  <si>
    <t xml:space="preserve">Koupaliště </t>
  </si>
  <si>
    <t>Dotace LK pro požární ochranu</t>
  </si>
  <si>
    <t xml:space="preserve">Pokuty ostatní </t>
  </si>
  <si>
    <t>MMN,a.s. - příplatek mimo zákl. kapitál</t>
  </si>
  <si>
    <t>Příspěvky  MMN z dotací, příspěvek na provoz</t>
  </si>
  <si>
    <t>Langová</t>
  </si>
  <si>
    <t>Obnova zahr. domku a vytvoření expozice</t>
  </si>
  <si>
    <t>přesun již  z roku 2015</t>
  </si>
  <si>
    <t>VHS - příspěvky (úroky k úvěru Čistá Jizera)</t>
  </si>
  <si>
    <t xml:space="preserve">Rekonstrukce čp.64 - rozvoj soc. služeb </t>
  </si>
  <si>
    <t>Přijetí  úvěru (chodník Čsl. Legií)</t>
  </si>
  <si>
    <t>Šolcová</t>
  </si>
  <si>
    <t>Parkoviště a přechod u SDJilm</t>
  </si>
  <si>
    <t>Chodník ul. Roztocká - projekce</t>
  </si>
  <si>
    <t>ul. Na Kozinci - chodník a veř. osvětlení</t>
  </si>
  <si>
    <t>Projekt "Rozvoj MA21 v Jilemnici"</t>
  </si>
  <si>
    <t>Dotace Min. vnitra ČR na požární cisternu</t>
  </si>
  <si>
    <t>Projekt "Podpora sociální práce v Jilenici"</t>
  </si>
  <si>
    <t>projekt OPLZZ</t>
  </si>
  <si>
    <t>Dotace na projekt "Rozvoj MA21 v Jilemnici"</t>
  </si>
  <si>
    <t>novela RUD - zrušeno</t>
  </si>
  <si>
    <t>Dotace na projekt "Podpopra sociální práce v Jilemnici"</t>
  </si>
  <si>
    <t>Prodej automobilu</t>
  </si>
  <si>
    <t>Popl. z ubytovacích kapacit a rekreační pobyt</t>
  </si>
  <si>
    <t>vlastní podíl města</t>
  </si>
  <si>
    <t>Revitalizace sídliště Spořilov - projekty</t>
  </si>
  <si>
    <t>Parkoviště u DPS</t>
  </si>
  <si>
    <t>Lom - revitalizace</t>
  </si>
  <si>
    <t>Bulušek</t>
  </si>
  <si>
    <t>4.Q.2017</t>
  </si>
  <si>
    <t>Zůstatek z depozitního účtu z r. 2016</t>
  </si>
  <si>
    <t>Zůstatek z roku 2016</t>
  </si>
  <si>
    <t>Dotace LK na obnovu požární cisterny</t>
  </si>
  <si>
    <t>doplatek volby do krajů</t>
  </si>
  <si>
    <t>Dotace MVČR na požární ochranu</t>
  </si>
  <si>
    <t>Dotace LK na obnovu a zajištění porostu lesa</t>
  </si>
  <si>
    <t>Finanční vypořádání z minulých let</t>
  </si>
  <si>
    <t>Přijaté pojistné náhrady</t>
  </si>
  <si>
    <t>SC- úč. příspěvek závlahový systém</t>
  </si>
  <si>
    <t>Dotace MŠMT na projekt Hraběnka</t>
  </si>
  <si>
    <t>Dotace na výkon st. správy - soc. právní ochranu dětí</t>
  </si>
  <si>
    <t>Dotace na Chodník Čsl. legií</t>
  </si>
  <si>
    <t>Dotace MK ČR na obnovu památek</t>
  </si>
  <si>
    <t>Místní referendum</t>
  </si>
  <si>
    <t>1381,1382,1383</t>
  </si>
  <si>
    <t>Příjem za zrušenou MMN v Jilemnici</t>
  </si>
  <si>
    <t>prodej pozemku u pošty</t>
  </si>
  <si>
    <t>Prodej dokumentace k pozemku u pošty</t>
  </si>
  <si>
    <t>Dotace na kosení modráskové louky</t>
  </si>
  <si>
    <t>Modernizace odpadového systému</t>
  </si>
  <si>
    <t>Individuální dotace sport. klubům</t>
  </si>
  <si>
    <t>Dotace MŠMT z OP – Výzkum, vývoj a vzdělávání pro MŠ</t>
  </si>
  <si>
    <t>Dotace MŠMT z OP - Výzkum, vývoj a  vzdělávání  pro ZŠ Harracha</t>
  </si>
  <si>
    <t>Provoz čp. 259 (staré gymnázium)</t>
  </si>
  <si>
    <t>Volby prezidenta</t>
  </si>
  <si>
    <t>Dotace na volby do Parlamentu a prezidenta</t>
  </si>
  <si>
    <t>Volby do Poslanecké sněmovny ČR</t>
  </si>
  <si>
    <t>Dotace LK pro ZŠ spec. a MŠ spec.</t>
  </si>
  <si>
    <t>Dotace MŠMT z OP – Výzkum, vývoj a vzdělávání pro ZŠ komenského</t>
  </si>
  <si>
    <t>ukončeno</t>
  </si>
  <si>
    <t>Prodej pozemků Nouzov</t>
  </si>
  <si>
    <r>
      <t>M</t>
    </r>
    <r>
      <rPr>
        <sz val="9"/>
        <rFont val="Times New Roman"/>
        <family val="1"/>
        <charset val="238"/>
      </rPr>
      <t>ű</t>
    </r>
    <r>
      <rPr>
        <sz val="9"/>
        <rFont val="Arial CE"/>
        <family val="2"/>
        <charset val="238"/>
      </rPr>
      <t>llerová</t>
    </r>
  </si>
  <si>
    <t>požární auto</t>
  </si>
  <si>
    <t>vliv prodejů pozemků Nouzov</t>
  </si>
  <si>
    <t>ZUŠ - příspěvek na provoz, čp. 85</t>
  </si>
  <si>
    <t>žádost výzva MAS, celkem projekt 7960</t>
  </si>
  <si>
    <t>smlouva na 3 roky do r. 2019</t>
  </si>
  <si>
    <t>Sportovní centrum Jilemnice, s.r.o</t>
  </si>
  <si>
    <t>Dotace LK pro MŠ (potravinová pomoc)</t>
  </si>
  <si>
    <t>vyrovnávací platba</t>
  </si>
  <si>
    <t>Legie, Hraběnka</t>
  </si>
  <si>
    <t>Nonnerová</t>
  </si>
  <si>
    <t>Šolcováová</t>
  </si>
  <si>
    <t>Lambertová</t>
  </si>
  <si>
    <t>Jónová</t>
  </si>
  <si>
    <t>zrušeno</t>
  </si>
  <si>
    <t xml:space="preserve">Dotace LK na zdravá města </t>
  </si>
  <si>
    <t>Areál Hraběnka - provoz</t>
  </si>
  <si>
    <t>viz usn ZM 108/17</t>
  </si>
  <si>
    <t>ušetřeno</t>
  </si>
  <si>
    <t>Rozvaha (údaje v Kč)</t>
  </si>
  <si>
    <t>Stálá aktiva (majetek)</t>
  </si>
  <si>
    <t>Pohledávky</t>
  </si>
  <si>
    <t>Finanční majetek</t>
  </si>
  <si>
    <t>Stav fondů</t>
  </si>
  <si>
    <t>Krátkodobé závazky</t>
  </si>
  <si>
    <t>Dlouhodobé závazky</t>
  </si>
  <si>
    <t>Přehled hospodaření příspěvkových organizací města Jilemnice k 31.12.2017</t>
  </si>
  <si>
    <t>k 31.12.2017</t>
  </si>
  <si>
    <t>Přehled hospodaření s majetkem příspěvkových organizací města Jilemnice za rok 2017</t>
  </si>
  <si>
    <t>Poznámka k MMN v Jilemnici:</t>
  </si>
  <si>
    <t>Poznámka ke Sportovnímu centru:</t>
  </si>
  <si>
    <r>
      <t xml:space="preserve">Činnost příspěvkové organizace </t>
    </r>
    <r>
      <rPr>
        <sz val="10"/>
        <color rgb="FF000000"/>
        <rFont val="Times New Roman"/>
        <family val="1"/>
        <charset val="238"/>
      </rPr>
      <t>Masarykovy městské nemocnice v Jilemnici byla usnesením ZM č. 114/16 k 31. 12. 2016 zrušena. Majetek svěřený k hospodaření byl k 31.12.2016 vrácen zřizovateli, tj. městu Jilemnice.  Celý závod příspěvkové organizace byl usnesením ZM vložen k 1.1.2017 do MMN, a.s.  Organizace byla zrušena k 28.2.2017, na zřizovatele přešla pohledávka  ve výši 258.710,- Kč z důvodu přeplatku daně DPH.</t>
    </r>
  </si>
  <si>
    <t>MĚSTO JILEMNICE -  Závěrečný účet 2017 - sumář</t>
  </si>
  <si>
    <t>Příloha k závěrečnému účtu za rok 2017</t>
  </si>
  <si>
    <t>rozdíl plnění 2017</t>
  </si>
  <si>
    <t>proti rozpočtu 2017</t>
  </si>
  <si>
    <t>Dotace  "Krkonošské pivní slavnosti"</t>
  </si>
  <si>
    <t>činnost ukončena k 31.8.2017</t>
  </si>
  <si>
    <t xml:space="preserve">200 přístavba kolumbária </t>
  </si>
  <si>
    <t>projekt OPŽP</t>
  </si>
  <si>
    <t>6000 nákup cisterny - odloženo</t>
  </si>
  <si>
    <t>MĚSTO JILEMNICE -  Závěrečný účet 2017 - příjmy</t>
  </si>
  <si>
    <t>MĚSTO JILEMNICE -   Závěrečný účet 2017 - výdaje</t>
  </si>
  <si>
    <t>Čerpání 31.12.2017</t>
  </si>
  <si>
    <t>2) Zásobování teplem Jilemnice,s.r.o, Jana Weisse 1219, Jilemnice IČ: 25281542   (dále ZT,s.r.o)</t>
  </si>
  <si>
    <t>MMN,a.s.</t>
  </si>
  <si>
    <t>ZT,s.r.o</t>
  </si>
  <si>
    <t>aktiva celkem</t>
  </si>
  <si>
    <t>z toho</t>
  </si>
  <si>
    <t>dlouhodobý majetek</t>
  </si>
  <si>
    <t>zásoby</t>
  </si>
  <si>
    <t>pohledávky</t>
  </si>
  <si>
    <t xml:space="preserve">finanční majetek </t>
  </si>
  <si>
    <t>časové rozlišení aktiv</t>
  </si>
  <si>
    <t>pasiva celkem</t>
  </si>
  <si>
    <t>základní kapitál</t>
  </si>
  <si>
    <t>ážio a kapitálové fondy</t>
  </si>
  <si>
    <t>fondy ze zisku</t>
  </si>
  <si>
    <t>výsledek hospodaření</t>
  </si>
  <si>
    <t>krátkodobé závazky</t>
  </si>
  <si>
    <t>časové rozlišení pasiv</t>
  </si>
  <si>
    <t>Údaje z výkazu zisku a ztáty</t>
  </si>
  <si>
    <t>náklady</t>
  </si>
  <si>
    <t>výnosy</t>
  </si>
  <si>
    <t>Přehled hospodaření městských společností města Jilemnice za rok 2017</t>
  </si>
  <si>
    <t>SC, s.r.o</t>
  </si>
  <si>
    <t>výsledek hospodaření roku 2017</t>
  </si>
  <si>
    <t>dlouhodobé závazky- bankovní úvěry</t>
  </si>
  <si>
    <t>pohledávka za upsaný kapitál</t>
  </si>
  <si>
    <t>3) Sportovní centrum Jilemnice, s.r.o, Jungmanova 146,Jilemnice, IČ: 05769370 (dále SC,s.r.o)</t>
  </si>
  <si>
    <t>1) MMN,a.s. , Metyšova 465, Jilemnice, IČ: 5421888   (dále MMN,a.s.)</t>
  </si>
  <si>
    <t>Údaje z rozvahy k 31.12.2017</t>
  </si>
  <si>
    <t>činnost PO ukončena 31.8.2017, zrušena 31.12.2017</t>
  </si>
  <si>
    <t>údaje v Kč</t>
  </si>
  <si>
    <t>údaje v tis. Kč</t>
  </si>
  <si>
    <t>Masarykova městská nemocnice</t>
  </si>
  <si>
    <t>PO zrušena k 28.2.2018</t>
  </si>
  <si>
    <t>Činnost příspěvkové organizace Sportovní centrum byla ukončena k 1.9.2017, organizace pak byla zrušena k 31.12.2017 rozhodnutím ZM č. 66/17 ze dne 28.6.2017. Tímto rozhodnutím ZM rozhodlo i o majetku, ke kterému měla organizace právo hospodaření. Část majetku byla vložena do základního kapitálu obchodní společnosti Sportovní centrum Jilemnice, s.r.o., zbylá část majetku byla vrácena zřizovateli. Na zřizovatele přešla dále pohledávka za prodaný majetek v částce 2.806.944,- Kč, nedokončený hmotný majetek v hodnotě 619.620,- Kč a povinnost zaplacení DPPO ve výši 950,- Kč</t>
  </si>
  <si>
    <t>projekt SFŽP</t>
  </si>
  <si>
    <t>350 kamerový systém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</si>
</sst>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5" formatCode="0.0"/>
    <numFmt numFmtId="166" formatCode="#,##0.0000000"/>
    <numFmt numFmtId="167" formatCode="#,##0.000000"/>
    <numFmt numFmtId="168" formatCode="#,##0.00000"/>
    <numFmt numFmtId="169" formatCode="#,##0.000"/>
    <numFmt numFmtId="170" formatCode="#,##0_ ;[Red]\-#,##0\ "/>
    <numFmt numFmtId="171" formatCode="d/m/yy;@"/>
    <numFmt numFmtId="172" formatCode="0.0000"/>
    <numFmt numFmtId="173" formatCode="0.0000000000000000E+00"/>
    <numFmt numFmtId="174" formatCode="0.00000"/>
  </numFmts>
  <fonts count="33" x14ac:knownFonts="1">
    <font>
      <sz val="10"/>
      <name val="Arial CE"/>
      <charset val="238"/>
    </font>
    <font>
      <sz val="10"/>
      <name val="Arial CE"/>
      <charset val="238"/>
    </font>
    <font>
      <b/>
      <sz val="12"/>
      <name val="Arial CE"/>
      <family val="2"/>
      <charset val="238"/>
    </font>
    <font>
      <b/>
      <sz val="10"/>
      <name val="Arial CE"/>
      <family val="2"/>
      <charset val="238"/>
    </font>
    <font>
      <b/>
      <sz val="8"/>
      <name val="Arial CE"/>
      <family val="2"/>
      <charset val="238"/>
    </font>
    <font>
      <sz val="8"/>
      <name val="Arial CE"/>
      <family val="2"/>
      <charset val="238"/>
    </font>
    <font>
      <sz val="8"/>
      <name val="Arial CE"/>
      <charset val="238"/>
    </font>
    <font>
      <b/>
      <sz val="10"/>
      <name val="Arial CE"/>
      <charset val="238"/>
    </font>
    <font>
      <b/>
      <sz val="8"/>
      <name val="Arial CE"/>
      <charset val="238"/>
    </font>
    <font>
      <b/>
      <sz val="8"/>
      <color indexed="8"/>
      <name val="Arial CE"/>
      <family val="2"/>
      <charset val="238"/>
    </font>
    <font>
      <sz val="8"/>
      <color indexed="8"/>
      <name val="Arial CE"/>
      <family val="2"/>
      <charset val="238"/>
    </font>
    <font>
      <b/>
      <sz val="12"/>
      <color indexed="8"/>
      <name val="Arial CE"/>
      <family val="2"/>
      <charset val="238"/>
    </font>
    <font>
      <sz val="12"/>
      <color indexed="8"/>
      <name val="Arial CE"/>
      <family val="2"/>
      <charset val="238"/>
    </font>
    <font>
      <b/>
      <sz val="10"/>
      <color indexed="8"/>
      <name val="Arial CE"/>
      <family val="2"/>
      <charset val="238"/>
    </font>
    <font>
      <sz val="8"/>
      <color indexed="81"/>
      <name val="Tahoma"/>
      <family val="2"/>
      <charset val="238"/>
    </font>
    <font>
      <b/>
      <sz val="14"/>
      <name val="Arial CE"/>
      <family val="2"/>
      <charset val="238"/>
    </font>
    <font>
      <sz val="10"/>
      <name val="Arial CE"/>
      <family val="2"/>
      <charset val="238"/>
    </font>
    <font>
      <b/>
      <sz val="8"/>
      <color indexed="81"/>
      <name val="Tahoma"/>
      <family val="2"/>
      <charset val="238"/>
    </font>
    <font>
      <sz val="10"/>
      <color indexed="81"/>
      <name val="Tahoma"/>
      <family val="2"/>
      <charset val="238"/>
    </font>
    <font>
      <b/>
      <sz val="8"/>
      <color indexed="8"/>
      <name val="Arial CE"/>
      <charset val="238"/>
    </font>
    <font>
      <sz val="8"/>
      <name val="Arial"/>
      <family val="2"/>
      <charset val="238"/>
    </font>
    <font>
      <sz val="8"/>
      <color indexed="8"/>
      <name val="Arial CE"/>
      <charset val="238"/>
    </font>
    <font>
      <sz val="8"/>
      <name val="Times New Roman"/>
      <family val="1"/>
      <charset val="238"/>
    </font>
    <font>
      <sz val="9"/>
      <color indexed="81"/>
      <name val="Tahoma"/>
      <family val="2"/>
      <charset val="238"/>
    </font>
    <font>
      <b/>
      <sz val="9"/>
      <color indexed="81"/>
      <name val="Tahoma"/>
      <family val="2"/>
      <charset val="238"/>
    </font>
    <font>
      <b/>
      <sz val="10"/>
      <color indexed="8"/>
      <name val="Arial CE"/>
      <charset val="238"/>
    </font>
    <font>
      <b/>
      <sz val="9"/>
      <name val="Arial CE"/>
      <charset val="238"/>
    </font>
    <font>
      <sz val="10"/>
      <name val="Arial"/>
      <family val="2"/>
      <charset val="238"/>
    </font>
    <font>
      <sz val="9"/>
      <name val="Arial CE"/>
      <family val="2"/>
      <charset val="238"/>
    </font>
    <font>
      <sz val="9"/>
      <name val="Times New Roman"/>
      <family val="1"/>
      <charset val="238"/>
    </font>
    <font>
      <sz val="10"/>
      <name val="Times New Roman"/>
      <family val="1"/>
      <charset val="238"/>
    </font>
    <font>
      <sz val="10"/>
      <color rgb="FF000000"/>
      <name val="Times New Roman"/>
      <family val="1"/>
      <charset val="238"/>
    </font>
    <font>
      <b/>
      <sz val="12"/>
      <name val="Arial CE"/>
      <charset val="238"/>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indexed="9"/>
        <bgColor indexed="64"/>
      </patternFill>
    </fill>
    <fill>
      <patternFill patternType="solid">
        <fgColor indexed="44"/>
        <bgColor indexed="64"/>
      </patternFill>
    </fill>
    <fill>
      <patternFill patternType="solid">
        <fgColor indexed="27"/>
        <bgColor indexed="64"/>
      </patternFill>
    </fill>
    <fill>
      <patternFill patternType="solid">
        <fgColor rgb="FFFFFF99"/>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27" fillId="0" borderId="0"/>
    <xf numFmtId="9" fontId="1" fillId="0" borderId="0" applyFont="0" applyFill="0" applyBorder="0" applyAlignment="0" applyProtection="0"/>
  </cellStyleXfs>
  <cellXfs count="504">
    <xf numFmtId="0" fontId="0" fillId="0" borderId="0" xfId="0"/>
    <xf numFmtId="0" fontId="2" fillId="0" borderId="0" xfId="0" applyFont="1"/>
    <xf numFmtId="164" fontId="2" fillId="0" borderId="0" xfId="0" applyNumberFormat="1" applyFont="1"/>
    <xf numFmtId="0" fontId="3" fillId="0" borderId="0" xfId="0" applyFont="1"/>
    <xf numFmtId="0" fontId="3" fillId="0" borderId="1" xfId="0" applyFont="1" applyBorder="1"/>
    <xf numFmtId="164" fontId="3" fillId="0" borderId="2" xfId="0" applyNumberFormat="1" applyFont="1" applyBorder="1"/>
    <xf numFmtId="0" fontId="3" fillId="0" borderId="3" xfId="0" applyFont="1" applyBorder="1" applyAlignment="1">
      <alignment horizontal="center"/>
    </xf>
    <xf numFmtId="0" fontId="3" fillId="0" borderId="4" xfId="0" applyFont="1" applyBorder="1"/>
    <xf numFmtId="1" fontId="3" fillId="0" borderId="5" xfId="0" applyNumberFormat="1" applyFont="1" applyBorder="1" applyAlignment="1">
      <alignment horizontal="center"/>
    </xf>
    <xf numFmtId="3" fontId="5" fillId="0" borderId="7" xfId="0" applyNumberFormat="1" applyFont="1" applyBorder="1"/>
    <xf numFmtId="0" fontId="3" fillId="0" borderId="9" xfId="0" applyFont="1" applyBorder="1"/>
    <xf numFmtId="3" fontId="4" fillId="0" borderId="7" xfId="0" applyNumberFormat="1" applyFont="1" applyBorder="1"/>
    <xf numFmtId="0" fontId="3" fillId="0" borderId="0" xfId="0" applyFont="1" applyBorder="1"/>
    <xf numFmtId="0" fontId="0" fillId="0" borderId="0" xfId="0" applyBorder="1"/>
    <xf numFmtId="3" fontId="5" fillId="0" borderId="10" xfId="0" applyNumberFormat="1" applyFont="1" applyFill="1" applyBorder="1" applyAlignment="1" applyProtection="1"/>
    <xf numFmtId="3" fontId="5" fillId="0" borderId="7" xfId="0" applyNumberFormat="1" applyFont="1" applyFill="1" applyBorder="1" applyAlignment="1" applyProtection="1"/>
    <xf numFmtId="3" fontId="4" fillId="0" borderId="10" xfId="0" applyNumberFormat="1" applyFont="1" applyFill="1" applyBorder="1" applyAlignment="1" applyProtection="1"/>
    <xf numFmtId="164" fontId="5" fillId="0" borderId="0" xfId="0" applyNumberFormat="1" applyFont="1"/>
    <xf numFmtId="0" fontId="5" fillId="0" borderId="0" xfId="0" applyFont="1"/>
    <xf numFmtId="0" fontId="5" fillId="0" borderId="0" xfId="0" applyNumberFormat="1" applyFont="1" applyFill="1" applyBorder="1" applyAlignment="1" applyProtection="1"/>
    <xf numFmtId="0" fontId="4" fillId="0" borderId="12" xfId="0" applyNumberFormat="1" applyFont="1" applyFill="1" applyBorder="1" applyAlignment="1" applyProtection="1"/>
    <xf numFmtId="164" fontId="4" fillId="0" borderId="12" xfId="0" applyNumberFormat="1" applyFont="1" applyFill="1" applyBorder="1" applyAlignment="1" applyProtection="1">
      <alignment horizontal="right"/>
    </xf>
    <xf numFmtId="0" fontId="4" fillId="0" borderId="5" xfId="0" applyNumberFormat="1" applyFont="1" applyFill="1" applyBorder="1" applyAlignment="1" applyProtection="1"/>
    <xf numFmtId="0" fontId="4" fillId="0" borderId="5" xfId="0" applyNumberFormat="1" applyFont="1" applyFill="1" applyBorder="1" applyAlignment="1" applyProtection="1">
      <alignment horizontal="center"/>
    </xf>
    <xf numFmtId="0" fontId="4" fillId="0" borderId="5" xfId="0" applyNumberFormat="1" applyFont="1" applyFill="1" applyBorder="1" applyAlignment="1" applyProtection="1">
      <alignment horizontal="right"/>
    </xf>
    <xf numFmtId="0" fontId="5" fillId="0" borderId="10" xfId="0" applyNumberFormat="1" applyFont="1" applyFill="1" applyBorder="1" applyAlignment="1" applyProtection="1"/>
    <xf numFmtId="164" fontId="9" fillId="2" borderId="10" xfId="0" applyNumberFormat="1" applyFont="1" applyFill="1" applyBorder="1" applyAlignment="1" applyProtection="1">
      <alignment horizontal="right"/>
    </xf>
    <xf numFmtId="164" fontId="9" fillId="0" borderId="10" xfId="0" applyNumberFormat="1" applyFont="1" applyFill="1" applyBorder="1" applyAlignment="1" applyProtection="1">
      <alignment horizontal="right"/>
    </xf>
    <xf numFmtId="0" fontId="4" fillId="0" borderId="10" xfId="0" applyNumberFormat="1" applyFont="1" applyFill="1" applyBorder="1" applyAlignment="1" applyProtection="1"/>
    <xf numFmtId="0" fontId="6" fillId="0" borderId="10" xfId="0" applyNumberFormat="1" applyFont="1" applyFill="1" applyBorder="1" applyAlignment="1" applyProtection="1"/>
    <xf numFmtId="164" fontId="10" fillId="0" borderId="10" xfId="0" applyNumberFormat="1" applyFont="1" applyFill="1" applyBorder="1" applyAlignment="1" applyProtection="1">
      <alignment horizontal="right"/>
    </xf>
    <xf numFmtId="0" fontId="5" fillId="0" borderId="13" xfId="0" applyNumberFormat="1" applyFont="1" applyFill="1" applyBorder="1" applyAlignment="1" applyProtection="1"/>
    <xf numFmtId="164" fontId="9" fillId="0" borderId="14" xfId="0" applyNumberFormat="1" applyFont="1" applyFill="1" applyBorder="1" applyAlignment="1" applyProtection="1">
      <alignment horizontal="right"/>
    </xf>
    <xf numFmtId="164" fontId="10" fillId="2" borderId="10" xfId="0" applyNumberFormat="1" applyFont="1" applyFill="1" applyBorder="1" applyAlignment="1" applyProtection="1">
      <alignment horizontal="right"/>
    </xf>
    <xf numFmtId="0" fontId="11" fillId="3" borderId="16" xfId="0" applyNumberFormat="1" applyFont="1" applyFill="1" applyBorder="1" applyAlignment="1" applyProtection="1"/>
    <xf numFmtId="0" fontId="12" fillId="3" borderId="11" xfId="0" applyNumberFormat="1" applyFont="1" applyFill="1" applyBorder="1" applyAlignment="1" applyProtection="1"/>
    <xf numFmtId="0" fontId="12" fillId="3" borderId="13" xfId="0" applyNumberFormat="1" applyFont="1" applyFill="1" applyBorder="1" applyAlignment="1" applyProtection="1"/>
    <xf numFmtId="164" fontId="12" fillId="3" borderId="13" xfId="0" applyNumberFormat="1" applyFont="1" applyFill="1" applyBorder="1" applyAlignment="1" applyProtection="1"/>
    <xf numFmtId="0" fontId="3" fillId="0" borderId="0" xfId="0" applyNumberFormat="1" applyFont="1" applyFill="1" applyBorder="1" applyAlignment="1" applyProtection="1"/>
    <xf numFmtId="0" fontId="4" fillId="0" borderId="0" xfId="0" applyNumberFormat="1" applyFont="1" applyFill="1" applyBorder="1" applyAlignment="1" applyProtection="1"/>
    <xf numFmtId="0" fontId="4" fillId="0" borderId="17" xfId="0" applyNumberFormat="1" applyFont="1" applyFill="1" applyBorder="1" applyAlignment="1" applyProtection="1"/>
    <xf numFmtId="3" fontId="5" fillId="0" borderId="9" xfId="0" applyNumberFormat="1" applyFont="1" applyFill="1" applyBorder="1" applyAlignment="1" applyProtection="1"/>
    <xf numFmtId="0" fontId="4" fillId="0" borderId="19" xfId="0" applyNumberFormat="1" applyFont="1" applyFill="1" applyBorder="1" applyAlignment="1" applyProtection="1">
      <alignment horizontal="center"/>
    </xf>
    <xf numFmtId="0" fontId="4" fillId="0" borderId="9" xfId="0" applyNumberFormat="1" applyFont="1" applyFill="1" applyBorder="1" applyAlignment="1" applyProtection="1">
      <alignment horizontal="center"/>
    </xf>
    <xf numFmtId="0" fontId="4" fillId="0" borderId="10" xfId="0" applyNumberFormat="1" applyFont="1" applyFill="1" applyBorder="1" applyAlignment="1" applyProtection="1">
      <alignment horizontal="center"/>
    </xf>
    <xf numFmtId="0" fontId="4" fillId="0" borderId="4" xfId="0" applyNumberFormat="1" applyFont="1" applyFill="1" applyBorder="1" applyAlignment="1" applyProtection="1">
      <alignment horizontal="center"/>
    </xf>
    <xf numFmtId="3" fontId="4" fillId="0" borderId="6" xfId="0" applyNumberFormat="1" applyFont="1" applyFill="1" applyBorder="1" applyAlignment="1" applyProtection="1">
      <alignment horizontal="center"/>
    </xf>
    <xf numFmtId="3" fontId="4" fillId="0" borderId="1" xfId="0" applyNumberFormat="1" applyFont="1" applyFill="1" applyBorder="1" applyAlignment="1" applyProtection="1"/>
    <xf numFmtId="3" fontId="4" fillId="0" borderId="2" xfId="0" applyNumberFormat="1" applyFont="1" applyFill="1" applyBorder="1" applyAlignment="1" applyProtection="1"/>
    <xf numFmtId="3" fontId="4" fillId="0" borderId="9" xfId="0" applyNumberFormat="1" applyFont="1" applyFill="1" applyBorder="1" applyAlignment="1" applyProtection="1"/>
    <xf numFmtId="3" fontId="4" fillId="0" borderId="8" xfId="0" applyNumberFormat="1" applyFont="1" applyFill="1" applyBorder="1" applyAlignment="1" applyProtection="1"/>
    <xf numFmtId="3" fontId="5" fillId="0" borderId="8" xfId="0" applyNumberFormat="1" applyFont="1" applyFill="1" applyBorder="1" applyAlignment="1" applyProtection="1"/>
    <xf numFmtId="3" fontId="4" fillId="0" borderId="20" xfId="0" applyNumberFormat="1" applyFont="1" applyFill="1" applyBorder="1" applyAlignment="1" applyProtection="1"/>
    <xf numFmtId="3" fontId="4" fillId="0" borderId="12" xfId="0" applyNumberFormat="1" applyFont="1" applyFill="1" applyBorder="1" applyAlignment="1" applyProtection="1"/>
    <xf numFmtId="3" fontId="4" fillId="0" borderId="21" xfId="0" applyNumberFormat="1" applyFont="1" applyFill="1" applyBorder="1" applyAlignment="1" applyProtection="1"/>
    <xf numFmtId="3" fontId="5" fillId="0" borderId="22" xfId="0" applyNumberFormat="1" applyFont="1" applyFill="1" applyBorder="1" applyAlignment="1" applyProtection="1"/>
    <xf numFmtId="0" fontId="5" fillId="0" borderId="9" xfId="0" applyNumberFormat="1" applyFont="1" applyFill="1" applyBorder="1" applyAlignment="1" applyProtection="1"/>
    <xf numFmtId="3" fontId="5" fillId="0" borderId="23" xfId="0" applyNumberFormat="1" applyFont="1" applyFill="1" applyBorder="1" applyAlignment="1" applyProtection="1"/>
    <xf numFmtId="3" fontId="5" fillId="0" borderId="13" xfId="0" applyNumberFormat="1" applyFont="1" applyFill="1" applyBorder="1" applyAlignment="1" applyProtection="1"/>
    <xf numFmtId="0" fontId="5" fillId="0" borderId="22" xfId="0" applyNumberFormat="1" applyFont="1" applyFill="1" applyBorder="1" applyAlignment="1" applyProtection="1"/>
    <xf numFmtId="3" fontId="5" fillId="0" borderId="0" xfId="0" applyNumberFormat="1" applyFont="1"/>
    <xf numFmtId="4" fontId="5" fillId="0" borderId="0" xfId="0" applyNumberFormat="1" applyFont="1"/>
    <xf numFmtId="4" fontId="4" fillId="0" borderId="0" xfId="0" applyNumberFormat="1" applyFont="1"/>
    <xf numFmtId="0" fontId="4" fillId="0" borderId="2" xfId="0" applyNumberFormat="1" applyFont="1" applyFill="1" applyBorder="1" applyAlignment="1" applyProtection="1"/>
    <xf numFmtId="0" fontId="4" fillId="0" borderId="5" xfId="0" applyFont="1" applyBorder="1"/>
    <xf numFmtId="3" fontId="10" fillId="0" borderId="10" xfId="0" applyNumberFormat="1" applyFont="1" applyFill="1" applyBorder="1" applyAlignment="1" applyProtection="1">
      <alignment horizontal="right"/>
    </xf>
    <xf numFmtId="3" fontId="9" fillId="0" borderId="10" xfId="0" applyNumberFormat="1" applyFont="1" applyFill="1" applyBorder="1" applyAlignment="1" applyProtection="1">
      <alignment horizontal="right"/>
    </xf>
    <xf numFmtId="3" fontId="9" fillId="0" borderId="14" xfId="0" applyNumberFormat="1" applyFont="1" applyFill="1" applyBorder="1" applyAlignment="1" applyProtection="1">
      <alignment horizontal="right"/>
    </xf>
    <xf numFmtId="3" fontId="10" fillId="2" borderId="10" xfId="0" applyNumberFormat="1" applyFont="1" applyFill="1" applyBorder="1" applyAlignment="1" applyProtection="1">
      <alignment horizontal="right"/>
    </xf>
    <xf numFmtId="0" fontId="16" fillId="0" borderId="8" xfId="0" applyFont="1" applyBorder="1"/>
    <xf numFmtId="3" fontId="9" fillId="2" borderId="10" xfId="0" applyNumberFormat="1" applyFont="1" applyFill="1" applyBorder="1" applyAlignment="1" applyProtection="1">
      <alignment horizontal="right"/>
    </xf>
    <xf numFmtId="0" fontId="4" fillId="2" borderId="10" xfId="0" applyNumberFormat="1" applyFont="1" applyFill="1" applyBorder="1" applyAlignment="1" applyProtection="1"/>
    <xf numFmtId="0" fontId="5" fillId="2" borderId="10" xfId="0" applyNumberFormat="1" applyFont="1" applyFill="1" applyBorder="1" applyAlignment="1" applyProtection="1"/>
    <xf numFmtId="3" fontId="5" fillId="0" borderId="25" xfId="0" applyNumberFormat="1" applyFont="1" applyBorder="1"/>
    <xf numFmtId="0" fontId="3" fillId="0" borderId="6" xfId="0" applyFont="1" applyBorder="1"/>
    <xf numFmtId="9" fontId="5" fillId="0" borderId="8" xfId="0" applyNumberFormat="1" applyFont="1" applyBorder="1"/>
    <xf numFmtId="9" fontId="4" fillId="0" borderId="8" xfId="0" applyNumberFormat="1" applyFont="1" applyBorder="1"/>
    <xf numFmtId="0" fontId="5" fillId="0" borderId="8" xfId="0" applyFont="1" applyBorder="1"/>
    <xf numFmtId="0" fontId="4" fillId="0" borderId="8" xfId="0" applyFont="1" applyBorder="1"/>
    <xf numFmtId="3" fontId="4" fillId="0" borderId="8" xfId="0" applyNumberFormat="1" applyFont="1" applyBorder="1"/>
    <xf numFmtId="0" fontId="5" fillId="0" borderId="6" xfId="0" applyFont="1" applyBorder="1"/>
    <xf numFmtId="0" fontId="4" fillId="0" borderId="8" xfId="0" applyNumberFormat="1" applyFont="1" applyFill="1" applyBorder="1" applyAlignment="1" applyProtection="1">
      <alignment horizontal="center"/>
    </xf>
    <xf numFmtId="0" fontId="4" fillId="0" borderId="9" xfId="0" applyNumberFormat="1" applyFont="1" applyFill="1" applyBorder="1" applyAlignment="1" applyProtection="1"/>
    <xf numFmtId="3" fontId="4" fillId="0" borderId="10" xfId="0" applyNumberFormat="1" applyFont="1" applyFill="1" applyBorder="1"/>
    <xf numFmtId="3" fontId="16" fillId="0" borderId="10" xfId="0" applyNumberFormat="1" applyFont="1" applyFill="1" applyBorder="1"/>
    <xf numFmtId="3" fontId="3" fillId="0" borderId="10" xfId="0" applyNumberFormat="1" applyFont="1" applyFill="1" applyBorder="1"/>
    <xf numFmtId="0" fontId="16" fillId="0" borderId="0" xfId="0" applyFont="1"/>
    <xf numFmtId="0" fontId="3" fillId="0" borderId="10" xfId="0" applyNumberFormat="1" applyFont="1" applyFill="1" applyBorder="1" applyAlignment="1" applyProtection="1"/>
    <xf numFmtId="0" fontId="16" fillId="0" borderId="10" xfId="0" applyFont="1" applyBorder="1"/>
    <xf numFmtId="0" fontId="5" fillId="0" borderId="0" xfId="0" applyFont="1" applyFill="1"/>
    <xf numFmtId="0" fontId="4" fillId="0" borderId="19" xfId="0" applyNumberFormat="1" applyFont="1" applyFill="1" applyBorder="1" applyAlignment="1" applyProtection="1"/>
    <xf numFmtId="0" fontId="5" fillId="0" borderId="26" xfId="0" applyNumberFormat="1" applyFont="1" applyFill="1" applyBorder="1" applyAlignment="1" applyProtection="1"/>
    <xf numFmtId="0" fontId="4" fillId="0" borderId="27" xfId="0" applyNumberFormat="1" applyFont="1" applyFill="1" applyBorder="1" applyAlignment="1" applyProtection="1"/>
    <xf numFmtId="0" fontId="16" fillId="0" borderId="9" xfId="0" applyFont="1" applyBorder="1"/>
    <xf numFmtId="164" fontId="16" fillId="0" borderId="0" xfId="0" applyNumberFormat="1" applyFont="1"/>
    <xf numFmtId="0" fontId="4" fillId="2" borderId="10" xfId="0" applyFont="1" applyFill="1" applyBorder="1" applyAlignment="1">
      <alignment horizontal="right"/>
    </xf>
    <xf numFmtId="0" fontId="15" fillId="0" borderId="0" xfId="0" applyNumberFormat="1" applyFont="1" applyFill="1" applyBorder="1" applyAlignment="1" applyProtection="1"/>
    <xf numFmtId="0" fontId="16" fillId="0" borderId="0" xfId="0" applyNumberFormat="1" applyFont="1" applyFill="1" applyBorder="1" applyAlignment="1" applyProtection="1"/>
    <xf numFmtId="164" fontId="5" fillId="0" borderId="0" xfId="0" applyNumberFormat="1" applyFont="1" applyFill="1" applyBorder="1" applyAlignment="1" applyProtection="1"/>
    <xf numFmtId="164" fontId="16" fillId="0" borderId="0" xfId="0" applyNumberFormat="1" applyFont="1" applyFill="1" applyBorder="1" applyAlignment="1" applyProtection="1">
      <alignment horizontal="right"/>
    </xf>
    <xf numFmtId="0" fontId="16" fillId="0" borderId="10" xfId="0" applyNumberFormat="1" applyFont="1" applyFill="1" applyBorder="1" applyAlignment="1" applyProtection="1"/>
    <xf numFmtId="0" fontId="3" fillId="2" borderId="10" xfId="0" applyNumberFormat="1" applyFont="1" applyFill="1" applyBorder="1" applyAlignment="1" applyProtection="1"/>
    <xf numFmtId="164" fontId="3" fillId="2" borderId="10" xfId="0" applyNumberFormat="1" applyFont="1" applyFill="1" applyBorder="1" applyAlignment="1" applyProtection="1"/>
    <xf numFmtId="0" fontId="5" fillId="0" borderId="10" xfId="0" applyNumberFormat="1" applyFont="1" applyFill="1" applyBorder="1" applyAlignment="1" applyProtection="1">
      <alignment horizontal="right"/>
    </xf>
    <xf numFmtId="3" fontId="16" fillId="0" borderId="0" xfId="0" applyNumberFormat="1" applyFont="1"/>
    <xf numFmtId="0" fontId="5" fillId="0" borderId="10" xfId="0" applyNumberFormat="1" applyFont="1" applyFill="1" applyBorder="1" applyAlignment="1" applyProtection="1">
      <alignment horizontal="left"/>
    </xf>
    <xf numFmtId="0" fontId="2" fillId="0" borderId="14" xfId="0" applyNumberFormat="1" applyFont="1" applyFill="1" applyBorder="1" applyAlignment="1" applyProtection="1"/>
    <xf numFmtId="0" fontId="4" fillId="0" borderId="14" xfId="0" applyNumberFormat="1" applyFont="1" applyFill="1" applyBorder="1" applyAlignment="1" applyProtection="1"/>
    <xf numFmtId="0" fontId="16" fillId="0" borderId="0" xfId="0" applyFont="1" applyFill="1"/>
    <xf numFmtId="0" fontId="5" fillId="0" borderId="14" xfId="0" applyNumberFormat="1" applyFont="1" applyFill="1" applyBorder="1" applyAlignment="1" applyProtection="1"/>
    <xf numFmtId="0" fontId="16" fillId="0" borderId="14" xfId="0" applyNumberFormat="1" applyFont="1" applyFill="1" applyBorder="1" applyAlignment="1" applyProtection="1"/>
    <xf numFmtId="0" fontId="16" fillId="2" borderId="10" xfId="0" applyNumberFormat="1" applyFont="1" applyFill="1" applyBorder="1" applyAlignment="1" applyProtection="1"/>
    <xf numFmtId="3" fontId="4" fillId="0" borderId="14" xfId="0" applyNumberFormat="1" applyFont="1" applyFill="1" applyBorder="1" applyAlignment="1" applyProtection="1">
      <alignment horizontal="right"/>
    </xf>
    <xf numFmtId="0" fontId="5" fillId="0" borderId="1" xfId="0" applyNumberFormat="1" applyFont="1" applyFill="1" applyBorder="1" applyAlignment="1" applyProtection="1"/>
    <xf numFmtId="0" fontId="3" fillId="0" borderId="9" xfId="0" applyNumberFormat="1" applyFont="1" applyFill="1" applyBorder="1" applyAlignment="1" applyProtection="1"/>
    <xf numFmtId="1" fontId="5" fillId="0" borderId="0" xfId="0" applyNumberFormat="1" applyFont="1" applyFill="1" applyBorder="1" applyAlignment="1" applyProtection="1"/>
    <xf numFmtId="0" fontId="3" fillId="0" borderId="4" xfId="0" applyNumberFormat="1" applyFont="1" applyFill="1" applyBorder="1" applyAlignment="1" applyProtection="1"/>
    <xf numFmtId="4" fontId="16" fillId="0" borderId="0" xfId="0" applyNumberFormat="1" applyFont="1"/>
    <xf numFmtId="3" fontId="5" fillId="0" borderId="9" xfId="0" applyNumberFormat="1" applyFont="1" applyBorder="1"/>
    <xf numFmtId="3" fontId="4" fillId="0" borderId="9" xfId="0" applyNumberFormat="1" applyFont="1" applyBorder="1"/>
    <xf numFmtId="3" fontId="5" fillId="0" borderId="4" xfId="0" applyNumberFormat="1" applyFont="1" applyBorder="1"/>
    <xf numFmtId="0" fontId="5" fillId="0" borderId="7" xfId="0" applyNumberFormat="1" applyFont="1" applyFill="1" applyBorder="1" applyAlignment="1" applyProtection="1">
      <alignment horizontal="right"/>
    </xf>
    <xf numFmtId="3" fontId="9" fillId="3" borderId="13" xfId="0" applyNumberFormat="1" applyFont="1" applyFill="1" applyBorder="1" applyAlignment="1" applyProtection="1">
      <alignment horizontal="right"/>
    </xf>
    <xf numFmtId="0" fontId="16" fillId="0" borderId="4" xfId="0" applyFont="1" applyBorder="1"/>
    <xf numFmtId="0" fontId="16" fillId="0" borderId="0" xfId="0" applyFont="1" applyBorder="1"/>
    <xf numFmtId="0" fontId="16" fillId="0" borderId="28" xfId="0" applyFont="1" applyBorder="1"/>
    <xf numFmtId="0" fontId="4" fillId="0" borderId="29" xfId="0" applyNumberFormat="1" applyFont="1" applyFill="1" applyBorder="1" applyAlignment="1" applyProtection="1"/>
    <xf numFmtId="0" fontId="4" fillId="0" borderId="1" xfId="0" applyNumberFormat="1" applyFont="1" applyFill="1" applyBorder="1" applyAlignment="1" applyProtection="1"/>
    <xf numFmtId="0" fontId="4" fillId="0" borderId="20" xfId="0" applyNumberFormat="1" applyFont="1" applyFill="1" applyBorder="1" applyAlignment="1" applyProtection="1"/>
    <xf numFmtId="0" fontId="16" fillId="0" borderId="22" xfId="0" applyNumberFormat="1" applyFont="1" applyFill="1" applyBorder="1" applyAlignment="1" applyProtection="1"/>
    <xf numFmtId="0" fontId="5" fillId="0" borderId="30" xfId="0" applyNumberFormat="1" applyFont="1" applyFill="1" applyBorder="1" applyAlignment="1" applyProtection="1"/>
    <xf numFmtId="0" fontId="4" fillId="0" borderId="13" xfId="0" applyNumberFormat="1" applyFont="1" applyFill="1" applyBorder="1" applyAlignment="1" applyProtection="1"/>
    <xf numFmtId="168" fontId="16" fillId="0" borderId="0" xfId="0" applyNumberFormat="1" applyFont="1" applyBorder="1"/>
    <xf numFmtId="3" fontId="5" fillId="0" borderId="0" xfId="0" applyNumberFormat="1" applyFont="1" applyFill="1" applyBorder="1" applyAlignment="1" applyProtection="1"/>
    <xf numFmtId="49" fontId="4" fillId="0" borderId="5" xfId="0" applyNumberFormat="1" applyFont="1" applyFill="1" applyBorder="1" applyAlignment="1" applyProtection="1">
      <alignment horizontal="center"/>
    </xf>
    <xf numFmtId="169" fontId="4" fillId="0" borderId="5" xfId="0" applyNumberFormat="1" applyFont="1" applyFill="1" applyBorder="1" applyAlignment="1" applyProtection="1">
      <alignment horizontal="center"/>
    </xf>
    <xf numFmtId="169" fontId="16" fillId="0" borderId="0" xfId="0" applyNumberFormat="1" applyFont="1" applyFill="1" applyBorder="1" applyAlignment="1" applyProtection="1">
      <alignment horizontal="right"/>
    </xf>
    <xf numFmtId="169" fontId="4" fillId="0" borderId="12" xfId="0" applyNumberFormat="1" applyFont="1" applyFill="1" applyBorder="1" applyAlignment="1" applyProtection="1">
      <alignment horizontal="center"/>
    </xf>
    <xf numFmtId="169" fontId="9" fillId="2" borderId="10" xfId="0" applyNumberFormat="1" applyFont="1" applyFill="1" applyBorder="1" applyAlignment="1" applyProtection="1">
      <alignment horizontal="right"/>
    </xf>
    <xf numFmtId="169" fontId="16" fillId="0" borderId="0" xfId="0" applyNumberFormat="1" applyFont="1" applyFill="1"/>
    <xf numFmtId="3" fontId="16" fillId="0" borderId="0" xfId="0" applyNumberFormat="1" applyFont="1" applyFill="1"/>
    <xf numFmtId="3" fontId="5" fillId="0" borderId="31" xfId="0" applyNumberFormat="1" applyFont="1" applyFill="1" applyBorder="1" applyAlignment="1" applyProtection="1"/>
    <xf numFmtId="3" fontId="10" fillId="0" borderId="15" xfId="0" applyNumberFormat="1" applyFont="1" applyFill="1" applyBorder="1" applyAlignment="1" applyProtection="1">
      <alignment horizontal="right"/>
    </xf>
    <xf numFmtId="3" fontId="5" fillId="0" borderId="15" xfId="0" applyNumberFormat="1" applyFont="1" applyFill="1" applyBorder="1" applyAlignment="1" applyProtection="1">
      <alignment horizontal="right"/>
    </xf>
    <xf numFmtId="3" fontId="16" fillId="0" borderId="0" xfId="0" applyNumberFormat="1" applyFont="1" applyFill="1" applyBorder="1" applyAlignment="1" applyProtection="1">
      <alignment horizontal="right"/>
    </xf>
    <xf numFmtId="3" fontId="4" fillId="0" borderId="32" xfId="0" applyNumberFormat="1" applyFont="1" applyFill="1" applyBorder="1" applyAlignment="1" applyProtection="1">
      <alignment horizontal="right"/>
    </xf>
    <xf numFmtId="3" fontId="5" fillId="0" borderId="7" xfId="0" applyNumberFormat="1" applyFont="1" applyFill="1" applyBorder="1"/>
    <xf numFmtId="3" fontId="4" fillId="0" borderId="10" xfId="0" applyNumberFormat="1" applyFont="1" applyBorder="1"/>
    <xf numFmtId="3" fontId="5" fillId="0" borderId="10" xfId="0" applyNumberFormat="1" applyFont="1" applyFill="1" applyBorder="1"/>
    <xf numFmtId="14" fontId="3" fillId="0" borderId="4" xfId="0" applyNumberFormat="1" applyFont="1" applyBorder="1"/>
    <xf numFmtId="0" fontId="3" fillId="0" borderId="1" xfId="0" applyFont="1" applyBorder="1" applyAlignment="1">
      <alignment horizontal="center"/>
    </xf>
    <xf numFmtId="3" fontId="4" fillId="0" borderId="5" xfId="0" applyNumberFormat="1" applyFont="1" applyBorder="1"/>
    <xf numFmtId="0" fontId="4" fillId="0" borderId="5" xfId="0" applyFont="1" applyBorder="1" applyAlignment="1">
      <alignment horizontal="left"/>
    </xf>
    <xf numFmtId="3" fontId="4" fillId="0" borderId="18" xfId="0" applyNumberFormat="1" applyFont="1" applyFill="1" applyBorder="1" applyAlignment="1" applyProtection="1">
      <alignment horizontal="right"/>
    </xf>
    <xf numFmtId="0" fontId="3" fillId="0" borderId="2" xfId="0" applyFont="1" applyFill="1" applyBorder="1"/>
    <xf numFmtId="0" fontId="2" fillId="0" borderId="0" xfId="0" applyFont="1" applyFill="1"/>
    <xf numFmtId="0" fontId="3" fillId="0" borderId="0" xfId="0" applyFont="1" applyFill="1"/>
    <xf numFmtId="0" fontId="4" fillId="0" borderId="33" xfId="0" applyNumberFormat="1" applyFont="1" applyFill="1" applyBorder="1" applyAlignment="1" applyProtection="1">
      <alignment horizontal="center"/>
    </xf>
    <xf numFmtId="3" fontId="4" fillId="0" borderId="12" xfId="0" applyNumberFormat="1" applyFont="1" applyFill="1" applyBorder="1" applyAlignment="1" applyProtection="1">
      <alignment horizontal="right"/>
    </xf>
    <xf numFmtId="3" fontId="4" fillId="0" borderId="3" xfId="0" applyNumberFormat="1" applyFont="1" applyFill="1" applyBorder="1" applyAlignment="1" applyProtection="1"/>
    <xf numFmtId="3" fontId="5" fillId="0" borderId="5" xfId="0" applyNumberFormat="1" applyFont="1" applyFill="1" applyBorder="1"/>
    <xf numFmtId="49" fontId="4" fillId="4" borderId="5" xfId="0" applyNumberFormat="1" applyFont="1" applyFill="1" applyBorder="1" applyAlignment="1" applyProtection="1">
      <alignment horizontal="center"/>
    </xf>
    <xf numFmtId="164" fontId="16" fillId="4" borderId="0" xfId="0" applyNumberFormat="1" applyFont="1" applyFill="1"/>
    <xf numFmtId="3" fontId="4" fillId="0" borderId="15" xfId="0" applyNumberFormat="1" applyFont="1" applyFill="1" applyBorder="1" applyAlignment="1" applyProtection="1">
      <alignment horizontal="right"/>
    </xf>
    <xf numFmtId="3" fontId="4" fillId="0" borderId="30" xfId="0" applyNumberFormat="1" applyFont="1" applyFill="1" applyBorder="1" applyAlignment="1" applyProtection="1"/>
    <xf numFmtId="0" fontId="4" fillId="3" borderId="20" xfId="0" applyNumberFormat="1" applyFont="1" applyFill="1" applyBorder="1" applyAlignment="1" applyProtection="1">
      <alignment horizontal="center"/>
    </xf>
    <xf numFmtId="0" fontId="4" fillId="3" borderId="21" xfId="0" applyNumberFormat="1" applyFont="1" applyFill="1" applyBorder="1" applyAlignment="1" applyProtection="1">
      <alignment horizontal="center"/>
    </xf>
    <xf numFmtId="0" fontId="4" fillId="3" borderId="4" xfId="0" applyNumberFormat="1" applyFont="1" applyFill="1" applyBorder="1" applyAlignment="1" applyProtection="1">
      <alignment horizontal="center"/>
    </xf>
    <xf numFmtId="3" fontId="4" fillId="3" borderId="1" xfId="0" applyNumberFormat="1" applyFont="1" applyFill="1" applyBorder="1" applyAlignment="1" applyProtection="1"/>
    <xf numFmtId="3" fontId="4" fillId="3" borderId="3" xfId="0" applyNumberFormat="1" applyFont="1" applyFill="1" applyBorder="1" applyAlignment="1" applyProtection="1"/>
    <xf numFmtId="3" fontId="5" fillId="3" borderId="8" xfId="0" applyNumberFormat="1" applyFont="1" applyFill="1" applyBorder="1" applyAlignment="1" applyProtection="1"/>
    <xf numFmtId="3" fontId="4" fillId="3" borderId="20" xfId="0" applyNumberFormat="1" applyFont="1" applyFill="1" applyBorder="1" applyAlignment="1" applyProtection="1"/>
    <xf numFmtId="3" fontId="4" fillId="3" borderId="21" xfId="0" applyNumberFormat="1" applyFont="1" applyFill="1" applyBorder="1" applyAlignment="1" applyProtection="1"/>
    <xf numFmtId="1" fontId="5" fillId="3" borderId="9" xfId="0" applyNumberFormat="1" applyFont="1" applyFill="1" applyBorder="1" applyAlignment="1" applyProtection="1"/>
    <xf numFmtId="3" fontId="4" fillId="3" borderId="12" xfId="0" applyNumberFormat="1" applyFont="1" applyFill="1" applyBorder="1" applyAlignment="1" applyProtection="1"/>
    <xf numFmtId="0" fontId="5" fillId="3" borderId="23" xfId="0" applyNumberFormat="1" applyFont="1" applyFill="1" applyBorder="1" applyAlignment="1" applyProtection="1"/>
    <xf numFmtId="3" fontId="4" fillId="3" borderId="9" xfId="0" applyNumberFormat="1" applyFont="1" applyFill="1" applyBorder="1" applyAlignment="1" applyProtection="1"/>
    <xf numFmtId="3" fontId="4" fillId="3" borderId="8" xfId="0" applyNumberFormat="1" applyFont="1" applyFill="1" applyBorder="1" applyAlignment="1" applyProtection="1"/>
    <xf numFmtId="0" fontId="5" fillId="3" borderId="22" xfId="0" applyNumberFormat="1" applyFont="1" applyFill="1" applyBorder="1" applyAlignment="1" applyProtection="1"/>
    <xf numFmtId="3" fontId="4" fillId="3" borderId="30" xfId="0" applyNumberFormat="1" applyFont="1" applyFill="1" applyBorder="1" applyAlignment="1" applyProtection="1"/>
    <xf numFmtId="0" fontId="5" fillId="3" borderId="0" xfId="0" applyNumberFormat="1" applyFont="1" applyFill="1" applyBorder="1" applyAlignment="1" applyProtection="1"/>
    <xf numFmtId="0" fontId="16" fillId="3" borderId="0" xfId="0" applyFont="1" applyFill="1"/>
    <xf numFmtId="3" fontId="2" fillId="0" borderId="0" xfId="0" applyNumberFormat="1" applyFont="1"/>
    <xf numFmtId="3" fontId="2" fillId="0" borderId="0" xfId="0" applyNumberFormat="1" applyFont="1" applyFill="1"/>
    <xf numFmtId="3" fontId="3" fillId="0" borderId="2" xfId="0" applyNumberFormat="1" applyFont="1" applyBorder="1" applyAlignment="1">
      <alignment horizontal="center"/>
    </xf>
    <xf numFmtId="3" fontId="3" fillId="0" borderId="5" xfId="0" applyNumberFormat="1" applyFont="1" applyBorder="1" applyAlignment="1">
      <alignment horizontal="center"/>
    </xf>
    <xf numFmtId="164" fontId="19" fillId="0" borderId="10" xfId="0" applyNumberFormat="1" applyFont="1" applyFill="1" applyBorder="1" applyAlignment="1" applyProtection="1">
      <alignment horizontal="right"/>
    </xf>
    <xf numFmtId="0" fontId="5" fillId="0" borderId="35" xfId="0" applyNumberFormat="1" applyFont="1" applyFill="1" applyBorder="1" applyAlignment="1" applyProtection="1"/>
    <xf numFmtId="3" fontId="7" fillId="0" borderId="0" xfId="0" applyNumberFormat="1" applyFont="1"/>
    <xf numFmtId="164" fontId="16" fillId="4" borderId="0" xfId="0" applyNumberFormat="1" applyFont="1" applyFill="1" applyBorder="1"/>
    <xf numFmtId="0" fontId="3" fillId="0" borderId="2" xfId="0" applyFont="1" applyBorder="1" applyAlignment="1">
      <alignment horizontal="center"/>
    </xf>
    <xf numFmtId="165" fontId="5" fillId="0" borderId="10" xfId="0" applyNumberFormat="1" applyFont="1" applyBorder="1" applyAlignment="1">
      <alignment horizontal="center"/>
    </xf>
    <xf numFmtId="165" fontId="4" fillId="0" borderId="10" xfId="0" applyNumberFormat="1" applyFont="1" applyBorder="1" applyAlignment="1">
      <alignment horizontal="center"/>
    </xf>
    <xf numFmtId="165" fontId="4" fillId="0" borderId="5" xfId="0" applyNumberFormat="1" applyFont="1" applyBorder="1" applyAlignment="1">
      <alignment horizontal="center"/>
    </xf>
    <xf numFmtId="0" fontId="3" fillId="0" borderId="34" xfId="0" applyFont="1" applyBorder="1"/>
    <xf numFmtId="0" fontId="3" fillId="0" borderId="36" xfId="0" applyFont="1" applyBorder="1"/>
    <xf numFmtId="0" fontId="16" fillId="0" borderId="37" xfId="0" applyFont="1" applyBorder="1"/>
    <xf numFmtId="0" fontId="3" fillId="0" borderId="37" xfId="0" applyFont="1" applyBorder="1"/>
    <xf numFmtId="0" fontId="3" fillId="0" borderId="37" xfId="0" applyFont="1" applyBorder="1" applyAlignment="1">
      <alignment horizontal="right"/>
    </xf>
    <xf numFmtId="49" fontId="16" fillId="0" borderId="37" xfId="0" applyNumberFormat="1" applyFont="1" applyBorder="1" applyAlignment="1">
      <alignment horizontal="right"/>
    </xf>
    <xf numFmtId="0" fontId="16" fillId="0" borderId="36" xfId="0" applyFont="1" applyBorder="1"/>
    <xf numFmtId="0" fontId="4" fillId="0" borderId="2" xfId="0" applyFont="1" applyBorder="1" applyAlignment="1">
      <alignment horizontal="left"/>
    </xf>
    <xf numFmtId="0" fontId="5" fillId="0" borderId="0" xfId="0" applyFont="1" applyFill="1" applyAlignment="1"/>
    <xf numFmtId="3" fontId="5" fillId="0" borderId="0" xfId="0" applyNumberFormat="1" applyFont="1" applyFill="1" applyAlignment="1"/>
    <xf numFmtId="4" fontId="5" fillId="0" borderId="0" xfId="0" applyNumberFormat="1" applyFont="1" applyFill="1" applyAlignment="1"/>
    <xf numFmtId="169" fontId="5" fillId="0" borderId="7" xfId="0" applyNumberFormat="1" applyFont="1" applyBorder="1"/>
    <xf numFmtId="169" fontId="4" fillId="0" borderId="7" xfId="0" applyNumberFormat="1" applyFont="1" applyBorder="1"/>
    <xf numFmtId="169" fontId="4" fillId="0" borderId="7" xfId="0" applyNumberFormat="1" applyFont="1" applyFill="1" applyBorder="1" applyAlignment="1" applyProtection="1"/>
    <xf numFmtId="169" fontId="5" fillId="0" borderId="5" xfId="0" applyNumberFormat="1" applyFont="1" applyBorder="1"/>
    <xf numFmtId="49" fontId="16" fillId="0" borderId="10" xfId="0" applyNumberFormat="1" applyFont="1" applyFill="1" applyBorder="1" applyAlignment="1" applyProtection="1">
      <alignment horizontal="left"/>
    </xf>
    <xf numFmtId="0" fontId="6" fillId="0" borderId="0" xfId="0" applyFont="1"/>
    <xf numFmtId="3" fontId="5" fillId="2" borderId="10" xfId="0" applyNumberFormat="1" applyFont="1" applyFill="1" applyBorder="1"/>
    <xf numFmtId="3" fontId="8" fillId="2" borderId="10" xfId="0" applyNumberFormat="1" applyFont="1" applyFill="1" applyBorder="1"/>
    <xf numFmtId="0" fontId="3" fillId="0" borderId="0" xfId="0" applyFont="1" applyAlignment="1">
      <alignment horizontal="right"/>
    </xf>
    <xf numFmtId="0" fontId="5" fillId="0" borderId="0" xfId="0" applyNumberFormat="1" applyFont="1" applyFill="1" applyBorder="1" applyAlignment="1" applyProtection="1">
      <alignment horizontal="right"/>
    </xf>
    <xf numFmtId="0" fontId="4" fillId="0" borderId="12" xfId="0" applyNumberFormat="1" applyFont="1" applyFill="1" applyBorder="1" applyAlignment="1" applyProtection="1">
      <alignment horizontal="right"/>
    </xf>
    <xf numFmtId="164" fontId="16" fillId="0" borderId="10" xfId="0" applyNumberFormat="1" applyFont="1" applyBorder="1" applyAlignment="1">
      <alignment horizontal="right"/>
    </xf>
    <xf numFmtId="164" fontId="5" fillId="0" borderId="10" xfId="0" applyNumberFormat="1" applyFont="1" applyFill="1" applyBorder="1" applyAlignment="1" applyProtection="1">
      <alignment horizontal="right"/>
    </xf>
    <xf numFmtId="0" fontId="4" fillId="0" borderId="10" xfId="0" applyNumberFormat="1" applyFont="1" applyFill="1" applyBorder="1" applyAlignment="1" applyProtection="1">
      <alignment horizontal="right"/>
    </xf>
    <xf numFmtId="0" fontId="4" fillId="2" borderId="10" xfId="0" applyNumberFormat="1" applyFont="1" applyFill="1" applyBorder="1" applyAlignment="1" applyProtection="1">
      <alignment horizontal="right"/>
    </xf>
    <xf numFmtId="166" fontId="10" fillId="0" borderId="10" xfId="0" applyNumberFormat="1" applyFont="1" applyFill="1" applyBorder="1" applyAlignment="1" applyProtection="1">
      <alignment horizontal="right"/>
    </xf>
    <xf numFmtId="9" fontId="5" fillId="0" borderId="10" xfId="0" applyNumberFormat="1" applyFont="1" applyFill="1" applyBorder="1" applyAlignment="1" applyProtection="1">
      <alignment horizontal="right"/>
    </xf>
    <xf numFmtId="167" fontId="5" fillId="0" borderId="10" xfId="0" applyNumberFormat="1" applyFont="1" applyFill="1" applyBorder="1" applyAlignment="1" applyProtection="1">
      <alignment horizontal="right"/>
    </xf>
    <xf numFmtId="168" fontId="5" fillId="0" borderId="14" xfId="0" applyNumberFormat="1" applyFont="1" applyFill="1" applyBorder="1" applyAlignment="1" applyProtection="1">
      <alignment horizontal="right"/>
    </xf>
    <xf numFmtId="0" fontId="5" fillId="2" borderId="10" xfId="0" applyNumberFormat="1" applyFont="1" applyFill="1" applyBorder="1" applyAlignment="1" applyProtection="1">
      <alignment horizontal="right"/>
    </xf>
    <xf numFmtId="3" fontId="4" fillId="0" borderId="10" xfId="0" applyNumberFormat="1" applyFont="1" applyFill="1" applyBorder="1" applyAlignment="1" applyProtection="1">
      <alignment horizontal="right"/>
    </xf>
    <xf numFmtId="4" fontId="10" fillId="3" borderId="24" xfId="0" applyNumberFormat="1" applyFont="1" applyFill="1" applyBorder="1" applyAlignment="1" applyProtection="1">
      <alignment horizontal="right"/>
    </xf>
    <xf numFmtId="0" fontId="16" fillId="0" borderId="32" xfId="0" applyFont="1" applyBorder="1" applyAlignment="1">
      <alignment horizontal="right"/>
    </xf>
    <xf numFmtId="0" fontId="16" fillId="0" borderId="15" xfId="0" applyFont="1" applyBorder="1" applyAlignment="1">
      <alignment horizontal="right"/>
    </xf>
    <xf numFmtId="168" fontId="16" fillId="0" borderId="15" xfId="0" applyNumberFormat="1" applyFont="1" applyBorder="1" applyAlignment="1">
      <alignment horizontal="right"/>
    </xf>
    <xf numFmtId="4" fontId="16" fillId="0" borderId="15" xfId="0" applyNumberFormat="1" applyFont="1" applyBorder="1" applyAlignment="1">
      <alignment horizontal="right"/>
    </xf>
    <xf numFmtId="0" fontId="16" fillId="0" borderId="18" xfId="0" applyFont="1" applyBorder="1" applyAlignment="1">
      <alignment horizontal="right"/>
    </xf>
    <xf numFmtId="4" fontId="16" fillId="0" borderId="0" xfId="0" applyNumberFormat="1" applyFont="1" applyAlignment="1">
      <alignment horizontal="right"/>
    </xf>
    <xf numFmtId="0" fontId="16" fillId="0" borderId="0" xfId="0" applyFont="1" applyAlignment="1">
      <alignment horizontal="right"/>
    </xf>
    <xf numFmtId="3" fontId="5" fillId="0" borderId="9" xfId="0" applyNumberFormat="1" applyFont="1" applyFill="1" applyBorder="1"/>
    <xf numFmtId="3" fontId="5" fillId="0" borderId="10" xfId="0" applyNumberFormat="1" applyFont="1" applyFill="1" applyBorder="1" applyAlignment="1">
      <alignment horizontal="right"/>
    </xf>
    <xf numFmtId="49" fontId="5" fillId="0" borderId="10" xfId="0" applyNumberFormat="1" applyFont="1" applyFill="1" applyBorder="1" applyAlignment="1" applyProtection="1"/>
    <xf numFmtId="1" fontId="4" fillId="4" borderId="12" xfId="0" applyNumberFormat="1" applyFont="1" applyFill="1" applyBorder="1" applyAlignment="1" applyProtection="1">
      <alignment horizontal="center"/>
    </xf>
    <xf numFmtId="170" fontId="10" fillId="4" borderId="10" xfId="0" applyNumberFormat="1" applyFont="1" applyFill="1" applyBorder="1" applyAlignment="1" applyProtection="1">
      <alignment horizontal="right"/>
    </xf>
    <xf numFmtId="170" fontId="4" fillId="4" borderId="10" xfId="0" applyNumberFormat="1" applyFont="1" applyFill="1" applyBorder="1" applyAlignment="1" applyProtection="1"/>
    <xf numFmtId="170" fontId="4" fillId="4" borderId="32" xfId="0" applyNumberFormat="1" applyFont="1" applyFill="1" applyBorder="1" applyAlignment="1" applyProtection="1">
      <alignment horizontal="right"/>
    </xf>
    <xf numFmtId="3" fontId="8" fillId="0" borderId="10" xfId="0" applyNumberFormat="1" applyFont="1" applyFill="1" applyBorder="1"/>
    <xf numFmtId="0" fontId="3" fillId="0" borderId="31" xfId="0" applyFont="1" applyBorder="1" applyAlignment="1">
      <alignment horizontal="center"/>
    </xf>
    <xf numFmtId="0" fontId="7" fillId="0" borderId="34" xfId="0" applyFont="1" applyBorder="1" applyAlignment="1">
      <alignment horizontal="center"/>
    </xf>
    <xf numFmtId="0" fontId="7" fillId="0" borderId="38" xfId="0" applyFont="1" applyBorder="1" applyAlignment="1">
      <alignment horizontal="center"/>
    </xf>
    <xf numFmtId="0" fontId="7" fillId="0" borderId="41" xfId="0" applyFont="1" applyBorder="1" applyAlignment="1">
      <alignment horizontal="center"/>
    </xf>
    <xf numFmtId="0" fontId="3" fillId="2" borderId="31" xfId="0" applyFont="1" applyFill="1" applyBorder="1" applyAlignment="1">
      <alignment horizontal="center"/>
    </xf>
    <xf numFmtId="0" fontId="3" fillId="0" borderId="31" xfId="0" applyFont="1" applyBorder="1" applyAlignment="1">
      <alignment horizontal="left"/>
    </xf>
    <xf numFmtId="0" fontId="8" fillId="0" borderId="31" xfId="0" applyFont="1" applyBorder="1" applyAlignment="1">
      <alignment horizontal="center"/>
    </xf>
    <xf numFmtId="0" fontId="0" fillId="0" borderId="18" xfId="0" applyBorder="1"/>
    <xf numFmtId="0" fontId="0" fillId="0" borderId="42" xfId="0" applyBorder="1" applyAlignment="1">
      <alignment horizontal="center"/>
    </xf>
    <xf numFmtId="0" fontId="0" fillId="0" borderId="26" xfId="0" applyBorder="1" applyAlignment="1">
      <alignment horizontal="center"/>
    </xf>
    <xf numFmtId="0" fontId="0" fillId="0" borderId="43" xfId="0" applyBorder="1" applyAlignment="1">
      <alignment horizontal="center"/>
    </xf>
    <xf numFmtId="0" fontId="3" fillId="2" borderId="18" xfId="0" applyFont="1" applyFill="1" applyBorder="1" applyAlignment="1">
      <alignment horizontal="center"/>
    </xf>
    <xf numFmtId="0" fontId="3" fillId="0" borderId="18" xfId="0" applyFont="1" applyBorder="1" applyAlignment="1">
      <alignment horizontal="center"/>
    </xf>
    <xf numFmtId="0" fontId="7" fillId="0" borderId="18" xfId="0" applyFont="1" applyBorder="1" applyAlignment="1">
      <alignment horizontal="center"/>
    </xf>
    <xf numFmtId="3" fontId="0" fillId="0" borderId="31" xfId="0" applyNumberFormat="1" applyFill="1" applyBorder="1"/>
    <xf numFmtId="3" fontId="6" fillId="0" borderId="31" xfId="0" applyNumberFormat="1" applyFont="1" applyFill="1" applyBorder="1"/>
    <xf numFmtId="3" fontId="0" fillId="2" borderId="44" xfId="0" applyNumberFormat="1" applyFill="1" applyBorder="1"/>
    <xf numFmtId="3" fontId="6" fillId="0" borderId="44" xfId="0" applyNumberFormat="1" applyFont="1" applyFill="1" applyBorder="1"/>
    <xf numFmtId="3" fontId="0" fillId="0" borderId="18" xfId="0" applyNumberFormat="1" applyFill="1" applyBorder="1"/>
    <xf numFmtId="0" fontId="3" fillId="0" borderId="31" xfId="0" applyFont="1" applyBorder="1"/>
    <xf numFmtId="3" fontId="0" fillId="0" borderId="34" xfId="0" applyNumberFormat="1" applyBorder="1"/>
    <xf numFmtId="3" fontId="0" fillId="0" borderId="2" xfId="0" applyNumberFormat="1" applyBorder="1"/>
    <xf numFmtId="3" fontId="0" fillId="0" borderId="41" xfId="0" applyNumberFormat="1" applyBorder="1"/>
    <xf numFmtId="3" fontId="0" fillId="2" borderId="31" xfId="0" applyNumberFormat="1" applyFill="1" applyBorder="1"/>
    <xf numFmtId="3" fontId="6" fillId="0" borderId="31" xfId="0" applyNumberFormat="1" applyFont="1" applyBorder="1"/>
    <xf numFmtId="0" fontId="3" fillId="0" borderId="15" xfId="0" applyFont="1" applyBorder="1"/>
    <xf numFmtId="3" fontId="6" fillId="0" borderId="15" xfId="0" applyNumberFormat="1" applyFont="1" applyBorder="1"/>
    <xf numFmtId="3" fontId="0" fillId="0" borderId="36" xfId="0" applyNumberFormat="1" applyBorder="1"/>
    <xf numFmtId="3" fontId="0" fillId="0" borderId="5" xfId="0" applyNumberFormat="1" applyBorder="1"/>
    <xf numFmtId="3" fontId="0" fillId="0" borderId="45" xfId="0" applyNumberFormat="1" applyBorder="1"/>
    <xf numFmtId="3" fontId="0" fillId="2" borderId="18" xfId="0" applyNumberFormat="1" applyFill="1" applyBorder="1"/>
    <xf numFmtId="3" fontId="6" fillId="0" borderId="18" xfId="0" applyNumberFormat="1" applyFont="1" applyBorder="1"/>
    <xf numFmtId="3" fontId="8" fillId="0" borderId="15" xfId="0" applyNumberFormat="1" applyFont="1" applyFill="1" applyBorder="1"/>
    <xf numFmtId="170" fontId="8" fillId="0" borderId="10" xfId="0" applyNumberFormat="1" applyFont="1" applyFill="1" applyBorder="1" applyAlignment="1" applyProtection="1"/>
    <xf numFmtId="0" fontId="7" fillId="0" borderId="34" xfId="0" applyFont="1" applyBorder="1" applyAlignment="1">
      <alignment horizontal="left"/>
    </xf>
    <xf numFmtId="0" fontId="0" fillId="0" borderId="0" xfId="0" applyBorder="1" applyAlignment="1"/>
    <xf numFmtId="0" fontId="0" fillId="0" borderId="0" xfId="0" applyFill="1" applyBorder="1" applyAlignment="1"/>
    <xf numFmtId="0" fontId="16" fillId="0" borderId="33" xfId="0" applyFont="1" applyBorder="1"/>
    <xf numFmtId="3" fontId="5" fillId="5" borderId="8" xfId="0" applyNumberFormat="1" applyFont="1" applyFill="1" applyBorder="1" applyAlignment="1" applyProtection="1"/>
    <xf numFmtId="3" fontId="5" fillId="6" borderId="23" xfId="0" applyNumberFormat="1" applyFont="1" applyFill="1" applyBorder="1" applyAlignment="1" applyProtection="1"/>
    <xf numFmtId="3" fontId="5" fillId="4" borderId="8" xfId="0" applyNumberFormat="1" applyFont="1" applyFill="1" applyBorder="1" applyAlignment="1" applyProtection="1"/>
    <xf numFmtId="3" fontId="5" fillId="2" borderId="8" xfId="0" applyNumberFormat="1" applyFont="1" applyFill="1" applyBorder="1" applyAlignment="1" applyProtection="1"/>
    <xf numFmtId="3" fontId="5" fillId="4" borderId="23" xfId="0" applyNumberFormat="1" applyFont="1" applyFill="1" applyBorder="1" applyAlignment="1" applyProtection="1"/>
    <xf numFmtId="3" fontId="5" fillId="5" borderId="23" xfId="0" applyNumberFormat="1" applyFont="1" applyFill="1" applyBorder="1" applyAlignment="1" applyProtection="1"/>
    <xf numFmtId="0" fontId="5" fillId="7" borderId="8" xfId="0" applyNumberFormat="1" applyFont="1" applyFill="1" applyBorder="1" applyAlignment="1" applyProtection="1"/>
    <xf numFmtId="0" fontId="16" fillId="0" borderId="21" xfId="0" applyFont="1" applyBorder="1"/>
    <xf numFmtId="0" fontId="5" fillId="6" borderId="8" xfId="0" applyFont="1" applyFill="1" applyBorder="1"/>
    <xf numFmtId="3" fontId="5" fillId="8" borderId="8" xfId="0" applyNumberFormat="1" applyFont="1" applyFill="1" applyBorder="1" applyAlignment="1" applyProtection="1"/>
    <xf numFmtId="0" fontId="16" fillId="0" borderId="47" xfId="0" applyFont="1" applyBorder="1"/>
    <xf numFmtId="3" fontId="5" fillId="6" borderId="9" xfId="0" applyNumberFormat="1" applyFont="1" applyFill="1" applyBorder="1" applyAlignment="1" applyProtection="1"/>
    <xf numFmtId="3" fontId="5" fillId="2" borderId="9" xfId="0" applyNumberFormat="1" applyFont="1" applyFill="1" applyBorder="1" applyAlignment="1" applyProtection="1"/>
    <xf numFmtId="3" fontId="5" fillId="4" borderId="22" xfId="0" applyNumberFormat="1" applyFont="1" applyFill="1" applyBorder="1" applyAlignment="1" applyProtection="1"/>
    <xf numFmtId="0" fontId="5" fillId="5" borderId="9" xfId="0" applyNumberFormat="1" applyFont="1" applyFill="1" applyBorder="1" applyAlignment="1" applyProtection="1"/>
    <xf numFmtId="3" fontId="5" fillId="4" borderId="9" xfId="0" applyNumberFormat="1" applyFont="1" applyFill="1" applyBorder="1" applyAlignment="1" applyProtection="1"/>
    <xf numFmtId="3" fontId="5" fillId="0" borderId="20" xfId="0" applyNumberFormat="1" applyFont="1" applyFill="1" applyBorder="1" applyAlignment="1" applyProtection="1"/>
    <xf numFmtId="0" fontId="5" fillId="4" borderId="9" xfId="0" applyNumberFormat="1" applyFont="1" applyFill="1" applyBorder="1" applyAlignment="1" applyProtection="1"/>
    <xf numFmtId="3" fontId="5" fillId="8" borderId="9" xfId="0" applyNumberFormat="1" applyFont="1" applyFill="1" applyBorder="1" applyAlignment="1" applyProtection="1"/>
    <xf numFmtId="0" fontId="5" fillId="3" borderId="9" xfId="0" applyFont="1" applyFill="1" applyBorder="1"/>
    <xf numFmtId="3" fontId="5" fillId="7" borderId="9" xfId="0" applyNumberFormat="1" applyFont="1" applyFill="1" applyBorder="1" applyAlignment="1" applyProtection="1"/>
    <xf numFmtId="3" fontId="5" fillId="9" borderId="9" xfId="0" applyNumberFormat="1" applyFont="1" applyFill="1" applyBorder="1" applyAlignment="1" applyProtection="1"/>
    <xf numFmtId="3" fontId="5" fillId="5" borderId="9" xfId="0" applyNumberFormat="1" applyFont="1" applyFill="1" applyBorder="1" applyAlignment="1" applyProtection="1"/>
    <xf numFmtId="0" fontId="5" fillId="5" borderId="22" xfId="0" applyNumberFormat="1" applyFont="1" applyFill="1" applyBorder="1" applyAlignment="1" applyProtection="1"/>
    <xf numFmtId="3" fontId="1" fillId="0" borderId="0" xfId="0" applyNumberFormat="1" applyFont="1" applyFill="1" applyAlignment="1">
      <alignment horizontal="left"/>
    </xf>
    <xf numFmtId="3" fontId="3" fillId="0" borderId="0" xfId="0" applyNumberFormat="1" applyFont="1" applyFill="1"/>
    <xf numFmtId="164" fontId="16" fillId="0" borderId="0" xfId="0" applyNumberFormat="1" applyFont="1" applyFill="1"/>
    <xf numFmtId="169" fontId="5" fillId="0" borderId="0" xfId="0" applyNumberFormat="1" applyFont="1" applyFill="1" applyBorder="1"/>
    <xf numFmtId="0" fontId="16" fillId="0" borderId="0" xfId="0" applyFont="1" applyFill="1" applyBorder="1"/>
    <xf numFmtId="3" fontId="6" fillId="0" borderId="44" xfId="0" applyNumberFormat="1" applyFont="1" applyFill="1" applyBorder="1" applyAlignment="1">
      <alignment wrapText="1"/>
    </xf>
    <xf numFmtId="0" fontId="7" fillId="0" borderId="38" xfId="0" applyFont="1" applyBorder="1" applyAlignment="1">
      <alignment horizontal="left"/>
    </xf>
    <xf numFmtId="3" fontId="1" fillId="0" borderId="0" xfId="0" applyNumberFormat="1" applyFont="1" applyFill="1"/>
    <xf numFmtId="170" fontId="19" fillId="4" borderId="10" xfId="0" applyNumberFormat="1" applyFont="1" applyFill="1" applyBorder="1" applyAlignment="1" applyProtection="1">
      <alignment horizontal="right"/>
    </xf>
    <xf numFmtId="170" fontId="19" fillId="4" borderId="14" xfId="0" applyNumberFormat="1" applyFont="1" applyFill="1" applyBorder="1" applyAlignment="1" applyProtection="1">
      <alignment horizontal="right"/>
    </xf>
    <xf numFmtId="170" fontId="5" fillId="0" borderId="0" xfId="0" applyNumberFormat="1" applyFont="1" applyFill="1" applyBorder="1" applyAlignment="1" applyProtection="1"/>
    <xf numFmtId="3" fontId="21" fillId="0" borderId="0" xfId="0" applyNumberFormat="1" applyFont="1" applyFill="1" applyBorder="1" applyAlignment="1" applyProtection="1">
      <alignment horizontal="right"/>
    </xf>
    <xf numFmtId="170" fontId="9" fillId="4" borderId="14" xfId="0" applyNumberFormat="1" applyFont="1" applyFill="1" applyBorder="1" applyAlignment="1" applyProtection="1">
      <alignment horizontal="right"/>
    </xf>
    <xf numFmtId="170" fontId="3" fillId="2" borderId="10" xfId="0" applyNumberFormat="1" applyFont="1" applyFill="1" applyBorder="1" applyAlignment="1" applyProtection="1"/>
    <xf numFmtId="170" fontId="4" fillId="0" borderId="10" xfId="0" applyNumberFormat="1" applyFont="1" applyFill="1" applyBorder="1" applyAlignment="1" applyProtection="1"/>
    <xf numFmtId="168" fontId="16" fillId="0" borderId="0" xfId="0" applyNumberFormat="1" applyFont="1" applyAlignment="1">
      <alignment horizontal="right"/>
    </xf>
    <xf numFmtId="9" fontId="6" fillId="0" borderId="44" xfId="2" applyFont="1" applyFill="1" applyBorder="1"/>
    <xf numFmtId="0" fontId="20" fillId="9" borderId="9" xfId="0" applyFont="1" applyFill="1" applyBorder="1"/>
    <xf numFmtId="0" fontId="5" fillId="0" borderId="15" xfId="0" applyFont="1" applyFill="1" applyBorder="1" applyAlignment="1">
      <alignment horizontal="right"/>
    </xf>
    <xf numFmtId="1" fontId="5" fillId="3" borderId="22" xfId="0" applyNumberFormat="1" applyFont="1" applyFill="1" applyBorder="1" applyAlignment="1" applyProtection="1"/>
    <xf numFmtId="3" fontId="5" fillId="0" borderId="10" xfId="0" applyNumberFormat="1" applyFont="1" applyFill="1" applyBorder="1" applyAlignment="1" applyProtection="1">
      <alignment horizontal="right"/>
    </xf>
    <xf numFmtId="0" fontId="4" fillId="0" borderId="31" xfId="0" applyFont="1" applyBorder="1" applyAlignment="1">
      <alignment horizontal="left"/>
    </xf>
    <xf numFmtId="0" fontId="4" fillId="0" borderId="18" xfId="0" applyFont="1" applyBorder="1" applyAlignment="1">
      <alignment horizontal="center"/>
    </xf>
    <xf numFmtId="0" fontId="0" fillId="3" borderId="44" xfId="0" applyFill="1" applyBorder="1"/>
    <xf numFmtId="9" fontId="6" fillId="0" borderId="15" xfId="2" applyFont="1" applyFill="1" applyBorder="1"/>
    <xf numFmtId="0" fontId="7" fillId="0" borderId="0" xfId="0" applyFont="1" applyFill="1"/>
    <xf numFmtId="169" fontId="7" fillId="0" borderId="0" xfId="0" applyNumberFormat="1" applyFont="1" applyFill="1"/>
    <xf numFmtId="164" fontId="7" fillId="0" borderId="0" xfId="0" applyNumberFormat="1" applyFont="1" applyFill="1"/>
    <xf numFmtId="169" fontId="8" fillId="0" borderId="0" xfId="0" applyNumberFormat="1" applyFont="1" applyFill="1" applyBorder="1"/>
    <xf numFmtId="0" fontId="7" fillId="0" borderId="0" xfId="0" applyFont="1" applyFill="1" applyBorder="1"/>
    <xf numFmtId="164" fontId="8" fillId="0" borderId="0" xfId="0" applyNumberFormat="1" applyFont="1" applyFill="1" applyAlignment="1">
      <alignment horizontal="right"/>
    </xf>
    <xf numFmtId="169" fontId="8" fillId="0" borderId="0" xfId="0" applyNumberFormat="1" applyFont="1" applyFill="1" applyAlignment="1">
      <alignment horizontal="right"/>
    </xf>
    <xf numFmtId="3" fontId="8" fillId="0" borderId="0" xfId="0" applyNumberFormat="1" applyFont="1" applyFill="1" applyAlignment="1">
      <alignment horizontal="right"/>
    </xf>
    <xf numFmtId="164" fontId="8" fillId="0" borderId="0" xfId="0" applyNumberFormat="1" applyFont="1" applyFill="1"/>
    <xf numFmtId="169" fontId="1" fillId="0" borderId="0" xfId="0" applyNumberFormat="1" applyFont="1" applyFill="1"/>
    <xf numFmtId="169" fontId="6" fillId="0" borderId="0" xfId="0" applyNumberFormat="1" applyFont="1" applyFill="1"/>
    <xf numFmtId="3" fontId="4" fillId="0" borderId="47" xfId="0" applyNumberFormat="1" applyFont="1" applyFill="1" applyBorder="1" applyAlignment="1" applyProtection="1"/>
    <xf numFmtId="170" fontId="25" fillId="4" borderId="18" xfId="0" applyNumberFormat="1" applyFont="1" applyFill="1" applyBorder="1" applyAlignment="1" applyProtection="1">
      <alignment horizontal="right"/>
    </xf>
    <xf numFmtId="3" fontId="5" fillId="0" borderId="15" xfId="0" applyNumberFormat="1" applyFont="1" applyFill="1" applyBorder="1" applyAlignment="1" applyProtection="1"/>
    <xf numFmtId="3" fontId="3" fillId="0" borderId="18" xfId="0" applyNumberFormat="1" applyFont="1" applyFill="1" applyBorder="1" applyAlignment="1" applyProtection="1">
      <alignment horizontal="right"/>
    </xf>
    <xf numFmtId="0" fontId="7" fillId="0" borderId="37" xfId="0" applyFont="1" applyBorder="1"/>
    <xf numFmtId="3" fontId="6" fillId="3" borderId="9" xfId="0" applyNumberFormat="1" applyFont="1" applyFill="1" applyBorder="1" applyAlignment="1" applyProtection="1"/>
    <xf numFmtId="4" fontId="16" fillId="0" borderId="0" xfId="0" applyNumberFormat="1" applyFont="1" applyBorder="1"/>
    <xf numFmtId="169" fontId="3" fillId="0" borderId="0" xfId="0" applyNumberFormat="1" applyFont="1" applyFill="1" applyBorder="1" applyAlignment="1">
      <alignment horizontal="center"/>
    </xf>
    <xf numFmtId="169" fontId="6" fillId="0" borderId="0" xfId="0" applyNumberFormat="1" applyFont="1" applyFill="1" applyBorder="1"/>
    <xf numFmtId="169" fontId="4" fillId="0" borderId="0" xfId="0" applyNumberFormat="1" applyFont="1" applyFill="1" applyBorder="1"/>
    <xf numFmtId="3" fontId="4" fillId="3" borderId="35" xfId="0" applyNumberFormat="1" applyFont="1" applyFill="1" applyBorder="1" applyAlignment="1" applyProtection="1"/>
    <xf numFmtId="0" fontId="6" fillId="0" borderId="35" xfId="0" applyNumberFormat="1" applyFont="1" applyFill="1" applyBorder="1" applyAlignment="1" applyProtection="1"/>
    <xf numFmtId="169" fontId="16" fillId="0" borderId="0" xfId="0" applyNumberFormat="1" applyFont="1"/>
    <xf numFmtId="0" fontId="4" fillId="0" borderId="9" xfId="0" applyNumberFormat="1" applyFont="1" applyFill="1" applyBorder="1" applyAlignment="1" applyProtection="1">
      <alignment horizontal="left"/>
    </xf>
    <xf numFmtId="9" fontId="4" fillId="0" borderId="4" xfId="2" applyFont="1" applyFill="1" applyBorder="1" applyAlignment="1" applyProtection="1">
      <alignment horizontal="left"/>
    </xf>
    <xf numFmtId="164" fontId="10" fillId="0" borderId="46" xfId="0" applyNumberFormat="1" applyFont="1" applyFill="1" applyBorder="1" applyAlignment="1" applyProtection="1">
      <alignment horizontal="right"/>
    </xf>
    <xf numFmtId="164" fontId="9" fillId="0" borderId="46" xfId="0" applyNumberFormat="1" applyFont="1" applyFill="1" applyBorder="1" applyAlignment="1" applyProtection="1">
      <alignment horizontal="right"/>
    </xf>
    <xf numFmtId="164" fontId="13" fillId="0" borderId="45" xfId="0" applyNumberFormat="1" applyFont="1" applyFill="1" applyBorder="1" applyAlignment="1" applyProtection="1">
      <alignment horizontal="right"/>
    </xf>
    <xf numFmtId="4" fontId="5" fillId="0" borderId="0" xfId="0" applyNumberFormat="1" applyFont="1" applyBorder="1"/>
    <xf numFmtId="169" fontId="5" fillId="0" borderId="0" xfId="0" applyNumberFormat="1" applyFont="1" applyBorder="1"/>
    <xf numFmtId="164" fontId="16" fillId="0" borderId="0" xfId="0" applyNumberFormat="1" applyFont="1" applyBorder="1"/>
    <xf numFmtId="4" fontId="16" fillId="0" borderId="0" xfId="0" applyNumberFormat="1" applyFont="1" applyFill="1" applyBorder="1" applyAlignment="1" applyProtection="1"/>
    <xf numFmtId="0" fontId="4" fillId="0" borderId="25" xfId="0" applyNumberFormat="1" applyFont="1" applyFill="1" applyBorder="1" applyAlignment="1" applyProtection="1">
      <alignment horizontal="center"/>
    </xf>
    <xf numFmtId="0" fontId="4" fillId="10" borderId="48" xfId="0" applyNumberFormat="1" applyFont="1" applyFill="1" applyBorder="1" applyAlignment="1" applyProtection="1">
      <alignment horizontal="center"/>
    </xf>
    <xf numFmtId="0" fontId="4" fillId="10" borderId="40" xfId="0" applyNumberFormat="1" applyFont="1" applyFill="1" applyBorder="1" applyAlignment="1" applyProtection="1">
      <alignment horizontal="center"/>
    </xf>
    <xf numFmtId="0" fontId="4" fillId="10" borderId="18" xfId="0" applyNumberFormat="1" applyFont="1" applyFill="1" applyBorder="1" applyAlignment="1" applyProtection="1">
      <alignment horizontal="center"/>
    </xf>
    <xf numFmtId="170" fontId="4" fillId="10" borderId="31" xfId="0" applyNumberFormat="1" applyFont="1" applyFill="1" applyBorder="1" applyAlignment="1" applyProtection="1"/>
    <xf numFmtId="170" fontId="4" fillId="10" borderId="40" xfId="0" applyNumberFormat="1" applyFont="1" applyFill="1" applyBorder="1" applyAlignment="1" applyProtection="1"/>
    <xf numFmtId="170" fontId="4" fillId="10" borderId="49" xfId="0" applyNumberFormat="1" applyFont="1" applyFill="1" applyBorder="1" applyAlignment="1" applyProtection="1"/>
    <xf numFmtId="0" fontId="5" fillId="10" borderId="18" xfId="0" applyNumberFormat="1" applyFont="1" applyFill="1" applyBorder="1" applyAlignment="1" applyProtection="1"/>
    <xf numFmtId="1" fontId="16" fillId="0" borderId="10" xfId="0" applyNumberFormat="1" applyFont="1" applyFill="1" applyBorder="1" applyAlignment="1" applyProtection="1">
      <alignment horizontal="right"/>
    </xf>
    <xf numFmtId="171" fontId="4" fillId="0" borderId="5" xfId="0" applyNumberFormat="1" applyFont="1" applyFill="1" applyBorder="1" applyAlignment="1" applyProtection="1">
      <alignment horizontal="center"/>
    </xf>
    <xf numFmtId="3" fontId="21" fillId="0" borderId="10" xfId="0" applyNumberFormat="1" applyFont="1" applyFill="1" applyBorder="1" applyAlignment="1" applyProtection="1">
      <alignment horizontal="right"/>
    </xf>
    <xf numFmtId="0" fontId="5" fillId="2" borderId="8" xfId="0" applyNumberFormat="1" applyFont="1" applyFill="1" applyBorder="1" applyAlignment="1" applyProtection="1"/>
    <xf numFmtId="3" fontId="5" fillId="3" borderId="22" xfId="0" applyNumberFormat="1" applyFont="1" applyFill="1" applyBorder="1" applyAlignment="1" applyProtection="1"/>
    <xf numFmtId="170" fontId="8" fillId="0" borderId="15" xfId="0" applyNumberFormat="1" applyFont="1" applyFill="1" applyBorder="1"/>
    <xf numFmtId="3" fontId="26" fillId="0" borderId="37" xfId="0" applyNumberFormat="1" applyFont="1" applyBorder="1"/>
    <xf numFmtId="3" fontId="26" fillId="0" borderId="10" xfId="0" applyNumberFormat="1" applyFont="1" applyBorder="1"/>
    <xf numFmtId="3" fontId="26" fillId="0" borderId="46" xfId="0" applyNumberFormat="1" applyFont="1" applyBorder="1"/>
    <xf numFmtId="3" fontId="26" fillId="2" borderId="15" xfId="0" applyNumberFormat="1" applyFont="1" applyFill="1" applyBorder="1"/>
    <xf numFmtId="3" fontId="26" fillId="0" borderId="15" xfId="0" applyNumberFormat="1" applyFont="1" applyFill="1" applyBorder="1"/>
    <xf numFmtId="4" fontId="5" fillId="0" borderId="10" xfId="0" applyNumberFormat="1" applyFont="1" applyFill="1" applyBorder="1" applyAlignment="1" applyProtection="1">
      <alignment horizontal="right"/>
    </xf>
    <xf numFmtId="169" fontId="5" fillId="0" borderId="0" xfId="0" applyNumberFormat="1" applyFont="1"/>
    <xf numFmtId="3" fontId="0" fillId="0" borderId="50" xfId="0" applyNumberFormat="1" applyFill="1" applyBorder="1"/>
    <xf numFmtId="170" fontId="6" fillId="0" borderId="44" xfId="0" applyNumberFormat="1" applyFont="1" applyFill="1" applyBorder="1"/>
    <xf numFmtId="0" fontId="4" fillId="0" borderId="35" xfId="0" applyNumberFormat="1" applyFont="1" applyFill="1" applyBorder="1" applyAlignment="1" applyProtection="1"/>
    <xf numFmtId="0" fontId="4" fillId="0" borderId="54" xfId="0" applyNumberFormat="1" applyFont="1" applyFill="1" applyBorder="1" applyAlignment="1" applyProtection="1">
      <alignment horizontal="left"/>
    </xf>
    <xf numFmtId="3" fontId="21" fillId="9" borderId="8" xfId="0" applyNumberFormat="1" applyFont="1" applyFill="1" applyBorder="1" applyAlignment="1" applyProtection="1">
      <alignment horizontal="left"/>
    </xf>
    <xf numFmtId="3" fontId="6" fillId="9" borderId="9" xfId="0" applyNumberFormat="1" applyFont="1" applyFill="1" applyBorder="1" applyAlignment="1" applyProtection="1"/>
    <xf numFmtId="0" fontId="5" fillId="0" borderId="35" xfId="0" applyFont="1" applyFill="1" applyBorder="1"/>
    <xf numFmtId="0" fontId="4" fillId="0" borderId="14" xfId="0" applyNumberFormat="1" applyFont="1" applyFill="1" applyBorder="1" applyAlignment="1" applyProtection="1">
      <alignment horizontal="center"/>
    </xf>
    <xf numFmtId="0" fontId="4" fillId="0" borderId="35" xfId="0" applyNumberFormat="1" applyFont="1" applyFill="1" applyBorder="1" applyAlignment="1" applyProtection="1">
      <alignment horizontal="center"/>
    </xf>
    <xf numFmtId="0" fontId="4" fillId="0" borderId="55" xfId="0" applyNumberFormat="1" applyFont="1" applyFill="1" applyBorder="1" applyAlignment="1" applyProtection="1">
      <alignment horizontal="center"/>
    </xf>
    <xf numFmtId="0" fontId="4" fillId="0" borderId="56" xfId="0" applyNumberFormat="1" applyFont="1" applyFill="1" applyBorder="1" applyAlignment="1" applyProtection="1"/>
    <xf numFmtId="0" fontId="5" fillId="0" borderId="16" xfId="0" applyNumberFormat="1" applyFont="1" applyFill="1" applyBorder="1" applyAlignment="1" applyProtection="1"/>
    <xf numFmtId="0" fontId="5" fillId="2" borderId="35" xfId="0" applyNumberFormat="1" applyFont="1" applyFill="1" applyBorder="1" applyAlignment="1" applyProtection="1"/>
    <xf numFmtId="0" fontId="4" fillId="0" borderId="16" xfId="0" applyNumberFormat="1" applyFont="1" applyFill="1" applyBorder="1" applyAlignment="1" applyProtection="1"/>
    <xf numFmtId="0" fontId="5" fillId="4" borderId="22" xfId="0" applyNumberFormat="1" applyFont="1" applyFill="1" applyBorder="1" applyAlignment="1" applyProtection="1"/>
    <xf numFmtId="3" fontId="5" fillId="2" borderId="23" xfId="0" applyNumberFormat="1" applyFont="1" applyFill="1" applyBorder="1" applyAlignment="1" applyProtection="1"/>
    <xf numFmtId="0" fontId="4" fillId="0" borderId="29" xfId="0" applyNumberFormat="1" applyFont="1" applyFill="1" applyBorder="1" applyAlignment="1" applyProtection="1">
      <alignment horizontal="center"/>
    </xf>
    <xf numFmtId="0" fontId="8" fillId="0" borderId="8" xfId="0" applyFont="1" applyBorder="1"/>
    <xf numFmtId="0" fontId="8" fillId="0" borderId="6" xfId="0" applyFont="1" applyBorder="1"/>
    <xf numFmtId="0" fontId="5" fillId="5" borderId="9" xfId="0" applyFont="1" applyFill="1" applyBorder="1"/>
    <xf numFmtId="0" fontId="5" fillId="5" borderId="22" xfId="0" applyFont="1" applyFill="1" applyBorder="1"/>
    <xf numFmtId="0" fontId="5" fillId="0" borderId="4" xfId="0" applyNumberFormat="1" applyFont="1" applyFill="1" applyBorder="1" applyAlignment="1" applyProtection="1"/>
    <xf numFmtId="0" fontId="5" fillId="0" borderId="10" xfId="0" applyFont="1" applyFill="1" applyBorder="1"/>
    <xf numFmtId="4" fontId="7" fillId="0" borderId="0" xfId="0" applyNumberFormat="1" applyFont="1" applyFill="1"/>
    <xf numFmtId="3" fontId="5" fillId="0" borderId="7" xfId="0" applyNumberFormat="1" applyFont="1" applyFill="1" applyBorder="1" applyAlignment="1" applyProtection="1">
      <alignment horizontal="right"/>
    </xf>
    <xf numFmtId="171" fontId="4" fillId="0" borderId="17" xfId="0" applyNumberFormat="1" applyFont="1" applyFill="1" applyBorder="1" applyAlignment="1" applyProtection="1">
      <alignment horizontal="center"/>
    </xf>
    <xf numFmtId="0" fontId="0" fillId="0" borderId="10" xfId="0" applyNumberFormat="1" applyFont="1" applyFill="1" applyBorder="1" applyAlignment="1" applyProtection="1"/>
    <xf numFmtId="4" fontId="16" fillId="0" borderId="0" xfId="0" applyNumberFormat="1" applyFont="1" applyFill="1"/>
    <xf numFmtId="164" fontId="10" fillId="0" borderId="35" xfId="0" applyNumberFormat="1" applyFont="1" applyFill="1" applyBorder="1" applyAlignment="1" applyProtection="1">
      <alignment horizontal="right"/>
    </xf>
    <xf numFmtId="49" fontId="4" fillId="0" borderId="32" xfId="0" applyNumberFormat="1" applyFont="1" applyFill="1" applyBorder="1" applyAlignment="1" applyProtection="1">
      <alignment horizontal="center"/>
    </xf>
    <xf numFmtId="164" fontId="5" fillId="0" borderId="10" xfId="0" applyNumberFormat="1" applyFont="1" applyBorder="1" applyAlignment="1">
      <alignment horizontal="right"/>
    </xf>
    <xf numFmtId="3" fontId="0" fillId="0" borderId="51" xfId="0" applyNumberFormat="1" applyFill="1" applyBorder="1"/>
    <xf numFmtId="3" fontId="16" fillId="0" borderId="52" xfId="0" applyNumberFormat="1" applyFont="1" applyFill="1" applyBorder="1"/>
    <xf numFmtId="3" fontId="0" fillId="0" borderId="44" xfId="0" applyNumberFormat="1" applyFill="1" applyBorder="1"/>
    <xf numFmtId="0" fontId="4" fillId="3" borderId="6" xfId="0" applyNumberFormat="1" applyFont="1" applyFill="1" applyBorder="1" applyAlignment="1" applyProtection="1">
      <alignment horizontal="center"/>
    </xf>
    <xf numFmtId="4" fontId="3" fillId="0" borderId="0" xfId="0" applyNumberFormat="1" applyFont="1"/>
    <xf numFmtId="173" fontId="16" fillId="0" borderId="0" xfId="0" applyNumberFormat="1" applyFont="1"/>
    <xf numFmtId="1" fontId="5" fillId="3" borderId="8" xfId="0" applyNumberFormat="1" applyFont="1" applyFill="1" applyBorder="1" applyAlignment="1" applyProtection="1"/>
    <xf numFmtId="3" fontId="0" fillId="0" borderId="0" xfId="0" applyNumberFormat="1"/>
    <xf numFmtId="3" fontId="16" fillId="0" borderId="10" xfId="0" applyNumberFormat="1" applyFont="1" applyBorder="1" applyAlignment="1">
      <alignment horizontal="right"/>
    </xf>
    <xf numFmtId="0" fontId="7" fillId="0" borderId="0" xfId="0" applyFont="1"/>
    <xf numFmtId="0" fontId="28" fillId="0" borderId="22" xfId="0" applyNumberFormat="1" applyFont="1" applyFill="1" applyBorder="1" applyAlignment="1" applyProtection="1"/>
    <xf numFmtId="0" fontId="28" fillId="0" borderId="13" xfId="0" applyNumberFormat="1" applyFont="1" applyFill="1" applyBorder="1" applyAlignment="1" applyProtection="1"/>
    <xf numFmtId="3" fontId="28" fillId="0" borderId="22" xfId="0" applyNumberFormat="1" applyFont="1" applyFill="1" applyBorder="1" applyAlignment="1" applyProtection="1"/>
    <xf numFmtId="3" fontId="28" fillId="0" borderId="13" xfId="0" applyNumberFormat="1" applyFont="1" applyFill="1" applyBorder="1" applyAlignment="1" applyProtection="1"/>
    <xf numFmtId="3" fontId="28" fillId="0" borderId="23" xfId="0" applyNumberFormat="1" applyFont="1" applyFill="1" applyBorder="1" applyAlignment="1" applyProtection="1"/>
    <xf numFmtId="0" fontId="28" fillId="3" borderId="22" xfId="0" applyNumberFormat="1" applyFont="1" applyFill="1" applyBorder="1" applyAlignment="1" applyProtection="1"/>
    <xf numFmtId="0" fontId="28" fillId="3" borderId="23" xfId="0" applyNumberFormat="1" applyFont="1" applyFill="1" applyBorder="1" applyAlignment="1" applyProtection="1"/>
    <xf numFmtId="0" fontId="28" fillId="5" borderId="22" xfId="0" applyFont="1" applyFill="1" applyBorder="1"/>
    <xf numFmtId="3" fontId="28" fillId="5" borderId="23" xfId="0" applyNumberFormat="1" applyFont="1" applyFill="1" applyBorder="1" applyAlignment="1" applyProtection="1"/>
    <xf numFmtId="0" fontId="28" fillId="0" borderId="0" xfId="0" applyFont="1" applyFill="1"/>
    <xf numFmtId="0" fontId="28" fillId="0" borderId="0" xfId="0" applyFont="1"/>
    <xf numFmtId="172" fontId="5" fillId="0" borderId="7" xfId="0" applyNumberFormat="1" applyFont="1" applyFill="1" applyBorder="1" applyAlignment="1" applyProtection="1">
      <alignment horizontal="right"/>
    </xf>
    <xf numFmtId="3" fontId="6" fillId="0" borderId="10" xfId="0" applyNumberFormat="1" applyFont="1" applyFill="1" applyBorder="1" applyAlignment="1" applyProtection="1"/>
    <xf numFmtId="0" fontId="5" fillId="11" borderId="35" xfId="0" applyNumberFormat="1" applyFont="1" applyFill="1" applyBorder="1" applyAlignment="1" applyProtection="1"/>
    <xf numFmtId="174" fontId="16" fillId="0" borderId="0" xfId="0" applyNumberFormat="1" applyFont="1"/>
    <xf numFmtId="170" fontId="21" fillId="4" borderId="10" xfId="0" applyNumberFormat="1" applyFont="1" applyFill="1" applyBorder="1" applyAlignment="1" applyProtection="1">
      <alignment horizontal="right"/>
    </xf>
    <xf numFmtId="4" fontId="6" fillId="0" borderId="0" xfId="0" applyNumberFormat="1" applyFont="1" applyFill="1" applyBorder="1" applyAlignment="1"/>
    <xf numFmtId="4" fontId="5" fillId="0" borderId="0" xfId="0" applyNumberFormat="1" applyFont="1" applyFill="1" applyBorder="1" applyAlignment="1" applyProtection="1"/>
    <xf numFmtId="4" fontId="0" fillId="0" borderId="0" xfId="0" applyNumberFormat="1" applyFill="1" applyBorder="1" applyAlignment="1"/>
    <xf numFmtId="0" fontId="0" fillId="0" borderId="0" xfId="0"/>
    <xf numFmtId="3" fontId="5" fillId="0" borderId="9" xfId="0" applyNumberFormat="1" applyFont="1" applyFill="1" applyBorder="1" applyAlignment="1" applyProtection="1"/>
    <xf numFmtId="0" fontId="16" fillId="0" borderId="0" xfId="0" applyFont="1" applyFill="1"/>
    <xf numFmtId="0" fontId="16" fillId="0" borderId="9" xfId="0" applyNumberFormat="1" applyFont="1" applyFill="1" applyBorder="1" applyAlignment="1" applyProtection="1"/>
    <xf numFmtId="0" fontId="5" fillId="3" borderId="9" xfId="0" applyNumberFormat="1" applyFont="1" applyFill="1" applyBorder="1" applyAlignment="1" applyProtection="1"/>
    <xf numFmtId="0" fontId="5" fillId="3" borderId="8" xfId="0" applyNumberFormat="1" applyFont="1" applyFill="1" applyBorder="1" applyAlignment="1" applyProtection="1"/>
    <xf numFmtId="3" fontId="5" fillId="3" borderId="9" xfId="0" applyNumberFormat="1" applyFont="1" applyFill="1" applyBorder="1" applyAlignment="1" applyProtection="1"/>
    <xf numFmtId="3" fontId="5" fillId="3" borderId="8" xfId="0" applyNumberFormat="1" applyFont="1" applyFill="1" applyBorder="1" applyAlignment="1" applyProtection="1"/>
    <xf numFmtId="170" fontId="5" fillId="10" borderId="15" xfId="0" applyNumberFormat="1" applyFont="1" applyFill="1" applyBorder="1" applyAlignment="1" applyProtection="1"/>
    <xf numFmtId="0" fontId="5" fillId="0" borderId="10" xfId="0" applyNumberFormat="1" applyFont="1" applyFill="1" applyBorder="1" applyAlignment="1" applyProtection="1"/>
    <xf numFmtId="0" fontId="5" fillId="0" borderId="35" xfId="0" applyNumberFormat="1" applyFont="1" applyFill="1" applyBorder="1" applyAlignment="1" applyProtection="1"/>
    <xf numFmtId="3" fontId="5" fillId="0" borderId="10" xfId="0" applyNumberFormat="1" applyFont="1" applyFill="1" applyBorder="1" applyAlignment="1" applyProtection="1"/>
    <xf numFmtId="3" fontId="5" fillId="0" borderId="8" xfId="0" applyNumberFormat="1" applyFont="1" applyFill="1" applyBorder="1" applyAlignment="1" applyProtection="1"/>
    <xf numFmtId="0" fontId="15" fillId="0" borderId="0" xfId="0" applyFont="1"/>
    <xf numFmtId="0" fontId="7" fillId="0" borderId="34" xfId="0" applyFont="1" applyBorder="1"/>
    <xf numFmtId="0" fontId="8" fillId="0" borderId="0" xfId="0" applyFont="1"/>
    <xf numFmtId="14" fontId="26" fillId="0" borderId="50" xfId="0" applyNumberFormat="1" applyFont="1" applyBorder="1"/>
    <xf numFmtId="0" fontId="0" fillId="3" borderId="51" xfId="0" applyFill="1" applyBorder="1"/>
    <xf numFmtId="0" fontId="0" fillId="3" borderId="42" xfId="0" applyFill="1" applyBorder="1"/>
    <xf numFmtId="0" fontId="0" fillId="0" borderId="0" xfId="0" applyFill="1" applyBorder="1"/>
    <xf numFmtId="3" fontId="16" fillId="0" borderId="0" xfId="0" applyNumberFormat="1" applyFont="1" applyFill="1" applyBorder="1" applyAlignment="1">
      <alignment horizontal="right"/>
    </xf>
    <xf numFmtId="3" fontId="0" fillId="0" borderId="0" xfId="0" applyNumberFormat="1" applyFill="1" applyBorder="1"/>
    <xf numFmtId="0" fontId="0" fillId="0" borderId="0" xfId="0" applyFill="1"/>
    <xf numFmtId="0" fontId="6" fillId="0" borderId="0" xfId="0" applyFont="1" applyFill="1"/>
    <xf numFmtId="3" fontId="5" fillId="0" borderId="39" xfId="0" applyNumberFormat="1" applyFont="1" applyFill="1" applyBorder="1" applyAlignment="1" applyProtection="1"/>
    <xf numFmtId="168" fontId="4" fillId="0" borderId="53" xfId="0" applyNumberFormat="1" applyFont="1" applyFill="1" applyBorder="1" applyAlignment="1" applyProtection="1">
      <alignment horizontal="center"/>
    </xf>
    <xf numFmtId="0" fontId="0" fillId="0" borderId="29" xfId="0" applyBorder="1"/>
    <xf numFmtId="0" fontId="32" fillId="0" borderId="59" xfId="0" applyFont="1" applyBorder="1"/>
    <xf numFmtId="0" fontId="7" fillId="0" borderId="59" xfId="0" applyFont="1" applyBorder="1"/>
    <xf numFmtId="0" fontId="0" fillId="0" borderId="59" xfId="0" applyBorder="1"/>
    <xf numFmtId="3" fontId="0" fillId="0" borderId="59" xfId="0" applyNumberFormat="1" applyBorder="1"/>
    <xf numFmtId="0" fontId="7" fillId="0" borderId="30" xfId="0" applyFont="1" applyBorder="1"/>
    <xf numFmtId="0" fontId="7" fillId="0" borderId="0" xfId="0" applyFont="1" applyAlignment="1">
      <alignment horizontal="right"/>
    </xf>
    <xf numFmtId="3" fontId="16" fillId="0" borderId="48" xfId="0" applyNumberFormat="1" applyFont="1" applyFill="1" applyBorder="1" applyAlignment="1">
      <alignment horizontal="right"/>
    </xf>
    <xf numFmtId="3" fontId="6" fillId="0" borderId="48" xfId="0" applyNumberFormat="1" applyFont="1" applyFill="1" applyBorder="1"/>
    <xf numFmtId="9" fontId="6" fillId="0" borderId="48" xfId="2" applyFont="1" applyFill="1" applyBorder="1"/>
    <xf numFmtId="170" fontId="6" fillId="0" borderId="48" xfId="0" applyNumberFormat="1" applyFont="1" applyFill="1" applyBorder="1"/>
    <xf numFmtId="3" fontId="16" fillId="0" borderId="44" xfId="0" applyNumberFormat="1" applyFont="1" applyFill="1" applyBorder="1" applyAlignment="1">
      <alignment horizontal="right"/>
    </xf>
    <xf numFmtId="3" fontId="1" fillId="0" borderId="44" xfId="0" applyNumberFormat="1" applyFont="1" applyFill="1" applyBorder="1"/>
    <xf numFmtId="3" fontId="0" fillId="0" borderId="49" xfId="0" applyNumberFormat="1" applyFill="1" applyBorder="1"/>
    <xf numFmtId="3" fontId="6" fillId="0" borderId="49" xfId="0" applyNumberFormat="1" applyFont="1" applyFill="1" applyBorder="1"/>
    <xf numFmtId="9" fontId="6" fillId="0" borderId="49" xfId="2" applyFont="1" applyFill="1" applyBorder="1"/>
    <xf numFmtId="170" fontId="6" fillId="0" borderId="49" xfId="0" applyNumberFormat="1" applyFont="1" applyFill="1" applyBorder="1"/>
    <xf numFmtId="3" fontId="16" fillId="0" borderId="50" xfId="0" applyNumberFormat="1" applyFont="1" applyFill="1" applyBorder="1" applyAlignment="1">
      <alignment horizontal="right"/>
    </xf>
    <xf numFmtId="3" fontId="16" fillId="0" borderId="8"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47" xfId="0" applyNumberFormat="1" applyFont="1" applyFill="1" applyBorder="1" applyAlignment="1">
      <alignment horizontal="right"/>
    </xf>
    <xf numFmtId="3" fontId="0" fillId="0" borderId="47" xfId="0" applyNumberFormat="1" applyFill="1" applyBorder="1"/>
    <xf numFmtId="0" fontId="7" fillId="0" borderId="33" xfId="0" applyFont="1" applyFill="1" applyBorder="1" applyAlignment="1">
      <alignment horizontal="center"/>
    </xf>
    <xf numFmtId="0" fontId="0" fillId="0" borderId="50" xfId="0" applyFill="1" applyBorder="1"/>
    <xf numFmtId="3" fontId="7" fillId="0" borderId="50" xfId="0" applyNumberFormat="1" applyFont="1" applyFill="1" applyBorder="1"/>
    <xf numFmtId="0" fontId="6" fillId="3" borderId="0" xfId="0" applyFont="1" applyFill="1" applyBorder="1"/>
    <xf numFmtId="0" fontId="4" fillId="3" borderId="57" xfId="0" applyNumberFormat="1" applyFont="1" applyFill="1" applyBorder="1" applyAlignment="1" applyProtection="1">
      <alignment horizontal="center"/>
    </xf>
    <xf numFmtId="0" fontId="0" fillId="3" borderId="58" xfId="0" applyFill="1" applyBorder="1" applyAlignment="1">
      <alignment horizontal="center"/>
    </xf>
    <xf numFmtId="0" fontId="31" fillId="0" borderId="0" xfId="0" applyFont="1" applyAlignment="1">
      <alignment wrapText="1"/>
    </xf>
    <xf numFmtId="0" fontId="0" fillId="0" borderId="0" xfId="0" applyFont="1" applyAlignment="1">
      <alignment wrapText="1"/>
    </xf>
    <xf numFmtId="0" fontId="30" fillId="0" borderId="0" xfId="0" applyFont="1" applyAlignment="1">
      <alignment wrapText="1"/>
    </xf>
    <xf numFmtId="0" fontId="0" fillId="0" borderId="0" xfId="0" applyAlignment="1">
      <alignment wrapText="1"/>
    </xf>
    <xf numFmtId="0" fontId="26" fillId="0" borderId="29" xfId="0" applyFont="1" applyBorder="1" applyAlignment="1">
      <alignment horizontal="center"/>
    </xf>
    <xf numFmtId="0" fontId="26" fillId="0" borderId="33" xfId="0" applyFont="1" applyBorder="1" applyAlignment="1">
      <alignment horizontal="center"/>
    </xf>
    <xf numFmtId="0" fontId="26" fillId="0" borderId="54" xfId="0" applyFont="1" applyBorder="1" applyAlignment="1">
      <alignment horizontal="center"/>
    </xf>
  </cellXfs>
  <cellStyles count="3">
    <cellStyle name="Normální" xfId="0" builtinId="0"/>
    <cellStyle name="Normální 2" xfId="1"/>
    <cellStyle name="Procenta"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I74"/>
  <sheetViews>
    <sheetView workbookViewId="0">
      <selection activeCell="B41" sqref="B41"/>
    </sheetView>
  </sheetViews>
  <sheetFormatPr defaultColWidth="7.85546875" defaultRowHeight="12.75" x14ac:dyDescent="0.2"/>
  <cols>
    <col min="1" max="1" width="5" style="86" customWidth="1"/>
    <col min="2" max="2" width="22.85546875" style="86" customWidth="1"/>
    <col min="3" max="3" width="9.28515625" style="94" customWidth="1"/>
    <col min="4" max="4" width="8" style="86" customWidth="1"/>
    <col min="5" max="5" width="10.7109375" style="104" customWidth="1"/>
    <col min="6" max="6" width="10.42578125" style="86" customWidth="1"/>
    <col min="7" max="8" width="9.85546875" style="86" customWidth="1"/>
    <col min="9" max="9" width="15.140625" style="86" customWidth="1"/>
    <col min="10" max="16384" width="7.85546875" style="86"/>
  </cols>
  <sheetData>
    <row r="1" spans="1:9" s="1" customFormat="1" ht="18" x14ac:dyDescent="0.25">
      <c r="B1" s="96" t="s">
        <v>432</v>
      </c>
      <c r="C1" s="2"/>
      <c r="E1" s="182"/>
    </row>
    <row r="2" spans="1:9" s="1" customFormat="1" ht="15.75" x14ac:dyDescent="0.25">
      <c r="B2" s="155" t="s">
        <v>433</v>
      </c>
      <c r="C2" s="155"/>
      <c r="D2" s="155"/>
      <c r="E2" s="183"/>
      <c r="F2" s="155"/>
      <c r="G2" s="155"/>
      <c r="H2" s="155"/>
      <c r="I2" s="155"/>
    </row>
    <row r="3" spans="1:9" s="1" customFormat="1" ht="15.75" x14ac:dyDescent="0.25">
      <c r="B3" s="156"/>
      <c r="C3" s="155"/>
      <c r="D3" s="155"/>
      <c r="E3" s="183"/>
      <c r="F3" s="155"/>
      <c r="G3" s="155"/>
      <c r="H3" s="155"/>
      <c r="I3" s="155"/>
    </row>
    <row r="4" spans="1:9" s="1" customFormat="1" ht="15.75" x14ac:dyDescent="0.25">
      <c r="B4" s="156"/>
      <c r="C4" s="155"/>
      <c r="D4" s="155"/>
      <c r="E4" s="183"/>
      <c r="F4" s="155"/>
      <c r="G4" s="155"/>
      <c r="H4" s="155"/>
      <c r="I4" s="155"/>
    </row>
    <row r="5" spans="1:9" s="1" customFormat="1" ht="15.75" x14ac:dyDescent="0.25">
      <c r="B5" s="156"/>
      <c r="C5" s="2"/>
      <c r="E5" s="183"/>
      <c r="F5" s="155"/>
      <c r="G5" s="155"/>
      <c r="H5" s="155"/>
      <c r="I5" s="155"/>
    </row>
    <row r="6" spans="1:9" ht="13.5" thickBot="1" x14ac:dyDescent="0.25">
      <c r="B6" s="3" t="s">
        <v>152</v>
      </c>
      <c r="I6" s="125"/>
    </row>
    <row r="7" spans="1:9" s="3" customFormat="1" x14ac:dyDescent="0.2">
      <c r="A7" s="194"/>
      <c r="B7" s="4"/>
      <c r="C7" s="5" t="s">
        <v>2</v>
      </c>
      <c r="D7" s="154" t="s">
        <v>132</v>
      </c>
      <c r="E7" s="184" t="s">
        <v>99</v>
      </c>
      <c r="F7" s="6" t="s">
        <v>4</v>
      </c>
      <c r="G7" s="150" t="s">
        <v>5</v>
      </c>
      <c r="H7" s="190" t="s">
        <v>4</v>
      </c>
      <c r="I7" s="201" t="s">
        <v>434</v>
      </c>
    </row>
    <row r="8" spans="1:9" s="3" customFormat="1" ht="13.5" thickBot="1" x14ac:dyDescent="0.25">
      <c r="A8" s="195"/>
      <c r="B8" s="7"/>
      <c r="C8" s="8">
        <v>2017</v>
      </c>
      <c r="D8" s="8">
        <v>2017</v>
      </c>
      <c r="E8" s="185" t="s">
        <v>94</v>
      </c>
      <c r="F8" s="74"/>
      <c r="G8" s="149">
        <v>43100</v>
      </c>
      <c r="H8" s="64" t="s">
        <v>6</v>
      </c>
      <c r="I8" s="152" t="s">
        <v>435</v>
      </c>
    </row>
    <row r="9" spans="1:9" x14ac:dyDescent="0.2">
      <c r="A9" s="196"/>
      <c r="B9" s="93" t="s">
        <v>7</v>
      </c>
      <c r="C9" s="9">
        <f>Příjmy!F135</f>
        <v>80034</v>
      </c>
      <c r="D9" s="14">
        <f>+Příjmy!G135</f>
        <v>0</v>
      </c>
      <c r="E9" s="205">
        <f>SUM(C9:D9)</f>
        <v>80034</v>
      </c>
      <c r="F9" s="75">
        <f>C9/C13</f>
        <v>0.55394901681213182</v>
      </c>
      <c r="G9" s="118">
        <f>+Příjmy!I135</f>
        <v>88971.968209999992</v>
      </c>
      <c r="H9" s="191">
        <f t="shared" ref="H9:H16" si="0">G9/$E9*100</f>
        <v>111.16771398405676</v>
      </c>
      <c r="I9" s="211">
        <f t="shared" ref="I9:I16" si="1">G9-E9</f>
        <v>8937.9682099999918</v>
      </c>
    </row>
    <row r="10" spans="1:9" x14ac:dyDescent="0.2">
      <c r="A10" s="196"/>
      <c r="B10" s="93" t="s">
        <v>8</v>
      </c>
      <c r="C10" s="9">
        <f>Příjmy!F136</f>
        <v>25389</v>
      </c>
      <c r="D10" s="14">
        <f>+Příjmy!G136</f>
        <v>34.257409999999993</v>
      </c>
      <c r="E10" s="205">
        <f>SUM(C10:D10)</f>
        <v>25423.257409999998</v>
      </c>
      <c r="F10" s="75">
        <f>C10/C13</f>
        <v>0.17572796046484265</v>
      </c>
      <c r="G10" s="118">
        <f>+Příjmy!I136</f>
        <v>25427.374899999992</v>
      </c>
      <c r="H10" s="191">
        <f t="shared" si="0"/>
        <v>100.01619576096638</v>
      </c>
      <c r="I10" s="211">
        <f t="shared" si="1"/>
        <v>4.1174899999932677</v>
      </c>
    </row>
    <row r="11" spans="1:9" x14ac:dyDescent="0.2">
      <c r="A11" s="196"/>
      <c r="B11" s="93" t="s">
        <v>9</v>
      </c>
      <c r="C11" s="9">
        <f>Příjmy!F139</f>
        <v>465</v>
      </c>
      <c r="D11" s="14">
        <f>+Příjmy!G139</f>
        <v>20</v>
      </c>
      <c r="E11" s="205">
        <f>SUM(C11:D11)</f>
        <v>485</v>
      </c>
      <c r="F11" s="75">
        <f>C11/C13</f>
        <v>3.2184608143744076E-3</v>
      </c>
      <c r="G11" s="118">
        <f>+Příjmy!I139</f>
        <v>1525.509</v>
      </c>
      <c r="H11" s="191">
        <f t="shared" si="0"/>
        <v>314.53793814432987</v>
      </c>
      <c r="I11" s="211">
        <f t="shared" si="1"/>
        <v>1040.509</v>
      </c>
    </row>
    <row r="12" spans="1:9" x14ac:dyDescent="0.2">
      <c r="A12" s="196"/>
      <c r="B12" s="93" t="s">
        <v>10</v>
      </c>
      <c r="C12" s="9">
        <f>Příjmy!F137+Příjmy!F140</f>
        <v>38591</v>
      </c>
      <c r="D12" s="14">
        <f>+Příjmy!G137+Příjmy!G140</f>
        <v>28813.791859999998</v>
      </c>
      <c r="E12" s="205">
        <f>SUM(C12:D12)</f>
        <v>67404.791859999998</v>
      </c>
      <c r="F12" s="75">
        <f>C12/C13</f>
        <v>0.26710456190865106</v>
      </c>
      <c r="G12" s="118">
        <f>+Příjmy!I137+Příjmy!I140</f>
        <v>67462.022189999989</v>
      </c>
      <c r="H12" s="191">
        <f t="shared" si="0"/>
        <v>100.08490543241919</v>
      </c>
      <c r="I12" s="211">
        <f t="shared" si="1"/>
        <v>57.230329999991227</v>
      </c>
    </row>
    <row r="13" spans="1:9" s="3" customFormat="1" x14ac:dyDescent="0.2">
      <c r="A13" s="197"/>
      <c r="B13" s="10" t="s">
        <v>11</v>
      </c>
      <c r="C13" s="11">
        <f>SUM(C9:C12)</f>
        <v>144479</v>
      </c>
      <c r="D13" s="83">
        <f>SUM(D9:D12)</f>
        <v>28868.049269999996</v>
      </c>
      <c r="E13" s="206">
        <f>SUM(E9:E12)</f>
        <v>173347.04926999999</v>
      </c>
      <c r="F13" s="76">
        <f>SUM(F9:F12)</f>
        <v>0.99999999999999989</v>
      </c>
      <c r="G13" s="11">
        <f>SUM(G9:G12)</f>
        <v>183386.87429999997</v>
      </c>
      <c r="H13" s="192">
        <f t="shared" si="0"/>
        <v>105.79174844468351</v>
      </c>
      <c r="I13" s="212">
        <f t="shared" si="1"/>
        <v>10039.825029999978</v>
      </c>
    </row>
    <row r="14" spans="1:9" x14ac:dyDescent="0.2">
      <c r="A14" s="196"/>
      <c r="B14" s="93" t="s">
        <v>12</v>
      </c>
      <c r="C14" s="9">
        <f>+Výdaje!E119</f>
        <v>125246</v>
      </c>
      <c r="D14" s="14">
        <f>+Výdaje!H119</f>
        <v>10980.567270000001</v>
      </c>
      <c r="E14" s="205">
        <f>SUM(C14:D14)</f>
        <v>136226.56727</v>
      </c>
      <c r="F14" s="75">
        <f>C14/C16</f>
        <v>0.57834852556820804</v>
      </c>
      <c r="G14" s="234">
        <f>Výdaje!M119</f>
        <v>124945.80324000002</v>
      </c>
      <c r="H14" s="191">
        <f t="shared" si="0"/>
        <v>91.719115987381826</v>
      </c>
      <c r="I14" s="211">
        <f t="shared" si="1"/>
        <v>-11280.764029999977</v>
      </c>
    </row>
    <row r="15" spans="1:9" x14ac:dyDescent="0.2">
      <c r="A15" s="196"/>
      <c r="B15" s="93" t="s">
        <v>13</v>
      </c>
      <c r="C15" s="9">
        <f>+Výdaje!F119</f>
        <v>91312</v>
      </c>
      <c r="D15" s="14">
        <f>+Výdaje!I119</f>
        <v>17887.482</v>
      </c>
      <c r="E15" s="205">
        <f>SUM(C15:D15)</f>
        <v>109199.482</v>
      </c>
      <c r="F15" s="75">
        <f>C15/C16</f>
        <v>0.42165147443179196</v>
      </c>
      <c r="G15" s="234">
        <f>Výdaje!N119</f>
        <v>73404.285790000009</v>
      </c>
      <c r="H15" s="191">
        <f t="shared" si="0"/>
        <v>67.220360798048489</v>
      </c>
      <c r="I15" s="211">
        <f t="shared" si="1"/>
        <v>-35795.196209999995</v>
      </c>
    </row>
    <row r="16" spans="1:9" s="3" customFormat="1" x14ac:dyDescent="0.2">
      <c r="A16" s="197"/>
      <c r="B16" s="10" t="s">
        <v>14</v>
      </c>
      <c r="C16" s="11">
        <f>SUM(C14:C15)</f>
        <v>216558</v>
      </c>
      <c r="D16" s="83">
        <f>SUM(D14:D15)</f>
        <v>28868.049270000003</v>
      </c>
      <c r="E16" s="206">
        <f>SUM(E14:E15)</f>
        <v>245426.04927000002</v>
      </c>
      <c r="F16" s="76">
        <v>1</v>
      </c>
      <c r="G16" s="119">
        <f>SUM(G14:G15)</f>
        <v>198350.08903000003</v>
      </c>
      <c r="H16" s="192">
        <f t="shared" si="0"/>
        <v>80.818678220986058</v>
      </c>
      <c r="I16" s="212">
        <f t="shared" si="1"/>
        <v>-47075.960239999986</v>
      </c>
    </row>
    <row r="17" spans="1:9" x14ac:dyDescent="0.2">
      <c r="A17" s="196"/>
      <c r="B17" s="93"/>
      <c r="C17" s="9"/>
      <c r="D17" s="84"/>
      <c r="E17" s="205"/>
      <c r="F17" s="77"/>
      <c r="G17" s="118"/>
      <c r="H17" s="192"/>
      <c r="I17" s="147"/>
    </row>
    <row r="18" spans="1:9" s="3" customFormat="1" x14ac:dyDescent="0.2">
      <c r="A18" s="197"/>
      <c r="B18" s="10" t="s">
        <v>15</v>
      </c>
      <c r="C18" s="11">
        <f>C13-C16</f>
        <v>-72079</v>
      </c>
      <c r="D18" s="11">
        <f>D13-D16</f>
        <v>0</v>
      </c>
      <c r="E18" s="206">
        <f>E13-E16</f>
        <v>-72079.000000000029</v>
      </c>
      <c r="F18" s="78"/>
      <c r="G18" s="119">
        <f>G13-G16</f>
        <v>-14963.214730000065</v>
      </c>
      <c r="H18" s="191">
        <f>G18/$E18*100</f>
        <v>20.759464934308273</v>
      </c>
      <c r="I18" s="212">
        <f>G18-E18</f>
        <v>57115.785269999964</v>
      </c>
    </row>
    <row r="19" spans="1:9" x14ac:dyDescent="0.2">
      <c r="A19" s="196"/>
      <c r="B19" s="93"/>
      <c r="C19" s="9"/>
      <c r="D19" s="84"/>
      <c r="E19" s="205"/>
      <c r="F19" s="77"/>
      <c r="G19" s="118"/>
      <c r="H19" s="192"/>
      <c r="I19" s="147"/>
    </row>
    <row r="20" spans="1:9" s="3" customFormat="1" x14ac:dyDescent="0.2">
      <c r="A20" s="198" t="s">
        <v>16</v>
      </c>
      <c r="B20" s="10" t="s">
        <v>17</v>
      </c>
      <c r="C20" s="11"/>
      <c r="D20" s="85"/>
      <c r="E20" s="206"/>
      <c r="F20" s="78"/>
      <c r="G20" s="119"/>
      <c r="H20" s="192"/>
      <c r="I20" s="147"/>
    </row>
    <row r="21" spans="1:9" x14ac:dyDescent="0.2">
      <c r="A21" s="196">
        <v>8124</v>
      </c>
      <c r="B21" s="93" t="s">
        <v>18</v>
      </c>
      <c r="C21" s="146">
        <v>0</v>
      </c>
      <c r="D21" s="148"/>
      <c r="E21" s="205">
        <f>SUM(C21:D21)</f>
        <v>0</v>
      </c>
      <c r="F21" s="77"/>
      <c r="G21" s="9"/>
      <c r="H21" s="191"/>
      <c r="I21" s="241"/>
    </row>
    <row r="22" spans="1:9" x14ac:dyDescent="0.2">
      <c r="A22" s="199" t="s">
        <v>134</v>
      </c>
      <c r="B22" s="93" t="s">
        <v>125</v>
      </c>
      <c r="C22" s="146"/>
      <c r="D22" s="14"/>
      <c r="E22" s="205">
        <f>SUM(C22:D22)</f>
        <v>0</v>
      </c>
      <c r="F22" s="77"/>
      <c r="G22" s="118"/>
      <c r="H22" s="191"/>
      <c r="I22" s="235"/>
    </row>
    <row r="23" spans="1:9" x14ac:dyDescent="0.2">
      <c r="A23" s="196">
        <v>8123</v>
      </c>
      <c r="B23" s="93" t="s">
        <v>349</v>
      </c>
      <c r="C23" s="14"/>
      <c r="D23" s="14"/>
      <c r="E23" s="205">
        <f>SUM(C23:D23)</f>
        <v>0</v>
      </c>
      <c r="F23" s="77"/>
      <c r="G23" s="41"/>
      <c r="H23" s="191"/>
      <c r="I23" s="147"/>
    </row>
    <row r="24" spans="1:9" x14ac:dyDescent="0.2">
      <c r="A24" s="196">
        <v>8115</v>
      </c>
      <c r="B24" s="93"/>
      <c r="C24" s="15"/>
      <c r="D24" s="14">
        <f>2700.6848-2700.6848</f>
        <v>0</v>
      </c>
      <c r="E24" s="205">
        <f>SUM(C24:D24)</f>
        <v>0</v>
      </c>
      <c r="F24" s="77"/>
      <c r="G24" s="41"/>
      <c r="H24" s="191"/>
      <c r="I24" s="147"/>
    </row>
    <row r="25" spans="1:9" x14ac:dyDescent="0.2">
      <c r="A25" s="196">
        <v>8115</v>
      </c>
      <c r="B25" s="93" t="s">
        <v>370</v>
      </c>
      <c r="C25" s="146">
        <v>72079</v>
      </c>
      <c r="D25" s="14"/>
      <c r="E25" s="205">
        <f>SUM(C25:D25)</f>
        <v>72079</v>
      </c>
      <c r="F25" s="77"/>
      <c r="G25" s="118">
        <v>72079</v>
      </c>
      <c r="H25" s="191">
        <f>G25/$E25*100</f>
        <v>100</v>
      </c>
      <c r="I25" s="147"/>
    </row>
    <row r="26" spans="1:9" x14ac:dyDescent="0.2">
      <c r="A26" s="196"/>
      <c r="B26" s="93"/>
      <c r="C26" s="9"/>
      <c r="D26" s="148"/>
      <c r="E26" s="205"/>
      <c r="F26" s="77"/>
      <c r="G26" s="118"/>
      <c r="H26" s="192"/>
      <c r="I26" s="147"/>
    </row>
    <row r="27" spans="1:9" x14ac:dyDescent="0.2">
      <c r="A27" s="196">
        <v>8115</v>
      </c>
      <c r="B27" s="10" t="s">
        <v>133</v>
      </c>
      <c r="C27" s="83">
        <f>-C21-C23+C29-C25-C22</f>
        <v>0</v>
      </c>
      <c r="D27" s="83">
        <f>-D21-D23+D29-D25-D22</f>
        <v>0</v>
      </c>
      <c r="E27" s="83">
        <f>-E21-E23+E29-E25-E22</f>
        <v>2.9103830456733704E-11</v>
      </c>
      <c r="F27" s="77"/>
      <c r="G27" s="83">
        <f>-G21-G23+G29-G25-G22</f>
        <v>-57115.785269999935</v>
      </c>
      <c r="H27" s="192"/>
      <c r="I27" s="147"/>
    </row>
    <row r="28" spans="1:9" s="3" customFormat="1" x14ac:dyDescent="0.2">
      <c r="A28" s="197"/>
      <c r="B28" s="93"/>
      <c r="C28" s="11"/>
      <c r="D28" s="16"/>
      <c r="E28" s="207"/>
      <c r="F28" s="79"/>
      <c r="G28" s="119"/>
      <c r="H28" s="192"/>
      <c r="I28" s="147"/>
    </row>
    <row r="29" spans="1:9" ht="13.5" thickBot="1" x14ac:dyDescent="0.25">
      <c r="A29" s="200"/>
      <c r="B29" s="123" t="s">
        <v>19</v>
      </c>
      <c r="C29" s="73">
        <f>-C18</f>
        <v>72079</v>
      </c>
      <c r="D29" s="160">
        <f>-D18</f>
        <v>0</v>
      </c>
      <c r="E29" s="208">
        <f>-E18</f>
        <v>72079.000000000029</v>
      </c>
      <c r="F29" s="80"/>
      <c r="G29" s="120">
        <f>-G18</f>
        <v>14963.214730000065</v>
      </c>
      <c r="H29" s="193"/>
      <c r="I29" s="151"/>
    </row>
    <row r="30" spans="1:9" x14ac:dyDescent="0.2">
      <c r="C30" s="17"/>
      <c r="E30" s="60"/>
      <c r="F30" s="18"/>
      <c r="G30" s="18"/>
      <c r="H30" s="18"/>
    </row>
    <row r="31" spans="1:9" x14ac:dyDescent="0.2">
      <c r="B31" s="418"/>
      <c r="C31" s="61"/>
      <c r="D31" s="213"/>
      <c r="E31" s="213"/>
      <c r="F31" s="213"/>
      <c r="G31" s="213"/>
      <c r="H31" s="213"/>
      <c r="I31" s="213"/>
    </row>
    <row r="32" spans="1:9" x14ac:dyDescent="0.2">
      <c r="B32" s="359"/>
      <c r="C32" s="358"/>
      <c r="D32" s="438"/>
    </row>
    <row r="33" spans="2:9" x14ac:dyDescent="0.2">
      <c r="B33" s="359"/>
      <c r="C33" s="360"/>
      <c r="D33" s="108"/>
      <c r="E33" s="311"/>
      <c r="F33" s="311"/>
      <c r="G33" s="108"/>
      <c r="H33" s="311"/>
      <c r="I33" s="108"/>
    </row>
    <row r="34" spans="2:9" x14ac:dyDescent="0.2">
      <c r="B34" s="382"/>
      <c r="C34" s="188"/>
      <c r="D34" s="188"/>
      <c r="E34" s="382"/>
      <c r="F34" s="188"/>
      <c r="G34" s="188"/>
      <c r="H34" s="188"/>
      <c r="I34" s="188"/>
    </row>
    <row r="35" spans="2:9" x14ac:dyDescent="0.2">
      <c r="B35" s="139"/>
      <c r="C35" s="304"/>
      <c r="D35" s="108"/>
      <c r="E35" s="305"/>
      <c r="F35" s="305"/>
      <c r="G35" s="108"/>
      <c r="H35" s="305"/>
      <c r="I35" s="108"/>
    </row>
    <row r="36" spans="2:9" x14ac:dyDescent="0.2">
      <c r="B36" s="139"/>
      <c r="C36" s="306"/>
      <c r="D36" s="108"/>
      <c r="E36" s="307"/>
      <c r="F36" s="308"/>
      <c r="G36" s="108"/>
      <c r="H36" s="108"/>
      <c r="I36" s="108"/>
    </row>
    <row r="37" spans="2:9" x14ac:dyDescent="0.2">
      <c r="B37" s="330"/>
      <c r="C37" s="331"/>
      <c r="D37" s="329"/>
      <c r="E37" s="332"/>
      <c r="F37" s="333"/>
      <c r="G37" s="108"/>
      <c r="H37" s="108"/>
      <c r="I37" s="108"/>
    </row>
    <row r="38" spans="2:9" x14ac:dyDescent="0.2">
      <c r="B38" s="330"/>
      <c r="C38" s="334"/>
      <c r="D38" s="335"/>
      <c r="E38" s="336"/>
      <c r="F38" s="335"/>
      <c r="G38" s="108"/>
      <c r="H38" s="108"/>
      <c r="I38" s="108"/>
    </row>
    <row r="39" spans="2:9" x14ac:dyDescent="0.2">
      <c r="B39" s="330"/>
      <c r="C39" s="337"/>
      <c r="D39" s="337"/>
      <c r="E39" s="337"/>
      <c r="F39" s="337"/>
      <c r="G39" s="108"/>
      <c r="H39" s="108"/>
      <c r="I39" s="108"/>
    </row>
    <row r="40" spans="2:9" x14ac:dyDescent="0.2">
      <c r="B40" s="139"/>
      <c r="C40" s="306"/>
      <c r="D40" s="108"/>
      <c r="E40" s="140"/>
      <c r="F40" s="337"/>
      <c r="G40" s="108"/>
      <c r="H40" s="108"/>
      <c r="I40" s="108"/>
    </row>
    <row r="41" spans="2:9" x14ac:dyDescent="0.2">
      <c r="B41" s="139"/>
      <c r="C41" s="306"/>
      <c r="D41" s="108"/>
      <c r="E41" s="140"/>
      <c r="F41" s="337"/>
      <c r="G41" s="108"/>
      <c r="H41" s="108"/>
      <c r="I41" s="108"/>
    </row>
    <row r="42" spans="2:9" x14ac:dyDescent="0.2">
      <c r="B42" s="338"/>
      <c r="C42" s="306"/>
      <c r="D42" s="108"/>
      <c r="E42" s="140"/>
      <c r="F42" s="337"/>
      <c r="G42" s="108"/>
      <c r="H42" s="108"/>
      <c r="I42" s="108"/>
    </row>
    <row r="43" spans="2:9" ht="15" customHeight="1" x14ac:dyDescent="0.2">
      <c r="B43" s="338"/>
      <c r="C43" s="306"/>
      <c r="D43" s="108"/>
      <c r="E43" s="140"/>
      <c r="F43" s="337"/>
      <c r="G43" s="108"/>
      <c r="H43" s="108"/>
      <c r="I43" s="108"/>
    </row>
    <row r="44" spans="2:9" x14ac:dyDescent="0.2">
      <c r="B44" s="338"/>
      <c r="C44" s="306"/>
      <c r="D44" s="108"/>
      <c r="E44" s="140"/>
      <c r="F44" s="337"/>
      <c r="G44" s="108"/>
      <c r="H44" s="108"/>
      <c r="I44" s="108"/>
    </row>
    <row r="45" spans="2:9" x14ac:dyDescent="0.2">
      <c r="B45" s="338"/>
      <c r="C45" s="306"/>
      <c r="D45" s="108"/>
      <c r="E45" s="140"/>
      <c r="F45" s="337"/>
      <c r="G45" s="108"/>
      <c r="H45" s="108"/>
      <c r="I45" s="108"/>
    </row>
    <row r="46" spans="2:9" x14ac:dyDescent="0.2">
      <c r="B46" s="338"/>
      <c r="C46" s="306"/>
      <c r="D46" s="108"/>
      <c r="E46" s="140"/>
      <c r="F46" s="337"/>
      <c r="G46" s="108"/>
      <c r="H46" s="108"/>
      <c r="I46" s="108"/>
    </row>
    <row r="47" spans="2:9" x14ac:dyDescent="0.2">
      <c r="B47" s="338"/>
      <c r="C47" s="306"/>
      <c r="D47" s="108"/>
      <c r="E47" s="140"/>
      <c r="F47" s="337"/>
      <c r="G47" s="108"/>
      <c r="H47" s="108"/>
      <c r="I47" s="108"/>
    </row>
    <row r="48" spans="2:9" x14ac:dyDescent="0.2">
      <c r="B48" s="338"/>
      <c r="C48" s="306"/>
      <c r="D48" s="108"/>
      <c r="E48" s="140"/>
      <c r="F48" s="337"/>
      <c r="G48" s="108"/>
      <c r="H48" s="108"/>
      <c r="I48" s="108"/>
    </row>
    <row r="49" spans="2:9" x14ac:dyDescent="0.2">
      <c r="B49" s="338"/>
      <c r="C49" s="306"/>
      <c r="D49" s="108"/>
      <c r="E49" s="140"/>
      <c r="F49" s="337"/>
      <c r="G49" s="108"/>
      <c r="H49" s="108"/>
      <c r="I49" s="108"/>
    </row>
    <row r="50" spans="2:9" x14ac:dyDescent="0.2">
      <c r="B50" s="338"/>
      <c r="C50" s="306"/>
      <c r="D50" s="108"/>
      <c r="E50" s="140"/>
      <c r="F50" s="337"/>
      <c r="G50" s="108"/>
      <c r="H50" s="108"/>
      <c r="I50" s="108"/>
    </row>
    <row r="51" spans="2:9" x14ac:dyDescent="0.2">
      <c r="B51" s="339"/>
      <c r="C51" s="306"/>
      <c r="D51" s="108"/>
      <c r="E51" s="140"/>
      <c r="F51" s="337"/>
      <c r="G51" s="108"/>
      <c r="H51" s="108"/>
      <c r="I51" s="108"/>
    </row>
    <row r="52" spans="2:9" x14ac:dyDescent="0.2">
      <c r="B52" s="339"/>
      <c r="C52" s="306"/>
      <c r="D52" s="108"/>
      <c r="E52" s="140"/>
      <c r="F52" s="337"/>
      <c r="G52" s="108"/>
      <c r="H52" s="108"/>
      <c r="I52" s="108"/>
    </row>
    <row r="53" spans="2:9" x14ac:dyDescent="0.2">
      <c r="B53" s="338"/>
      <c r="C53" s="306"/>
      <c r="D53" s="108"/>
      <c r="E53" s="140"/>
      <c r="F53" s="337"/>
      <c r="G53" s="108"/>
      <c r="H53" s="108"/>
      <c r="I53" s="108"/>
    </row>
    <row r="54" spans="2:9" x14ac:dyDescent="0.2">
      <c r="B54" s="338"/>
      <c r="C54" s="306"/>
      <c r="D54" s="108"/>
      <c r="E54" s="140"/>
      <c r="F54" s="337"/>
      <c r="G54" s="108"/>
      <c r="H54" s="108"/>
      <c r="I54" s="108"/>
    </row>
    <row r="55" spans="2:9" x14ac:dyDescent="0.2">
      <c r="B55" s="338"/>
      <c r="C55" s="306"/>
      <c r="D55" s="108"/>
      <c r="E55" s="140"/>
      <c r="F55" s="337"/>
      <c r="G55" s="108"/>
      <c r="H55" s="108"/>
      <c r="I55" s="108"/>
    </row>
    <row r="56" spans="2:9" x14ac:dyDescent="0.2">
      <c r="B56" s="338"/>
      <c r="C56" s="306"/>
      <c r="D56" s="108"/>
      <c r="E56" s="140"/>
      <c r="F56" s="337"/>
      <c r="G56" s="108"/>
      <c r="H56" s="108"/>
      <c r="I56" s="108"/>
    </row>
    <row r="57" spans="2:9" x14ac:dyDescent="0.2">
      <c r="B57" s="338"/>
      <c r="C57" s="306"/>
      <c r="D57" s="108"/>
      <c r="E57" s="140"/>
      <c r="F57" s="337"/>
      <c r="G57" s="108"/>
      <c r="H57" s="108"/>
      <c r="I57" s="108"/>
    </row>
    <row r="58" spans="2:9" x14ac:dyDescent="0.2">
      <c r="B58" s="338"/>
      <c r="C58" s="306"/>
      <c r="D58" s="108"/>
      <c r="E58" s="140"/>
      <c r="F58" s="337"/>
      <c r="G58" s="108"/>
      <c r="H58" s="108"/>
      <c r="I58" s="108"/>
    </row>
    <row r="59" spans="2:9" x14ac:dyDescent="0.2">
      <c r="B59" s="338"/>
      <c r="C59" s="306"/>
      <c r="D59" s="108"/>
      <c r="E59" s="140"/>
      <c r="F59" s="337"/>
      <c r="G59" s="108"/>
      <c r="H59" s="108"/>
      <c r="I59" s="108"/>
    </row>
    <row r="60" spans="2:9" x14ac:dyDescent="0.2">
      <c r="B60" s="338"/>
      <c r="C60" s="306"/>
      <c r="D60" s="108"/>
      <c r="E60" s="140"/>
      <c r="F60" s="337"/>
      <c r="G60" s="108"/>
      <c r="H60" s="108"/>
      <c r="I60" s="108"/>
    </row>
    <row r="61" spans="2:9" x14ac:dyDescent="0.2">
      <c r="B61" s="338"/>
      <c r="C61" s="306"/>
      <c r="D61" s="108"/>
      <c r="E61" s="140"/>
      <c r="F61" s="337"/>
      <c r="G61" s="108"/>
      <c r="H61" s="108"/>
      <c r="I61" s="108"/>
    </row>
    <row r="62" spans="2:9" x14ac:dyDescent="0.2">
      <c r="B62" s="338"/>
      <c r="C62" s="306"/>
      <c r="D62" s="108"/>
      <c r="E62" s="140"/>
      <c r="F62" s="337"/>
      <c r="G62" s="108"/>
      <c r="H62" s="108"/>
      <c r="I62" s="108"/>
    </row>
    <row r="63" spans="2:9" x14ac:dyDescent="0.2">
      <c r="B63" s="338"/>
      <c r="C63" s="306"/>
      <c r="D63" s="108"/>
      <c r="E63" s="140"/>
      <c r="F63" s="337"/>
      <c r="G63" s="108"/>
      <c r="H63" s="108"/>
      <c r="I63" s="108"/>
    </row>
    <row r="64" spans="2:9" x14ac:dyDescent="0.2">
      <c r="B64" s="339"/>
      <c r="C64" s="306"/>
      <c r="D64" s="108"/>
      <c r="E64" s="140"/>
      <c r="F64" s="337"/>
      <c r="G64" s="108"/>
      <c r="H64" s="108"/>
      <c r="I64" s="108"/>
    </row>
    <row r="65" spans="2:9" x14ac:dyDescent="0.2">
      <c r="B65" s="339"/>
      <c r="C65" s="306"/>
      <c r="D65" s="108"/>
      <c r="E65" s="140"/>
      <c r="F65" s="337"/>
      <c r="G65" s="108"/>
      <c r="H65" s="108"/>
      <c r="I65" s="108"/>
    </row>
    <row r="66" spans="2:9" x14ac:dyDescent="0.2">
      <c r="B66" s="339"/>
      <c r="C66" s="306"/>
      <c r="D66" s="108"/>
      <c r="E66" s="140"/>
      <c r="F66" s="337"/>
      <c r="G66" s="108"/>
      <c r="H66" s="108"/>
      <c r="I66" s="108"/>
    </row>
    <row r="67" spans="2:9" x14ac:dyDescent="0.2">
      <c r="B67" s="339"/>
      <c r="C67" s="306"/>
      <c r="D67" s="108"/>
      <c r="E67" s="140"/>
      <c r="F67" s="337"/>
      <c r="G67" s="108"/>
      <c r="H67" s="108"/>
      <c r="I67" s="108"/>
    </row>
    <row r="68" spans="2:9" x14ac:dyDescent="0.2">
      <c r="B68" s="339"/>
      <c r="C68" s="306"/>
      <c r="D68" s="108"/>
      <c r="E68" s="140"/>
      <c r="F68" s="337"/>
      <c r="G68" s="108"/>
      <c r="H68" s="108"/>
      <c r="I68" s="108"/>
    </row>
    <row r="69" spans="2:9" x14ac:dyDescent="0.2">
      <c r="B69" s="339"/>
      <c r="C69" s="306"/>
      <c r="D69" s="108"/>
      <c r="E69" s="140"/>
      <c r="F69" s="337"/>
      <c r="G69" s="108"/>
      <c r="H69" s="108"/>
      <c r="I69" s="108"/>
    </row>
    <row r="70" spans="2:9" x14ac:dyDescent="0.2">
      <c r="B70" s="339"/>
      <c r="C70" s="306"/>
      <c r="D70" s="108"/>
      <c r="E70" s="140"/>
      <c r="F70" s="337"/>
      <c r="G70" s="108"/>
      <c r="H70" s="108"/>
      <c r="I70" s="108"/>
    </row>
    <row r="71" spans="2:9" x14ac:dyDescent="0.2">
      <c r="B71" s="339"/>
      <c r="C71" s="306"/>
      <c r="D71" s="108"/>
      <c r="E71" s="140"/>
      <c r="F71" s="337"/>
      <c r="G71" s="108"/>
      <c r="H71" s="108"/>
      <c r="I71" s="108"/>
    </row>
    <row r="72" spans="2:9" x14ac:dyDescent="0.2">
      <c r="B72" s="339"/>
      <c r="C72" s="306"/>
      <c r="D72" s="108"/>
      <c r="E72" s="140"/>
      <c r="F72" s="337"/>
      <c r="G72" s="108"/>
      <c r="H72" s="108"/>
      <c r="I72" s="108"/>
    </row>
    <row r="73" spans="2:9" x14ac:dyDescent="0.2">
      <c r="B73" s="339"/>
      <c r="C73" s="306"/>
      <c r="D73" s="108"/>
      <c r="E73" s="140"/>
      <c r="F73" s="337"/>
      <c r="G73" s="108"/>
      <c r="H73" s="108"/>
      <c r="I73" s="108"/>
    </row>
    <row r="74" spans="2:9" x14ac:dyDescent="0.2">
      <c r="B74" s="108"/>
      <c r="C74" s="306"/>
      <c r="D74" s="108"/>
      <c r="E74" s="140"/>
      <c r="F74" s="306"/>
      <c r="G74" s="108"/>
      <c r="H74" s="108"/>
      <c r="I74" s="108"/>
    </row>
  </sheetData>
  <phoneticPr fontId="6" type="noConversion"/>
  <pageMargins left="0.73" right="0.64" top="0.23622047244094491" bottom="0" header="0.23622047244094491" footer="0.66"/>
  <pageSetup paperSize="9" scale="95" orientation="landscape" verticalDpi="300" r:id="rId1"/>
  <headerFooter alignWithMargins="0">
    <oddHeader>&amp;R&amp;P. strana</oddHeader>
    <oddFooter>&amp;LV Jilemnici 4.6.2018&amp;RIng. Miroslava Kynčlová
vedoucí finančního odboru</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dimension ref="A1:L156"/>
  <sheetViews>
    <sheetView zoomScaleNormal="100" workbookViewId="0">
      <pane xSplit="5" ySplit="3" topLeftCell="F88" activePane="bottomRight" state="frozen"/>
      <selection pane="topRight" activeCell="F1" sqref="F1"/>
      <selection pane="bottomLeft" activeCell="A4" sqref="A4"/>
      <selection pane="bottomRight" activeCell="L101" sqref="L101"/>
    </sheetView>
  </sheetViews>
  <sheetFormatPr defaultColWidth="7.85546875" defaultRowHeight="12.75" x14ac:dyDescent="0.2"/>
  <cols>
    <col min="1" max="1" width="4" style="86" customWidth="1"/>
    <col min="2" max="2" width="4.42578125" style="86" customWidth="1"/>
    <col min="3" max="4" width="5.28515625" style="86" customWidth="1"/>
    <col min="5" max="5" width="27.85546875" style="86" customWidth="1"/>
    <col min="6" max="6" width="7.85546875" style="104" customWidth="1"/>
    <col min="7" max="7" width="7.5703125" style="104" customWidth="1"/>
    <col min="8" max="8" width="10.42578125" style="139" customWidth="1"/>
    <col min="9" max="9" width="10.42578125" style="104" customWidth="1"/>
    <col min="10" max="10" width="6.28515625" style="86" customWidth="1"/>
    <col min="11" max="11" width="7" style="162" customWidth="1"/>
    <col min="12" max="12" width="17.85546875" style="233" bestFit="1" customWidth="1"/>
    <col min="13" max="16384" width="7.85546875" style="86"/>
  </cols>
  <sheetData>
    <row r="1" spans="1:12" ht="18" x14ac:dyDescent="0.25">
      <c r="A1" s="96" t="s">
        <v>441</v>
      </c>
      <c r="B1" s="19"/>
      <c r="C1" s="97"/>
      <c r="D1" s="19"/>
      <c r="E1" s="19"/>
      <c r="F1" s="144"/>
      <c r="G1" s="144"/>
      <c r="H1" s="136"/>
      <c r="I1" s="144"/>
      <c r="J1" s="99"/>
      <c r="K1" s="98"/>
      <c r="L1" s="214"/>
    </row>
    <row r="2" spans="1:12" x14ac:dyDescent="0.2">
      <c r="A2" s="20"/>
      <c r="B2" s="20"/>
      <c r="C2" s="20"/>
      <c r="D2" s="20"/>
      <c r="E2" s="20"/>
      <c r="F2" s="158" t="s">
        <v>2</v>
      </c>
      <c r="G2" s="158" t="s">
        <v>132</v>
      </c>
      <c r="H2" s="137" t="s">
        <v>99</v>
      </c>
      <c r="I2" s="158" t="s">
        <v>5</v>
      </c>
      <c r="J2" s="21" t="s">
        <v>5</v>
      </c>
      <c r="K2" s="237" t="s">
        <v>200</v>
      </c>
      <c r="L2" s="215" t="s">
        <v>20</v>
      </c>
    </row>
    <row r="3" spans="1:12" ht="13.5" thickBot="1" x14ac:dyDescent="0.25">
      <c r="A3" s="22"/>
      <c r="B3" s="22" t="s">
        <v>21</v>
      </c>
      <c r="C3" s="23" t="s">
        <v>22</v>
      </c>
      <c r="D3" s="22" t="s">
        <v>23</v>
      </c>
      <c r="E3" s="22" t="s">
        <v>24</v>
      </c>
      <c r="F3" s="134">
        <v>2017</v>
      </c>
      <c r="G3" s="134">
        <v>2017</v>
      </c>
      <c r="H3" s="135" t="s">
        <v>94</v>
      </c>
      <c r="I3" s="371" t="s">
        <v>368</v>
      </c>
      <c r="J3" s="23" t="s">
        <v>4</v>
      </c>
      <c r="K3" s="161" t="s">
        <v>194</v>
      </c>
      <c r="L3" s="24" t="s">
        <v>106</v>
      </c>
    </row>
    <row r="4" spans="1:12" x14ac:dyDescent="0.2">
      <c r="A4" s="101" t="s">
        <v>25</v>
      </c>
      <c r="B4" s="71"/>
      <c r="C4" s="101"/>
      <c r="D4" s="71"/>
      <c r="E4" s="101" t="s">
        <v>26</v>
      </c>
      <c r="F4" s="70"/>
      <c r="G4" s="70"/>
      <c r="H4" s="138"/>
      <c r="I4" s="70"/>
      <c r="J4" s="26"/>
      <c r="K4" s="102"/>
      <c r="L4" s="95"/>
    </row>
    <row r="5" spans="1:12" x14ac:dyDescent="0.2">
      <c r="A5" s="87" t="s">
        <v>27</v>
      </c>
      <c r="B5" s="28"/>
      <c r="C5" s="87"/>
      <c r="D5" s="28"/>
      <c r="E5" s="28"/>
      <c r="F5" s="66">
        <f>SUM(F6:F13)</f>
        <v>63100</v>
      </c>
      <c r="G5" s="66">
        <f>SUM(G6:G13)</f>
        <v>0</v>
      </c>
      <c r="H5" s="66">
        <f>SUM(H6:H13)</f>
        <v>63100</v>
      </c>
      <c r="I5" s="66">
        <f>SUM(I6:I13)</f>
        <v>70010.378209999995</v>
      </c>
      <c r="J5" s="186">
        <f t="shared" ref="J5:J13" si="0">I5/$H5*100</f>
        <v>110.95147101426306</v>
      </c>
      <c r="K5" s="312">
        <f>SUM(K6:K13)</f>
        <v>6910.3782099999989</v>
      </c>
      <c r="L5" s="422"/>
    </row>
    <row r="6" spans="1:12" x14ac:dyDescent="0.2">
      <c r="A6" s="100" t="s">
        <v>28</v>
      </c>
      <c r="B6" s="25">
        <v>1111</v>
      </c>
      <c r="C6" s="100"/>
      <c r="D6" s="103"/>
      <c r="E6" s="25" t="s">
        <v>111</v>
      </c>
      <c r="F6" s="65">
        <v>14000</v>
      </c>
      <c r="G6" s="65"/>
      <c r="H6" s="65">
        <f t="shared" ref="H6:H13" si="1">SUM(F6:G6)</f>
        <v>14000</v>
      </c>
      <c r="I6" s="65">
        <v>15531.365</v>
      </c>
      <c r="J6" s="30">
        <f t="shared" si="0"/>
        <v>110.93832142857143</v>
      </c>
      <c r="K6" s="238">
        <f t="shared" ref="K6:K13" si="2">I6-H6</f>
        <v>1531.3649999999998</v>
      </c>
      <c r="L6" s="30" t="s">
        <v>116</v>
      </c>
    </row>
    <row r="7" spans="1:12" x14ac:dyDescent="0.2">
      <c r="A7" s="100"/>
      <c r="B7" s="25">
        <v>1112</v>
      </c>
      <c r="C7" s="100"/>
      <c r="D7" s="100"/>
      <c r="E7" s="25" t="s">
        <v>208</v>
      </c>
      <c r="F7" s="65">
        <v>300</v>
      </c>
      <c r="G7" s="65"/>
      <c r="H7" s="65">
        <f t="shared" si="1"/>
        <v>300</v>
      </c>
      <c r="I7" s="65">
        <v>422.91852</v>
      </c>
      <c r="J7" s="30">
        <f t="shared" si="0"/>
        <v>140.97284000000002</v>
      </c>
      <c r="K7" s="238">
        <f t="shared" si="2"/>
        <v>122.91852</v>
      </c>
      <c r="L7" s="30" t="s">
        <v>116</v>
      </c>
    </row>
    <row r="8" spans="1:12" x14ac:dyDescent="0.2">
      <c r="A8" s="100"/>
      <c r="B8" s="25">
        <v>1113</v>
      </c>
      <c r="C8" s="100"/>
      <c r="D8" s="100"/>
      <c r="E8" s="25" t="s">
        <v>113</v>
      </c>
      <c r="F8" s="65">
        <v>1400</v>
      </c>
      <c r="G8" s="65"/>
      <c r="H8" s="65">
        <f t="shared" si="1"/>
        <v>1400</v>
      </c>
      <c r="I8" s="65">
        <v>1474.28802</v>
      </c>
      <c r="J8" s="30">
        <f t="shared" si="0"/>
        <v>105.30628714285714</v>
      </c>
      <c r="K8" s="238">
        <f t="shared" si="2"/>
        <v>74.28801999999996</v>
      </c>
      <c r="L8" s="30" t="s">
        <v>116</v>
      </c>
    </row>
    <row r="9" spans="1:12" x14ac:dyDescent="0.2">
      <c r="A9" s="100"/>
      <c r="B9" s="25">
        <v>1121</v>
      </c>
      <c r="C9" s="100"/>
      <c r="D9" s="100"/>
      <c r="E9" s="25" t="s">
        <v>114</v>
      </c>
      <c r="F9" s="65">
        <v>14200</v>
      </c>
      <c r="G9" s="65"/>
      <c r="H9" s="65">
        <f t="shared" si="1"/>
        <v>14200</v>
      </c>
      <c r="I9" s="65">
        <v>15696.43498</v>
      </c>
      <c r="J9" s="30">
        <f t="shared" si="0"/>
        <v>110.53827450704226</v>
      </c>
      <c r="K9" s="238">
        <f t="shared" si="2"/>
        <v>1496.43498</v>
      </c>
      <c r="L9" s="30" t="s">
        <v>116</v>
      </c>
    </row>
    <row r="10" spans="1:12" x14ac:dyDescent="0.2">
      <c r="A10" s="100"/>
      <c r="B10" s="25">
        <v>1211</v>
      </c>
      <c r="C10" s="100"/>
      <c r="D10" s="100"/>
      <c r="E10" s="25" t="s">
        <v>112</v>
      </c>
      <c r="F10" s="65">
        <v>28500</v>
      </c>
      <c r="G10" s="65"/>
      <c r="H10" s="65">
        <f t="shared" si="1"/>
        <v>28500</v>
      </c>
      <c r="I10" s="65">
        <v>31835.764299999999</v>
      </c>
      <c r="J10" s="30">
        <f t="shared" si="0"/>
        <v>111.70443614035088</v>
      </c>
      <c r="K10" s="238">
        <f t="shared" si="2"/>
        <v>3335.7642999999989</v>
      </c>
      <c r="L10" s="30" t="s">
        <v>116</v>
      </c>
    </row>
    <row r="11" spans="1:12" x14ac:dyDescent="0.2">
      <c r="A11" s="100"/>
      <c r="B11" s="25">
        <v>1111</v>
      </c>
      <c r="C11" s="100"/>
      <c r="D11" s="25">
        <v>2</v>
      </c>
      <c r="E11" s="25" t="s">
        <v>124</v>
      </c>
      <c r="F11" s="65">
        <v>1600</v>
      </c>
      <c r="G11" s="65"/>
      <c r="H11" s="65">
        <f>SUM(F11:G11)</f>
        <v>1600</v>
      </c>
      <c r="I11" s="65">
        <v>1865.7965300000001</v>
      </c>
      <c r="J11" s="30">
        <f t="shared" si="0"/>
        <v>116.612283125</v>
      </c>
      <c r="K11" s="238">
        <f t="shared" si="2"/>
        <v>265.79653000000008</v>
      </c>
      <c r="L11" s="216"/>
    </row>
    <row r="12" spans="1:12" x14ac:dyDescent="0.2">
      <c r="A12" s="100"/>
      <c r="B12" s="25">
        <v>1112</v>
      </c>
      <c r="C12" s="100"/>
      <c r="D12" s="25">
        <v>2</v>
      </c>
      <c r="E12" s="25" t="s">
        <v>207</v>
      </c>
      <c r="F12" s="65">
        <v>0</v>
      </c>
      <c r="G12" s="65"/>
      <c r="H12" s="65">
        <f>SUM(F12:G12)</f>
        <v>0</v>
      </c>
      <c r="I12" s="65">
        <v>85.670860000000005</v>
      </c>
      <c r="J12" s="30"/>
      <c r="K12" s="238">
        <f t="shared" si="2"/>
        <v>85.670860000000005</v>
      </c>
      <c r="L12" s="413" t="s">
        <v>359</v>
      </c>
    </row>
    <row r="13" spans="1:12" x14ac:dyDescent="0.2">
      <c r="A13" s="100"/>
      <c r="B13" s="25">
        <v>1122</v>
      </c>
      <c r="C13" s="100"/>
      <c r="D13" s="100"/>
      <c r="E13" s="25" t="s">
        <v>115</v>
      </c>
      <c r="F13" s="65">
        <v>3100</v>
      </c>
      <c r="G13" s="65"/>
      <c r="H13" s="65">
        <f t="shared" si="1"/>
        <v>3100</v>
      </c>
      <c r="I13" s="65">
        <v>3098.14</v>
      </c>
      <c r="J13" s="30">
        <f t="shared" si="0"/>
        <v>99.94</v>
      </c>
      <c r="K13" s="238">
        <f t="shared" si="2"/>
        <v>-1.8600000000001273</v>
      </c>
      <c r="L13" s="103" t="s">
        <v>162</v>
      </c>
    </row>
    <row r="14" spans="1:12" x14ac:dyDescent="0.2">
      <c r="A14" s="87" t="s">
        <v>29</v>
      </c>
      <c r="B14" s="28"/>
      <c r="C14" s="87"/>
      <c r="D14" s="28"/>
      <c r="E14" s="28"/>
      <c r="F14" s="66"/>
      <c r="G14" s="66"/>
      <c r="H14" s="66"/>
      <c r="I14" s="66"/>
      <c r="J14" s="30"/>
      <c r="K14" s="239"/>
      <c r="L14" s="324"/>
    </row>
    <row r="15" spans="1:12" x14ac:dyDescent="0.2">
      <c r="A15" s="100"/>
      <c r="B15" s="100"/>
      <c r="C15" s="100"/>
      <c r="D15" s="100"/>
      <c r="E15" s="28" t="s">
        <v>155</v>
      </c>
      <c r="F15" s="66">
        <f>SUM(F16:F26)</f>
        <v>5055</v>
      </c>
      <c r="G15" s="66">
        <f>SUM(G16:G26)</f>
        <v>0</v>
      </c>
      <c r="H15" s="66">
        <f>SUM(H16:H26)</f>
        <v>5055</v>
      </c>
      <c r="I15" s="66">
        <f>SUM(I16:I26)</f>
        <v>5214.6900000000005</v>
      </c>
      <c r="J15" s="186">
        <f t="shared" ref="J15:J27" si="3">I15/$H15*100</f>
        <v>103.15905044510387</v>
      </c>
      <c r="K15" s="312">
        <f>SUM(K16:K26)</f>
        <v>159.69000000000005</v>
      </c>
      <c r="L15" s="324"/>
    </row>
    <row r="16" spans="1:12" x14ac:dyDescent="0.2">
      <c r="A16" s="100"/>
      <c r="B16" s="25">
        <v>1361</v>
      </c>
      <c r="D16" s="103" t="s">
        <v>142</v>
      </c>
      <c r="E16" s="25" t="s">
        <v>30</v>
      </c>
      <c r="F16" s="65">
        <v>180</v>
      </c>
      <c r="G16" s="65"/>
      <c r="H16" s="65">
        <f t="shared" ref="H16:H24" si="4">SUM(F16:G16)</f>
        <v>180</v>
      </c>
      <c r="I16" s="65">
        <f>10.95+99.97+4+90</f>
        <v>204.92000000000002</v>
      </c>
      <c r="J16" s="30">
        <f t="shared" si="3"/>
        <v>113.84444444444446</v>
      </c>
      <c r="K16" s="238">
        <f t="shared" ref="K16:K26" si="5">I16-H16</f>
        <v>24.920000000000016</v>
      </c>
      <c r="L16" s="217"/>
    </row>
    <row r="17" spans="1:12" x14ac:dyDescent="0.2">
      <c r="A17" s="100"/>
      <c r="B17" s="25">
        <v>1361</v>
      </c>
      <c r="C17" s="100"/>
      <c r="D17" s="25">
        <v>7</v>
      </c>
      <c r="E17" s="25" t="s">
        <v>174</v>
      </c>
      <c r="F17" s="65">
        <f>1100+100</f>
        <v>1200</v>
      </c>
      <c r="G17" s="65"/>
      <c r="H17" s="65">
        <f t="shared" si="4"/>
        <v>1200</v>
      </c>
      <c r="I17" s="65">
        <v>1251.9649999999999</v>
      </c>
      <c r="J17" s="30">
        <f t="shared" si="3"/>
        <v>104.33041666666666</v>
      </c>
      <c r="K17" s="238">
        <f t="shared" si="5"/>
        <v>51.964999999999918</v>
      </c>
      <c r="L17" s="217"/>
    </row>
    <row r="18" spans="1:12" x14ac:dyDescent="0.2">
      <c r="A18" s="100"/>
      <c r="B18" s="25">
        <v>1361</v>
      </c>
      <c r="C18" s="100"/>
      <c r="D18" s="25">
        <v>10.23</v>
      </c>
      <c r="E18" s="105" t="s">
        <v>176</v>
      </c>
      <c r="F18" s="65">
        <f>55+30</f>
        <v>85</v>
      </c>
      <c r="G18" s="65"/>
      <c r="H18" s="65">
        <f t="shared" si="4"/>
        <v>85</v>
      </c>
      <c r="I18" s="65">
        <f>42.625+0.4+77.77</f>
        <v>120.79499999999999</v>
      </c>
      <c r="J18" s="30">
        <f t="shared" si="3"/>
        <v>142.11176470588234</v>
      </c>
      <c r="K18" s="238">
        <f t="shared" si="5"/>
        <v>35.794999999999987</v>
      </c>
      <c r="L18" s="217"/>
    </row>
    <row r="19" spans="1:12" x14ac:dyDescent="0.2">
      <c r="A19" s="100"/>
      <c r="B19" s="25">
        <v>1361</v>
      </c>
      <c r="C19" s="100"/>
      <c r="D19" s="25">
        <v>11</v>
      </c>
      <c r="E19" s="25" t="s">
        <v>31</v>
      </c>
      <c r="F19" s="65">
        <v>230</v>
      </c>
      <c r="G19" s="65"/>
      <c r="H19" s="65">
        <f t="shared" si="4"/>
        <v>230</v>
      </c>
      <c r="I19" s="65">
        <v>157.24</v>
      </c>
      <c r="J19" s="30">
        <f t="shared" si="3"/>
        <v>68.365217391304355</v>
      </c>
      <c r="K19" s="238">
        <f t="shared" si="5"/>
        <v>-72.759999999999991</v>
      </c>
      <c r="L19" s="217"/>
    </row>
    <row r="20" spans="1:12" x14ac:dyDescent="0.2">
      <c r="A20" s="100"/>
      <c r="B20" s="25">
        <v>1361</v>
      </c>
      <c r="C20" s="100"/>
      <c r="D20" s="25">
        <v>24</v>
      </c>
      <c r="E20" s="25" t="s">
        <v>177</v>
      </c>
      <c r="F20" s="65">
        <v>30</v>
      </c>
      <c r="G20" s="65"/>
      <c r="H20" s="65">
        <f t="shared" si="4"/>
        <v>30</v>
      </c>
      <c r="I20" s="65">
        <v>26.5</v>
      </c>
      <c r="J20" s="30">
        <f t="shared" si="3"/>
        <v>88.333333333333329</v>
      </c>
      <c r="K20" s="238">
        <f t="shared" si="5"/>
        <v>-3.5</v>
      </c>
      <c r="L20" s="217"/>
    </row>
    <row r="21" spans="1:12" x14ac:dyDescent="0.2">
      <c r="A21" s="100"/>
      <c r="B21" s="25">
        <v>1361</v>
      </c>
      <c r="C21" s="100"/>
      <c r="D21" s="25">
        <v>26</v>
      </c>
      <c r="E21" s="25" t="s">
        <v>178</v>
      </c>
      <c r="F21" s="65">
        <v>2200</v>
      </c>
      <c r="G21" s="65"/>
      <c r="H21" s="65">
        <f t="shared" si="4"/>
        <v>2200</v>
      </c>
      <c r="I21" s="65">
        <v>2258.61</v>
      </c>
      <c r="J21" s="30">
        <f t="shared" si="3"/>
        <v>102.66409090909092</v>
      </c>
      <c r="K21" s="238">
        <f t="shared" si="5"/>
        <v>58.610000000000127</v>
      </c>
      <c r="L21" s="217"/>
    </row>
    <row r="22" spans="1:12" x14ac:dyDescent="0.2">
      <c r="A22" s="100"/>
      <c r="B22" s="25">
        <v>1353</v>
      </c>
      <c r="C22" s="100"/>
      <c r="D22" s="25">
        <v>26</v>
      </c>
      <c r="E22" s="25" t="s">
        <v>206</v>
      </c>
      <c r="F22" s="65">
        <v>400</v>
      </c>
      <c r="G22" s="65"/>
      <c r="H22" s="65">
        <f t="shared" si="4"/>
        <v>400</v>
      </c>
      <c r="I22" s="65">
        <v>362</v>
      </c>
      <c r="J22" s="30">
        <f t="shared" si="3"/>
        <v>90.5</v>
      </c>
      <c r="K22" s="238">
        <f t="shared" si="5"/>
        <v>-38</v>
      </c>
      <c r="L22" s="217"/>
    </row>
    <row r="23" spans="1:12" x14ac:dyDescent="0.2">
      <c r="A23" s="100"/>
      <c r="B23" s="25">
        <v>1361</v>
      </c>
      <c r="C23" s="100"/>
      <c r="D23" s="25">
        <v>32.33</v>
      </c>
      <c r="E23" s="25" t="s">
        <v>138</v>
      </c>
      <c r="F23" s="65">
        <f>600+40</f>
        <v>640</v>
      </c>
      <c r="G23" s="65"/>
      <c r="H23" s="65">
        <f t="shared" si="4"/>
        <v>640</v>
      </c>
      <c r="I23" s="65">
        <f>742.1+43.05</f>
        <v>785.15</v>
      </c>
      <c r="J23" s="30">
        <f t="shared" si="3"/>
        <v>122.6796875</v>
      </c>
      <c r="K23" s="238">
        <f t="shared" si="5"/>
        <v>145.14999999999998</v>
      </c>
      <c r="L23" s="217"/>
    </row>
    <row r="24" spans="1:12" x14ac:dyDescent="0.2">
      <c r="A24" s="100"/>
      <c r="B24" s="25">
        <v>1361</v>
      </c>
      <c r="C24" s="100"/>
      <c r="D24" s="25">
        <v>35</v>
      </c>
      <c r="E24" s="25" t="s">
        <v>245</v>
      </c>
      <c r="F24" s="65">
        <v>75</v>
      </c>
      <c r="G24" s="65"/>
      <c r="H24" s="65">
        <f t="shared" si="4"/>
        <v>75</v>
      </c>
      <c r="I24" s="65">
        <v>46.68</v>
      </c>
      <c r="J24" s="30">
        <f t="shared" si="3"/>
        <v>62.239999999999995</v>
      </c>
      <c r="K24" s="238">
        <f t="shared" si="5"/>
        <v>-28.32</v>
      </c>
      <c r="L24" s="217"/>
    </row>
    <row r="25" spans="1:12" x14ac:dyDescent="0.2">
      <c r="A25" s="100"/>
      <c r="B25" s="25">
        <v>1361</v>
      </c>
      <c r="C25" s="100"/>
      <c r="D25" s="25">
        <v>40</v>
      </c>
      <c r="E25" s="25" t="s">
        <v>32</v>
      </c>
      <c r="F25" s="65">
        <v>15</v>
      </c>
      <c r="G25" s="65"/>
      <c r="H25" s="65">
        <f>SUM(F25:G25)</f>
        <v>15</v>
      </c>
      <c r="I25" s="65">
        <v>0</v>
      </c>
      <c r="J25" s="30">
        <f t="shared" si="3"/>
        <v>0</v>
      </c>
      <c r="K25" s="238">
        <f t="shared" si="5"/>
        <v>-15</v>
      </c>
      <c r="L25" s="217"/>
    </row>
    <row r="26" spans="1:12" x14ac:dyDescent="0.2">
      <c r="A26" s="100"/>
      <c r="B26" s="25">
        <v>1361</v>
      </c>
      <c r="C26" s="100"/>
      <c r="D26" s="103" t="s">
        <v>205</v>
      </c>
      <c r="E26" s="25" t="s">
        <v>102</v>
      </c>
      <c r="F26" s="65"/>
      <c r="G26" s="65"/>
      <c r="H26" s="65">
        <f>SUM(F26:G26)</f>
        <v>0</v>
      </c>
      <c r="I26" s="65">
        <v>0.83</v>
      </c>
      <c r="J26" s="30"/>
      <c r="K26" s="238">
        <f t="shared" si="5"/>
        <v>0.83</v>
      </c>
      <c r="L26" s="217"/>
    </row>
    <row r="27" spans="1:12" x14ac:dyDescent="0.2">
      <c r="A27" s="100"/>
      <c r="B27" s="100"/>
      <c r="C27" s="100"/>
      <c r="D27" s="100"/>
      <c r="E27" s="28" t="s">
        <v>278</v>
      </c>
      <c r="F27" s="66">
        <f>SUM(F28:F29)</f>
        <v>4500</v>
      </c>
      <c r="G27" s="66">
        <f>SUM(G28:G29)</f>
        <v>0</v>
      </c>
      <c r="H27" s="66">
        <f>SUM(H28:H29)</f>
        <v>4500</v>
      </c>
      <c r="I27" s="66">
        <f>SUM(I28:I29)</f>
        <v>6176.8668200000002</v>
      </c>
      <c r="J27" s="186">
        <f t="shared" si="3"/>
        <v>137.2637071111111</v>
      </c>
      <c r="K27" s="312">
        <f>SUM(K28:K29)</f>
        <v>1676.8668200000004</v>
      </c>
      <c r="L27" s="103"/>
    </row>
    <row r="28" spans="1:12" x14ac:dyDescent="0.2">
      <c r="A28" s="100"/>
      <c r="B28" s="25">
        <v>1332.1333999999999</v>
      </c>
      <c r="C28" s="100"/>
      <c r="D28" s="25">
        <v>23.12</v>
      </c>
      <c r="E28" s="25" t="s">
        <v>110</v>
      </c>
      <c r="F28" s="65"/>
      <c r="G28" s="65"/>
      <c r="H28" s="65">
        <f>SUM(F28:G28)</f>
        <v>0</v>
      </c>
      <c r="I28" s="65">
        <f>0.673+120</f>
        <v>120.673</v>
      </c>
      <c r="J28" s="30"/>
      <c r="K28" s="238">
        <f t="shared" ref="K28:K35" si="6">I28-H28</f>
        <v>120.673</v>
      </c>
      <c r="L28" s="217"/>
    </row>
    <row r="29" spans="1:12" x14ac:dyDescent="0.2">
      <c r="A29" s="100"/>
      <c r="B29" s="25" t="s">
        <v>383</v>
      </c>
      <c r="C29" s="100"/>
      <c r="D29" s="25">
        <v>401</v>
      </c>
      <c r="E29" s="25" t="s">
        <v>141</v>
      </c>
      <c r="F29" s="65">
        <v>4500</v>
      </c>
      <c r="G29" s="65"/>
      <c r="H29" s="65">
        <f>SUM(F29:G29)</f>
        <v>4500</v>
      </c>
      <c r="I29" s="65">
        <f>4590.56123+98.71504+1366.91755</f>
        <v>6056.1938200000004</v>
      </c>
      <c r="J29" s="30">
        <f t="shared" ref="J29:J37" si="7">I29/$H29*100</f>
        <v>134.58208488888889</v>
      </c>
      <c r="K29" s="439">
        <f t="shared" si="6"/>
        <v>1556.1938200000004</v>
      </c>
      <c r="L29" s="217"/>
    </row>
    <row r="30" spans="1:12" x14ac:dyDescent="0.2">
      <c r="A30" s="100"/>
      <c r="B30" s="100"/>
      <c r="C30" s="100"/>
      <c r="D30" s="100"/>
      <c r="E30" s="28" t="s">
        <v>156</v>
      </c>
      <c r="F30" s="66">
        <f>SUM(F31:F35)</f>
        <v>3379</v>
      </c>
      <c r="G30" s="66">
        <f>SUM(G31:G35)</f>
        <v>0</v>
      </c>
      <c r="H30" s="66">
        <f>SUM(H31:H35)</f>
        <v>3379</v>
      </c>
      <c r="I30" s="66">
        <f>SUM(I31:I35)</f>
        <v>3555.6924700000004</v>
      </c>
      <c r="J30" s="186">
        <f t="shared" si="7"/>
        <v>105.22913495116899</v>
      </c>
      <c r="K30" s="312">
        <f t="shared" si="6"/>
        <v>176.69247000000041</v>
      </c>
      <c r="L30" s="324"/>
    </row>
    <row r="31" spans="1:12" x14ac:dyDescent="0.2">
      <c r="A31" s="100"/>
      <c r="B31" s="25">
        <v>1340</v>
      </c>
      <c r="C31" s="100"/>
      <c r="D31" s="25">
        <v>240</v>
      </c>
      <c r="E31" s="25" t="s">
        <v>104</v>
      </c>
      <c r="F31" s="65">
        <v>3074</v>
      </c>
      <c r="G31" s="65"/>
      <c r="H31" s="65">
        <f>SUM(F31:G31)</f>
        <v>3074</v>
      </c>
      <c r="I31" s="65">
        <v>3248.9944700000001</v>
      </c>
      <c r="J31" s="30">
        <f t="shared" si="7"/>
        <v>105.69272836694861</v>
      </c>
      <c r="K31" s="238">
        <f t="shared" si="6"/>
        <v>174.99447000000009</v>
      </c>
      <c r="L31" s="103" t="s">
        <v>284</v>
      </c>
    </row>
    <row r="32" spans="1:12" x14ac:dyDescent="0.2">
      <c r="A32" s="100"/>
      <c r="B32" s="25">
        <v>1341</v>
      </c>
      <c r="C32" s="100"/>
      <c r="D32" s="25">
        <v>5</v>
      </c>
      <c r="E32" s="25" t="s">
        <v>107</v>
      </c>
      <c r="F32" s="65">
        <v>135</v>
      </c>
      <c r="G32" s="65"/>
      <c r="H32" s="65">
        <f>SUM(F32:G32)</f>
        <v>135</v>
      </c>
      <c r="I32" s="65">
        <v>139.822</v>
      </c>
      <c r="J32" s="30">
        <f t="shared" si="7"/>
        <v>103.57185185185185</v>
      </c>
      <c r="K32" s="238">
        <f t="shared" si="6"/>
        <v>4.8220000000000027</v>
      </c>
      <c r="L32" s="103"/>
    </row>
    <row r="33" spans="1:12" x14ac:dyDescent="0.2">
      <c r="A33" s="100"/>
      <c r="B33" s="25">
        <v>1343</v>
      </c>
      <c r="C33" s="100"/>
      <c r="D33" s="25">
        <v>30</v>
      </c>
      <c r="E33" s="25" t="s">
        <v>108</v>
      </c>
      <c r="F33" s="65">
        <v>85</v>
      </c>
      <c r="G33" s="65"/>
      <c r="H33" s="65">
        <f>SUM(F33:G33)</f>
        <v>85</v>
      </c>
      <c r="I33" s="65">
        <v>109.881</v>
      </c>
      <c r="J33" s="30">
        <f t="shared" si="7"/>
        <v>129.27176470588236</v>
      </c>
      <c r="K33" s="238">
        <f t="shared" si="6"/>
        <v>24.881</v>
      </c>
      <c r="L33" s="103"/>
    </row>
    <row r="34" spans="1:12" x14ac:dyDescent="0.2">
      <c r="A34" s="100"/>
      <c r="B34" s="25">
        <v>1344</v>
      </c>
      <c r="C34" s="100"/>
      <c r="D34" s="25">
        <v>31</v>
      </c>
      <c r="E34" s="25" t="s">
        <v>109</v>
      </c>
      <c r="F34" s="65">
        <v>30</v>
      </c>
      <c r="G34" s="65"/>
      <c r="H34" s="65">
        <f>SUM(F34:G34)</f>
        <v>30</v>
      </c>
      <c r="I34" s="65">
        <v>1.05</v>
      </c>
      <c r="J34" s="30">
        <f t="shared" si="7"/>
        <v>3.5000000000000004</v>
      </c>
      <c r="K34" s="238">
        <f t="shared" si="6"/>
        <v>-28.95</v>
      </c>
      <c r="L34" s="103" t="s">
        <v>414</v>
      </c>
    </row>
    <row r="35" spans="1:12" ht="13.5" customHeight="1" x14ac:dyDescent="0.2">
      <c r="A35" s="100"/>
      <c r="B35" s="25">
        <v>1345</v>
      </c>
      <c r="C35" s="100"/>
      <c r="D35" s="25">
        <v>28</v>
      </c>
      <c r="E35" s="25" t="s">
        <v>362</v>
      </c>
      <c r="F35" s="65">
        <v>55</v>
      </c>
      <c r="G35" s="65"/>
      <c r="H35" s="65">
        <f>SUM(F35:G35)</f>
        <v>55</v>
      </c>
      <c r="I35" s="65">
        <f>51.945+4</f>
        <v>55.945</v>
      </c>
      <c r="J35" s="30">
        <f t="shared" si="7"/>
        <v>101.71818181818182</v>
      </c>
      <c r="K35" s="238">
        <f t="shared" si="6"/>
        <v>0.94500000000000028</v>
      </c>
      <c r="L35" s="103"/>
    </row>
    <row r="36" spans="1:12" x14ac:dyDescent="0.2">
      <c r="A36" s="87" t="s">
        <v>33</v>
      </c>
      <c r="B36" s="28"/>
      <c r="C36" s="87"/>
      <c r="D36" s="28"/>
      <c r="E36" s="28"/>
      <c r="F36" s="66">
        <f>SUM(F37)</f>
        <v>4000</v>
      </c>
      <c r="G36" s="66">
        <f>SUM(G37)</f>
        <v>0</v>
      </c>
      <c r="H36" s="66">
        <f>SUM(H37:H37)</f>
        <v>4000</v>
      </c>
      <c r="I36" s="66">
        <f>SUM(I37)</f>
        <v>4014.3407099999999</v>
      </c>
      <c r="J36" s="186">
        <f t="shared" si="7"/>
        <v>100.35851775</v>
      </c>
      <c r="K36" s="312">
        <f>SUM(K37:K37)</f>
        <v>14.340709999999945</v>
      </c>
      <c r="L36" s="218"/>
    </row>
    <row r="37" spans="1:12" ht="13.5" thickBot="1" x14ac:dyDescent="0.25">
      <c r="A37" s="100"/>
      <c r="B37" s="25">
        <v>1511</v>
      </c>
      <c r="C37" s="100" t="s">
        <v>34</v>
      </c>
      <c r="D37" s="100"/>
      <c r="E37" s="25" t="s">
        <v>185</v>
      </c>
      <c r="F37" s="65">
        <v>4000</v>
      </c>
      <c r="G37" s="65"/>
      <c r="H37" s="65">
        <f>SUM(F37:G37)</f>
        <v>4000</v>
      </c>
      <c r="I37" s="65">
        <v>4014.3407099999999</v>
      </c>
      <c r="J37" s="30">
        <f t="shared" si="7"/>
        <v>100.35851775</v>
      </c>
      <c r="K37" s="238">
        <f>I37-H37</f>
        <v>14.340709999999945</v>
      </c>
      <c r="L37" s="103"/>
    </row>
    <row r="38" spans="1:12" ht="18" customHeight="1" thickBot="1" x14ac:dyDescent="0.3">
      <c r="A38" s="106" t="s">
        <v>35</v>
      </c>
      <c r="B38" s="107"/>
      <c r="C38" s="106"/>
      <c r="D38" s="107"/>
      <c r="E38" s="106"/>
      <c r="F38" s="67">
        <f t="shared" ref="F38:K38" si="8">SUM(F5+F15+F27+F30+F36)</f>
        <v>80034</v>
      </c>
      <c r="G38" s="67">
        <f t="shared" si="8"/>
        <v>0</v>
      </c>
      <c r="H38" s="67">
        <f t="shared" si="8"/>
        <v>80034</v>
      </c>
      <c r="I38" s="67">
        <f t="shared" si="8"/>
        <v>88971.968209999992</v>
      </c>
      <c r="J38" s="67">
        <f t="shared" si="8"/>
        <v>556.96188127164703</v>
      </c>
      <c r="K38" s="316">
        <f t="shared" si="8"/>
        <v>8937.9682100000009</v>
      </c>
      <c r="L38" s="67"/>
    </row>
    <row r="39" spans="1:12" x14ac:dyDescent="0.2">
      <c r="A39" s="101"/>
      <c r="B39" s="71"/>
      <c r="C39" s="101"/>
      <c r="D39" s="71"/>
      <c r="E39" s="101" t="s">
        <v>36</v>
      </c>
      <c r="F39" s="70"/>
      <c r="G39" s="70"/>
      <c r="H39" s="70"/>
      <c r="I39" s="70"/>
      <c r="J39" s="33"/>
      <c r="K39" s="317"/>
      <c r="L39" s="219"/>
    </row>
    <row r="40" spans="1:12" x14ac:dyDescent="0.2">
      <c r="A40" s="87" t="s">
        <v>37</v>
      </c>
      <c r="B40" s="28"/>
      <c r="C40" s="87"/>
      <c r="D40" s="28"/>
      <c r="E40" s="28"/>
      <c r="F40" s="66"/>
      <c r="G40" s="66"/>
      <c r="H40" s="66"/>
      <c r="I40" s="66"/>
      <c r="J40" s="30"/>
      <c r="K40" s="318"/>
      <c r="L40" s="218"/>
    </row>
    <row r="41" spans="1:12" x14ac:dyDescent="0.2">
      <c r="A41" s="100"/>
      <c r="B41" s="28"/>
      <c r="C41" s="100"/>
      <c r="D41" s="28"/>
      <c r="E41" s="28" t="s">
        <v>154</v>
      </c>
      <c r="F41" s="66">
        <f>SUM(F42:F58)</f>
        <v>10014</v>
      </c>
      <c r="G41" s="66">
        <f>SUM(G42:G58)</f>
        <v>-58.37700000000001</v>
      </c>
      <c r="H41" s="66">
        <f>SUM(H42:H58)</f>
        <v>9955.6229999999996</v>
      </c>
      <c r="I41" s="66">
        <f>SUM(I42:I58)</f>
        <v>10365.618409999999</v>
      </c>
      <c r="J41" s="186">
        <f t="shared" ref="J41:J57" si="9">I41/$H41*100</f>
        <v>104.11822956735104</v>
      </c>
      <c r="K41" s="312">
        <f>SUM(K42:K58)</f>
        <v>409.99541000000022</v>
      </c>
      <c r="L41" s="103"/>
    </row>
    <row r="42" spans="1:12" x14ac:dyDescent="0.2">
      <c r="A42" s="100"/>
      <c r="B42" s="25">
        <v>2111</v>
      </c>
      <c r="C42" s="100">
        <v>1031</v>
      </c>
      <c r="D42" s="25">
        <v>201</v>
      </c>
      <c r="E42" s="25" t="s">
        <v>95</v>
      </c>
      <c r="F42" s="65">
        <v>400</v>
      </c>
      <c r="G42" s="65">
        <v>43.323</v>
      </c>
      <c r="H42" s="65">
        <f t="shared" ref="H42:H58" si="10">SUM(F42:G42)</f>
        <v>443.32299999999998</v>
      </c>
      <c r="I42" s="65">
        <f>1114.4339+43.323</f>
        <v>1157.7569000000001</v>
      </c>
      <c r="J42" s="30">
        <f t="shared" si="9"/>
        <v>261.15425998651102</v>
      </c>
      <c r="K42" s="238">
        <f t="shared" ref="K42:K58" si="11">I42-H42</f>
        <v>714.43390000000011</v>
      </c>
      <c r="L42" s="103"/>
    </row>
    <row r="43" spans="1:12" x14ac:dyDescent="0.2">
      <c r="A43" s="100"/>
      <c r="B43" s="25">
        <v>2111</v>
      </c>
      <c r="C43" s="100">
        <v>2219</v>
      </c>
      <c r="D43" s="25">
        <v>43</v>
      </c>
      <c r="E43" s="25" t="s">
        <v>181</v>
      </c>
      <c r="F43" s="65">
        <v>1050</v>
      </c>
      <c r="G43" s="65"/>
      <c r="H43" s="65">
        <f t="shared" si="10"/>
        <v>1050</v>
      </c>
      <c r="I43" s="65">
        <v>1055.713</v>
      </c>
      <c r="J43" s="30">
        <f t="shared" si="9"/>
        <v>100.54409523809524</v>
      </c>
      <c r="K43" s="238">
        <f t="shared" si="11"/>
        <v>5.7129999999999654</v>
      </c>
      <c r="L43" s="103"/>
    </row>
    <row r="44" spans="1:12" x14ac:dyDescent="0.2">
      <c r="A44" s="100"/>
      <c r="B44" s="25">
        <v>2111</v>
      </c>
      <c r="C44" s="100">
        <v>3314</v>
      </c>
      <c r="D44" s="25">
        <v>504</v>
      </c>
      <c r="E44" s="25" t="s">
        <v>180</v>
      </c>
      <c r="F44" s="65">
        <v>96</v>
      </c>
      <c r="G44" s="65"/>
      <c r="H44" s="65">
        <f t="shared" si="10"/>
        <v>96</v>
      </c>
      <c r="I44" s="65">
        <v>92.53</v>
      </c>
      <c r="J44" s="30">
        <f t="shared" si="9"/>
        <v>96.385416666666671</v>
      </c>
      <c r="K44" s="238">
        <f t="shared" si="11"/>
        <v>-3.4699999999999989</v>
      </c>
      <c r="L44" s="103"/>
    </row>
    <row r="45" spans="1:12" x14ac:dyDescent="0.2">
      <c r="A45" s="100"/>
      <c r="B45" s="25">
        <v>2111</v>
      </c>
      <c r="C45" s="370" t="s">
        <v>304</v>
      </c>
      <c r="D45" s="25">
        <v>41</v>
      </c>
      <c r="E45" s="25" t="s">
        <v>41</v>
      </c>
      <c r="F45" s="65">
        <v>80</v>
      </c>
      <c r="G45" s="65"/>
      <c r="H45" s="65">
        <f t="shared" si="10"/>
        <v>80</v>
      </c>
      <c r="I45" s="65">
        <v>73.709999999999994</v>
      </c>
      <c r="J45" s="30">
        <f t="shared" si="9"/>
        <v>92.137499999999989</v>
      </c>
      <c r="K45" s="238">
        <f t="shared" si="11"/>
        <v>-6.2900000000000063</v>
      </c>
      <c r="L45" s="103"/>
    </row>
    <row r="46" spans="1:12" x14ac:dyDescent="0.2">
      <c r="A46" s="100"/>
      <c r="B46" s="25">
        <v>2111</v>
      </c>
      <c r="C46" s="100">
        <v>3349</v>
      </c>
      <c r="D46" s="25">
        <v>42</v>
      </c>
      <c r="E46" s="452" t="s">
        <v>38</v>
      </c>
      <c r="F46" s="65">
        <v>99</v>
      </c>
      <c r="G46" s="65"/>
      <c r="H46" s="65">
        <f t="shared" si="10"/>
        <v>99</v>
      </c>
      <c r="I46" s="65">
        <v>89.896000000000001</v>
      </c>
      <c r="J46" s="30">
        <f t="shared" si="9"/>
        <v>90.804040404040407</v>
      </c>
      <c r="K46" s="238">
        <f t="shared" si="11"/>
        <v>-9.1039999999999992</v>
      </c>
      <c r="L46" s="103"/>
    </row>
    <row r="47" spans="1:12" x14ac:dyDescent="0.2">
      <c r="A47" s="100"/>
      <c r="B47" s="25">
        <v>2111</v>
      </c>
      <c r="C47" s="100">
        <v>3612</v>
      </c>
      <c r="D47" s="25" t="s">
        <v>323</v>
      </c>
      <c r="E47" s="452" t="s">
        <v>186</v>
      </c>
      <c r="F47" s="65">
        <v>3650</v>
      </c>
      <c r="G47" s="65"/>
      <c r="H47" s="65">
        <f t="shared" si="10"/>
        <v>3650</v>
      </c>
      <c r="I47" s="65">
        <v>3050.8092000000001</v>
      </c>
      <c r="J47" s="30">
        <f t="shared" si="9"/>
        <v>83.583813698630138</v>
      </c>
      <c r="K47" s="238">
        <f t="shared" si="11"/>
        <v>-599.19079999999985</v>
      </c>
      <c r="L47" s="103"/>
    </row>
    <row r="48" spans="1:12" x14ac:dyDescent="0.2">
      <c r="A48" s="100"/>
      <c r="B48" s="25">
        <v>2111</v>
      </c>
      <c r="C48" s="100">
        <v>3613</v>
      </c>
      <c r="D48" s="25">
        <v>703</v>
      </c>
      <c r="E48" s="452" t="s">
        <v>187</v>
      </c>
      <c r="F48" s="65">
        <v>331</v>
      </c>
      <c r="G48" s="65"/>
      <c r="H48" s="65">
        <f t="shared" si="10"/>
        <v>331</v>
      </c>
      <c r="I48" s="65">
        <v>290.63499999999999</v>
      </c>
      <c r="J48" s="30">
        <f t="shared" si="9"/>
        <v>87.805135951661626</v>
      </c>
      <c r="K48" s="238">
        <f t="shared" si="11"/>
        <v>-40.365000000000009</v>
      </c>
      <c r="L48" s="220"/>
    </row>
    <row r="49" spans="1:12" x14ac:dyDescent="0.2">
      <c r="A49" s="100"/>
      <c r="B49" s="25">
        <v>2111</v>
      </c>
      <c r="C49" s="100">
        <v>3632</v>
      </c>
      <c r="D49" s="25">
        <v>238</v>
      </c>
      <c r="E49" s="452" t="s">
        <v>39</v>
      </c>
      <c r="F49" s="65">
        <v>280</v>
      </c>
      <c r="G49" s="65"/>
      <c r="H49" s="65">
        <f t="shared" si="10"/>
        <v>280</v>
      </c>
      <c r="I49" s="65">
        <f>249.646+45.101</f>
        <v>294.74699999999996</v>
      </c>
      <c r="J49" s="30">
        <f t="shared" si="9"/>
        <v>105.26678571428569</v>
      </c>
      <c r="K49" s="238">
        <f t="shared" si="11"/>
        <v>14.746999999999957</v>
      </c>
      <c r="L49" s="103"/>
    </row>
    <row r="50" spans="1:12" x14ac:dyDescent="0.2">
      <c r="A50" s="100"/>
      <c r="B50" s="25">
        <v>2111</v>
      </c>
      <c r="C50" s="100">
        <v>3639</v>
      </c>
      <c r="D50" s="25">
        <v>21.318999999999999</v>
      </c>
      <c r="E50" s="452" t="s">
        <v>279</v>
      </c>
      <c r="F50" s="65">
        <f>60+12</f>
        <v>72</v>
      </c>
      <c r="G50" s="65"/>
      <c r="H50" s="65">
        <f t="shared" si="10"/>
        <v>72</v>
      </c>
      <c r="I50" s="65">
        <f>24.85661+37.977</f>
        <v>62.833609999999993</v>
      </c>
      <c r="J50" s="30">
        <f t="shared" si="9"/>
        <v>87.268902777777768</v>
      </c>
      <c r="K50" s="238">
        <f t="shared" si="11"/>
        <v>-9.1663900000000069</v>
      </c>
      <c r="L50" s="103"/>
    </row>
    <row r="51" spans="1:12" x14ac:dyDescent="0.2">
      <c r="A51" s="100"/>
      <c r="B51" s="25">
        <v>2111.2323999999999</v>
      </c>
      <c r="C51" s="100">
        <v>3639</v>
      </c>
      <c r="D51" s="25">
        <v>239</v>
      </c>
      <c r="E51" s="452" t="s">
        <v>153</v>
      </c>
      <c r="F51" s="65">
        <v>48</v>
      </c>
      <c r="G51" s="65"/>
      <c r="H51" s="65">
        <f t="shared" si="10"/>
        <v>48</v>
      </c>
      <c r="I51" s="65">
        <v>80.650000000000006</v>
      </c>
      <c r="J51" s="30">
        <f t="shared" si="9"/>
        <v>168.02083333333334</v>
      </c>
      <c r="K51" s="238">
        <f t="shared" si="11"/>
        <v>32.650000000000006</v>
      </c>
      <c r="L51" s="103"/>
    </row>
    <row r="52" spans="1:12" x14ac:dyDescent="0.2">
      <c r="A52" s="100"/>
      <c r="B52" s="25">
        <v>2111</v>
      </c>
      <c r="C52" s="100">
        <v>3639</v>
      </c>
      <c r="D52" s="25">
        <v>243</v>
      </c>
      <c r="E52" s="452" t="s">
        <v>93</v>
      </c>
      <c r="F52" s="65">
        <v>45</v>
      </c>
      <c r="G52" s="65"/>
      <c r="H52" s="65">
        <f t="shared" si="10"/>
        <v>45</v>
      </c>
      <c r="I52" s="65">
        <v>47.67</v>
      </c>
      <c r="J52" s="30">
        <f t="shared" si="9"/>
        <v>105.93333333333335</v>
      </c>
      <c r="K52" s="238">
        <f t="shared" si="11"/>
        <v>2.6700000000000017</v>
      </c>
      <c r="L52" s="103"/>
    </row>
    <row r="53" spans="1:12" x14ac:dyDescent="0.2">
      <c r="A53" s="100"/>
      <c r="B53" s="25">
        <v>2111</v>
      </c>
      <c r="C53" s="100">
        <v>4351</v>
      </c>
      <c r="D53" s="25">
        <v>227</v>
      </c>
      <c r="E53" s="452" t="s">
        <v>151</v>
      </c>
      <c r="F53" s="65">
        <f>700+100</f>
        <v>800</v>
      </c>
      <c r="G53" s="65">
        <v>55</v>
      </c>
      <c r="H53" s="65">
        <f t="shared" si="10"/>
        <v>855</v>
      </c>
      <c r="I53" s="65">
        <f>828.09188+100+113.018</f>
        <v>1041.10988</v>
      </c>
      <c r="J53" s="30">
        <f t="shared" si="9"/>
        <v>121.76723742690059</v>
      </c>
      <c r="K53" s="238">
        <f t="shared" si="11"/>
        <v>186.10987999999998</v>
      </c>
      <c r="L53" s="105"/>
    </row>
    <row r="54" spans="1:12" x14ac:dyDescent="0.2">
      <c r="A54" s="100"/>
      <c r="B54" s="25">
        <v>2111</v>
      </c>
      <c r="C54" s="100">
        <v>6171</v>
      </c>
      <c r="D54" s="25">
        <v>911</v>
      </c>
      <c r="E54" s="452" t="s">
        <v>188</v>
      </c>
      <c r="F54" s="65">
        <f>70+30</f>
        <v>100</v>
      </c>
      <c r="G54" s="65"/>
      <c r="H54" s="65">
        <f t="shared" si="10"/>
        <v>100</v>
      </c>
      <c r="I54" s="65">
        <f>80+0.1+1.52+29.64+1.604+4.4+6.152+2+3.01</f>
        <v>128.42599999999999</v>
      </c>
      <c r="J54" s="30">
        <f t="shared" si="9"/>
        <v>128.42599999999999</v>
      </c>
      <c r="K54" s="238">
        <f t="shared" si="11"/>
        <v>28.425999999999988</v>
      </c>
      <c r="L54" s="103"/>
    </row>
    <row r="55" spans="1:12" x14ac:dyDescent="0.2">
      <c r="A55" s="100"/>
      <c r="B55" s="25">
        <v>2119</v>
      </c>
      <c r="C55" s="100">
        <v>2121</v>
      </c>
      <c r="D55" s="25">
        <v>20</v>
      </c>
      <c r="E55" s="452" t="s">
        <v>246</v>
      </c>
      <c r="F55" s="65">
        <v>30</v>
      </c>
      <c r="G55" s="65"/>
      <c r="H55" s="65">
        <f t="shared" si="10"/>
        <v>30</v>
      </c>
      <c r="I55" s="65">
        <v>17.847999999999999</v>
      </c>
      <c r="J55" s="30">
        <f t="shared" si="9"/>
        <v>59.493333333333332</v>
      </c>
      <c r="K55" s="238">
        <f t="shared" si="11"/>
        <v>-12.152000000000001</v>
      </c>
      <c r="L55" s="103"/>
    </row>
    <row r="56" spans="1:12" x14ac:dyDescent="0.2">
      <c r="A56" s="100"/>
      <c r="B56" s="25">
        <v>2122</v>
      </c>
      <c r="C56" s="100"/>
      <c r="D56" s="25"/>
      <c r="E56" s="452" t="s">
        <v>262</v>
      </c>
      <c r="F56" s="65">
        <v>2203</v>
      </c>
      <c r="G56" s="65">
        <f>74-622</f>
        <v>-548</v>
      </c>
      <c r="H56" s="65">
        <f t="shared" si="10"/>
        <v>1655</v>
      </c>
      <c r="I56" s="65">
        <f>222.581+412.119+362.754+2.482+654.52</f>
        <v>1654.4560000000001</v>
      </c>
      <c r="J56" s="411">
        <f t="shared" si="9"/>
        <v>99.967129909365568</v>
      </c>
      <c r="K56" s="238">
        <f t="shared" si="11"/>
        <v>-0.54399999999986903</v>
      </c>
      <c r="L56" s="121"/>
    </row>
    <row r="57" spans="1:12" x14ac:dyDescent="0.2">
      <c r="A57" s="100"/>
      <c r="B57" s="25">
        <v>2129</v>
      </c>
      <c r="C57" s="100">
        <v>3522</v>
      </c>
      <c r="D57" s="25">
        <v>233</v>
      </c>
      <c r="E57" s="452" t="s">
        <v>384</v>
      </c>
      <c r="F57" s="65"/>
      <c r="G57" s="65">
        <v>391.3</v>
      </c>
      <c r="H57" s="65">
        <f t="shared" si="10"/>
        <v>391.3</v>
      </c>
      <c r="I57" s="65">
        <f>0.01282+391.3</f>
        <v>391.31281999999999</v>
      </c>
      <c r="J57" s="411">
        <f t="shared" si="9"/>
        <v>100.00327625862508</v>
      </c>
      <c r="K57" s="238">
        <f t="shared" si="11"/>
        <v>1.2819999999976517E-2</v>
      </c>
      <c r="L57" s="121"/>
    </row>
    <row r="58" spans="1:12" x14ac:dyDescent="0.2">
      <c r="A58" s="100"/>
      <c r="B58" s="25">
        <v>2324</v>
      </c>
      <c r="C58" s="100">
        <v>3725</v>
      </c>
      <c r="D58" s="25">
        <v>240</v>
      </c>
      <c r="E58" s="452" t="s">
        <v>122</v>
      </c>
      <c r="F58" s="65">
        <f>680+50</f>
        <v>730</v>
      </c>
      <c r="G58" s="65"/>
      <c r="H58" s="65">
        <f t="shared" si="10"/>
        <v>730</v>
      </c>
      <c r="I58" s="65">
        <f>70.53+764.985</f>
        <v>835.51499999999999</v>
      </c>
      <c r="J58" s="30">
        <f>I58/$H58*100</f>
        <v>114.4541095890411</v>
      </c>
      <c r="K58" s="238">
        <f t="shared" si="11"/>
        <v>105.51499999999999</v>
      </c>
      <c r="L58" s="324"/>
    </row>
    <row r="59" spans="1:12" ht="15" customHeight="1" x14ac:dyDescent="0.2">
      <c r="A59" s="100"/>
      <c r="B59" s="100"/>
      <c r="C59" s="100"/>
      <c r="D59" s="100"/>
      <c r="E59" s="28" t="s">
        <v>42</v>
      </c>
      <c r="F59" s="66">
        <f>SUM(F60:F68)</f>
        <v>13711</v>
      </c>
      <c r="G59" s="66">
        <f>SUM(G60:G68)</f>
        <v>0</v>
      </c>
      <c r="H59" s="66">
        <f>SUM(H60:H68)</f>
        <v>13711</v>
      </c>
      <c r="I59" s="66">
        <f>SUM(I60:I68)</f>
        <v>13797.692569999997</v>
      </c>
      <c r="J59" s="186">
        <f t="shared" ref="J59:J81" si="12">I59/$H59*100</f>
        <v>100.63228480781852</v>
      </c>
      <c r="K59" s="312">
        <f>SUM(K60:K68)</f>
        <v>86.692569999999336</v>
      </c>
      <c r="L59" s="103"/>
    </row>
    <row r="60" spans="1:12" x14ac:dyDescent="0.2">
      <c r="A60" s="100"/>
      <c r="B60" s="25">
        <v>2131</v>
      </c>
      <c r="C60" s="100">
        <v>1012</v>
      </c>
      <c r="D60" s="25">
        <v>38</v>
      </c>
      <c r="E60" s="25" t="s">
        <v>198</v>
      </c>
      <c r="F60" s="65">
        <f>234+150</f>
        <v>384</v>
      </c>
      <c r="G60" s="65"/>
      <c r="H60" s="65">
        <f t="shared" ref="H60:H68" si="13">SUM(F60:G60)</f>
        <v>384</v>
      </c>
      <c r="I60" s="65">
        <v>446.16620999999998</v>
      </c>
      <c r="J60" s="30">
        <f t="shared" si="12"/>
        <v>116.1891171875</v>
      </c>
      <c r="K60" s="238">
        <f t="shared" ref="K60:K68" si="14">I60-H60</f>
        <v>62.166209999999978</v>
      </c>
      <c r="L60" s="103"/>
    </row>
    <row r="61" spans="1:12" x14ac:dyDescent="0.2">
      <c r="A61" s="100"/>
      <c r="B61" s="25">
        <v>2132</v>
      </c>
      <c r="C61" s="100">
        <v>2121</v>
      </c>
      <c r="D61" s="25">
        <v>237</v>
      </c>
      <c r="E61" s="25" t="s">
        <v>199</v>
      </c>
      <c r="F61" s="65">
        <f>1350+60</f>
        <v>1410</v>
      </c>
      <c r="G61" s="65"/>
      <c r="H61" s="65">
        <f t="shared" si="13"/>
        <v>1410</v>
      </c>
      <c r="I61" s="65">
        <f>45.17905+1396.63828</f>
        <v>1441.8173299999999</v>
      </c>
      <c r="J61" s="30">
        <f t="shared" ref="J61:J68" si="15">I61/$H61*100</f>
        <v>102.25654822695034</v>
      </c>
      <c r="K61" s="238">
        <f t="shared" si="14"/>
        <v>31.817329999999856</v>
      </c>
      <c r="L61" s="221"/>
    </row>
    <row r="62" spans="1:12" x14ac:dyDescent="0.2">
      <c r="A62" s="100"/>
      <c r="B62" s="25">
        <v>2132</v>
      </c>
      <c r="C62" s="100">
        <v>3612</v>
      </c>
      <c r="D62" s="25" t="s">
        <v>311</v>
      </c>
      <c r="E62" s="25" t="s">
        <v>150</v>
      </c>
      <c r="F62" s="65">
        <v>7848</v>
      </c>
      <c r="G62" s="65"/>
      <c r="H62" s="65">
        <f t="shared" si="13"/>
        <v>7848</v>
      </c>
      <c r="I62" s="65">
        <f>7797.9078+47.431</f>
        <v>7845.3387999999995</v>
      </c>
      <c r="J62" s="30">
        <f t="shared" si="15"/>
        <v>99.966090723751265</v>
      </c>
      <c r="K62" s="238">
        <f t="shared" si="14"/>
        <v>-2.6612000000004628</v>
      </c>
      <c r="L62" s="103"/>
    </row>
    <row r="63" spans="1:12" x14ac:dyDescent="0.2">
      <c r="A63" s="100"/>
      <c r="B63" s="25">
        <v>2132</v>
      </c>
      <c r="C63" s="100">
        <v>3613</v>
      </c>
      <c r="D63" s="25">
        <v>703</v>
      </c>
      <c r="E63" s="25" t="s">
        <v>43</v>
      </c>
      <c r="F63" s="65">
        <v>750</v>
      </c>
      <c r="G63" s="65"/>
      <c r="H63" s="65">
        <f t="shared" si="13"/>
        <v>750</v>
      </c>
      <c r="I63" s="65">
        <f>761.26+0.167</f>
        <v>761.42700000000002</v>
      </c>
      <c r="J63" s="30">
        <f t="shared" si="15"/>
        <v>101.5236</v>
      </c>
      <c r="K63" s="238">
        <f t="shared" si="14"/>
        <v>11.427000000000021</v>
      </c>
      <c r="L63" s="103"/>
    </row>
    <row r="64" spans="1:12" ht="13.5" customHeight="1" x14ac:dyDescent="0.2">
      <c r="A64" s="100"/>
      <c r="B64" s="25">
        <v>2132</v>
      </c>
      <c r="C64" s="100">
        <v>3634</v>
      </c>
      <c r="D64" s="25">
        <v>21</v>
      </c>
      <c r="E64" s="25" t="s">
        <v>44</v>
      </c>
      <c r="F64" s="65">
        <v>1807</v>
      </c>
      <c r="G64" s="65"/>
      <c r="H64" s="65">
        <f t="shared" si="13"/>
        <v>1807</v>
      </c>
      <c r="I64" s="65">
        <v>1806.64825</v>
      </c>
      <c r="J64" s="30">
        <f t="shared" si="15"/>
        <v>99.980534034311006</v>
      </c>
      <c r="K64" s="238">
        <f t="shared" si="14"/>
        <v>-0.3517500000000382</v>
      </c>
      <c r="L64" s="103"/>
    </row>
    <row r="65" spans="1:12" x14ac:dyDescent="0.2">
      <c r="A65" s="100"/>
      <c r="B65" s="25">
        <v>2132</v>
      </c>
      <c r="C65" s="100">
        <v>3639</v>
      </c>
      <c r="D65" s="25">
        <v>21</v>
      </c>
      <c r="E65" s="25" t="s">
        <v>183</v>
      </c>
      <c r="F65" s="65">
        <f>774-712+275+150</f>
        <v>487</v>
      </c>
      <c r="G65" s="65"/>
      <c r="H65" s="65">
        <f t="shared" si="13"/>
        <v>487</v>
      </c>
      <c r="I65" s="65">
        <v>466.87047999999999</v>
      </c>
      <c r="J65" s="30">
        <f t="shared" si="15"/>
        <v>95.866628336755639</v>
      </c>
      <c r="K65" s="238">
        <f t="shared" si="14"/>
        <v>-20.129520000000014</v>
      </c>
      <c r="L65" s="103"/>
    </row>
    <row r="66" spans="1:12" x14ac:dyDescent="0.2">
      <c r="A66" s="100"/>
      <c r="B66" s="25">
        <v>2132</v>
      </c>
      <c r="C66" s="100">
        <v>3639</v>
      </c>
      <c r="D66" s="25">
        <v>319</v>
      </c>
      <c r="E66" s="25" t="s">
        <v>281</v>
      </c>
      <c r="F66" s="65">
        <v>274</v>
      </c>
      <c r="G66" s="65"/>
      <c r="H66" s="65">
        <f t="shared" si="13"/>
        <v>274</v>
      </c>
      <c r="I66" s="65">
        <v>274.428</v>
      </c>
      <c r="J66" s="30">
        <f t="shared" si="15"/>
        <v>100.15620437956206</v>
      </c>
      <c r="K66" s="238">
        <f t="shared" si="14"/>
        <v>0.42799999999999727</v>
      </c>
      <c r="L66" s="103"/>
    </row>
    <row r="67" spans="1:12" x14ac:dyDescent="0.2">
      <c r="A67" s="100"/>
      <c r="B67" s="25">
        <v>2133</v>
      </c>
      <c r="C67" s="100">
        <v>3639</v>
      </c>
      <c r="D67" s="25">
        <v>34</v>
      </c>
      <c r="E67" s="25" t="s">
        <v>182</v>
      </c>
      <c r="F67" s="65">
        <v>39</v>
      </c>
      <c r="G67" s="65"/>
      <c r="H67" s="65">
        <f t="shared" si="13"/>
        <v>39</v>
      </c>
      <c r="I67" s="65">
        <v>42.996499999999997</v>
      </c>
      <c r="J67" s="30">
        <f t="shared" si="15"/>
        <v>110.24743589743589</v>
      </c>
      <c r="K67" s="238">
        <f t="shared" si="14"/>
        <v>3.9964999999999975</v>
      </c>
      <c r="L67" s="103" t="s">
        <v>313</v>
      </c>
    </row>
    <row r="68" spans="1:12" x14ac:dyDescent="0.2">
      <c r="A68" s="100"/>
      <c r="B68" s="25">
        <v>2132</v>
      </c>
      <c r="C68" s="100">
        <v>4355</v>
      </c>
      <c r="D68" s="25">
        <v>311</v>
      </c>
      <c r="E68" s="25" t="s">
        <v>287</v>
      </c>
      <c r="F68" s="65">
        <v>712</v>
      </c>
      <c r="G68" s="65"/>
      <c r="H68" s="65">
        <f t="shared" si="13"/>
        <v>712</v>
      </c>
      <c r="I68" s="65">
        <v>712</v>
      </c>
      <c r="J68" s="30">
        <f t="shared" si="15"/>
        <v>100</v>
      </c>
      <c r="K68" s="238">
        <f t="shared" si="14"/>
        <v>0</v>
      </c>
      <c r="L68" s="103"/>
    </row>
    <row r="69" spans="1:12" ht="14.25" customHeight="1" x14ac:dyDescent="0.2">
      <c r="A69" s="100"/>
      <c r="B69" s="100"/>
      <c r="C69" s="100"/>
      <c r="D69" s="100"/>
      <c r="E69" s="28" t="s">
        <v>90</v>
      </c>
      <c r="F69" s="66">
        <f>SUM(F70:F73)</f>
        <v>95</v>
      </c>
      <c r="G69" s="66">
        <f>SUM(G70:G73)</f>
        <v>0</v>
      </c>
      <c r="H69" s="66">
        <f>SUM(H70:H73)</f>
        <v>95</v>
      </c>
      <c r="I69" s="66">
        <f>SUM(I70:I73)</f>
        <v>89.528549999999996</v>
      </c>
      <c r="J69" s="186">
        <f t="shared" si="12"/>
        <v>94.240578947368419</v>
      </c>
      <c r="K69" s="312">
        <f>SUM(K70:K73)</f>
        <v>-5.4714499999999999</v>
      </c>
      <c r="L69" s="222"/>
    </row>
    <row r="70" spans="1:12" x14ac:dyDescent="0.2">
      <c r="A70" s="100"/>
      <c r="B70" s="25">
        <v>2141</v>
      </c>
      <c r="C70" s="100">
        <v>6310</v>
      </c>
      <c r="D70" s="25">
        <v>314</v>
      </c>
      <c r="E70" s="25" t="s">
        <v>295</v>
      </c>
      <c r="F70" s="65">
        <v>15</v>
      </c>
      <c r="G70" s="65"/>
      <c r="H70" s="65">
        <f>SUM(F70:G70)</f>
        <v>15</v>
      </c>
      <c r="I70" s="65">
        <f>12.33675+0.65779+0.57637</f>
        <v>13.570910000000001</v>
      </c>
      <c r="J70" s="30">
        <f t="shared" si="12"/>
        <v>90.472733333333338</v>
      </c>
      <c r="K70" s="238">
        <f>I70-H70</f>
        <v>-1.4290899999999986</v>
      </c>
      <c r="L70" s="103"/>
    </row>
    <row r="71" spans="1:12" x14ac:dyDescent="0.2">
      <c r="A71" s="100"/>
      <c r="B71" s="25">
        <v>2143</v>
      </c>
      <c r="C71" s="100"/>
      <c r="D71" s="25"/>
      <c r="E71" s="25" t="s">
        <v>305</v>
      </c>
      <c r="F71" s="65"/>
      <c r="G71" s="65"/>
      <c r="H71" s="65"/>
      <c r="I71" s="65">
        <v>1.464E-2</v>
      </c>
      <c r="J71" s="30"/>
      <c r="K71" s="238">
        <f>I71-H71</f>
        <v>1.464E-2</v>
      </c>
      <c r="L71" s="103"/>
    </row>
    <row r="72" spans="1:12" x14ac:dyDescent="0.2">
      <c r="A72" s="100"/>
      <c r="B72" s="25">
        <v>2141</v>
      </c>
      <c r="C72" s="100">
        <v>6310</v>
      </c>
      <c r="D72" s="25">
        <v>245</v>
      </c>
      <c r="E72" s="25" t="s">
        <v>189</v>
      </c>
      <c r="F72" s="65">
        <v>75</v>
      </c>
      <c r="G72" s="65"/>
      <c r="H72" s="65">
        <f>SUM(F72:G72)</f>
        <v>75</v>
      </c>
      <c r="I72" s="65">
        <v>75.338999999999999</v>
      </c>
      <c r="J72" s="30">
        <f t="shared" si="12"/>
        <v>100.45200000000001</v>
      </c>
      <c r="K72" s="238">
        <f>I72-H72</f>
        <v>0.33899999999999864</v>
      </c>
      <c r="L72" s="103"/>
    </row>
    <row r="73" spans="1:12" ht="13.5" customHeight="1" x14ac:dyDescent="0.2">
      <c r="A73" s="100"/>
      <c r="B73" s="25">
        <v>2141</v>
      </c>
      <c r="C73" s="100">
        <v>6310</v>
      </c>
      <c r="D73" s="25">
        <v>318</v>
      </c>
      <c r="E73" s="25" t="s">
        <v>337</v>
      </c>
      <c r="F73" s="65">
        <v>5</v>
      </c>
      <c r="G73" s="65"/>
      <c r="H73" s="65">
        <f>SUM(F73:G73)</f>
        <v>5</v>
      </c>
      <c r="I73" s="65">
        <v>0.60399999999999998</v>
      </c>
      <c r="J73" s="30">
        <f t="shared" si="12"/>
        <v>12.079999999999998</v>
      </c>
      <c r="K73" s="238">
        <f>I73-H73</f>
        <v>-4.3959999999999999</v>
      </c>
      <c r="L73" s="103"/>
    </row>
    <row r="74" spans="1:12" x14ac:dyDescent="0.2">
      <c r="A74" s="87" t="s">
        <v>137</v>
      </c>
      <c r="B74" s="28"/>
      <c r="C74" s="87"/>
      <c r="D74" s="28"/>
      <c r="E74" s="28"/>
      <c r="F74" s="66">
        <f>SUM(F75:F81)</f>
        <v>1569</v>
      </c>
      <c r="G74" s="66">
        <f>SUM(G75:G81)</f>
        <v>0</v>
      </c>
      <c r="H74" s="66">
        <f>SUM(H75:H81)</f>
        <v>1569</v>
      </c>
      <c r="I74" s="66">
        <f>SUM(I75:I81)</f>
        <v>878.28777999999988</v>
      </c>
      <c r="J74" s="186">
        <f t="shared" si="12"/>
        <v>55.977551306564685</v>
      </c>
      <c r="K74" s="312">
        <f>SUM(K75:K81)</f>
        <v>-690.71222000000012</v>
      </c>
      <c r="L74" s="218"/>
    </row>
    <row r="75" spans="1:12" x14ac:dyDescent="0.2">
      <c r="A75" s="100"/>
      <c r="B75" s="25">
        <v>2212</v>
      </c>
      <c r="C75" s="100">
        <v>6171</v>
      </c>
      <c r="D75" s="25">
        <v>11</v>
      </c>
      <c r="E75" s="25" t="s">
        <v>143</v>
      </c>
      <c r="F75" s="65">
        <v>10</v>
      </c>
      <c r="G75" s="65"/>
      <c r="H75" s="65">
        <f t="shared" ref="H75:H85" si="16">SUM(F75:G75)</f>
        <v>10</v>
      </c>
      <c r="I75" s="65">
        <v>1.5</v>
      </c>
      <c r="J75" s="30">
        <f t="shared" si="12"/>
        <v>15</v>
      </c>
      <c r="K75" s="238">
        <f t="shared" ref="K75:K81" si="17">I75-H75</f>
        <v>-8.5</v>
      </c>
      <c r="L75" s="218"/>
    </row>
    <row r="76" spans="1:12" x14ac:dyDescent="0.2">
      <c r="B76" s="25">
        <v>2212</v>
      </c>
      <c r="C76" s="100">
        <v>6171</v>
      </c>
      <c r="D76" s="25">
        <v>14.33</v>
      </c>
      <c r="E76" s="25" t="s">
        <v>261</v>
      </c>
      <c r="F76" s="65">
        <f>60+5</f>
        <v>65</v>
      </c>
      <c r="G76" s="65"/>
      <c r="H76" s="65">
        <f t="shared" si="16"/>
        <v>65</v>
      </c>
      <c r="I76" s="65">
        <f>99.94932+1+6.4</f>
        <v>107.34932000000001</v>
      </c>
      <c r="J76" s="30">
        <f t="shared" si="12"/>
        <v>165.15280000000001</v>
      </c>
      <c r="K76" s="238">
        <f t="shared" si="17"/>
        <v>42.349320000000006</v>
      </c>
      <c r="L76" s="103"/>
    </row>
    <row r="77" spans="1:12" x14ac:dyDescent="0.2">
      <c r="A77" s="88"/>
      <c r="B77" s="25">
        <v>2212</v>
      </c>
      <c r="C77" s="100">
        <v>2169</v>
      </c>
      <c r="D77" s="25">
        <v>15</v>
      </c>
      <c r="E77" s="25" t="s">
        <v>173</v>
      </c>
      <c r="F77" s="65">
        <v>40</v>
      </c>
      <c r="G77" s="65"/>
      <c r="H77" s="65">
        <f t="shared" si="16"/>
        <v>40</v>
      </c>
      <c r="I77" s="65">
        <v>0.5</v>
      </c>
      <c r="J77" s="30">
        <f t="shared" si="12"/>
        <v>1.25</v>
      </c>
      <c r="K77" s="238">
        <f t="shared" si="17"/>
        <v>-39.5</v>
      </c>
      <c r="L77" s="381"/>
    </row>
    <row r="78" spans="1:12" x14ac:dyDescent="0.2">
      <c r="A78" s="100"/>
      <c r="B78" s="25">
        <v>2212</v>
      </c>
      <c r="C78" s="209" t="s">
        <v>195</v>
      </c>
      <c r="D78" s="25">
        <v>17</v>
      </c>
      <c r="E78" s="25" t="s">
        <v>140</v>
      </c>
      <c r="F78" s="65">
        <v>100</v>
      </c>
      <c r="G78" s="65"/>
      <c r="H78" s="65">
        <f t="shared" si="16"/>
        <v>100</v>
      </c>
      <c r="I78" s="65">
        <v>27.2</v>
      </c>
      <c r="J78" s="30">
        <f t="shared" si="12"/>
        <v>27.200000000000003</v>
      </c>
      <c r="K78" s="238">
        <f t="shared" si="17"/>
        <v>-72.8</v>
      </c>
      <c r="L78" s="103"/>
    </row>
    <row r="79" spans="1:12" x14ac:dyDescent="0.2">
      <c r="A79" s="100"/>
      <c r="B79" s="25">
        <v>2212</v>
      </c>
      <c r="C79" s="100">
        <v>6171</v>
      </c>
      <c r="D79" s="25">
        <v>25.26</v>
      </c>
      <c r="E79" s="25" t="s">
        <v>139</v>
      </c>
      <c r="F79" s="65">
        <v>1200</v>
      </c>
      <c r="G79" s="65"/>
      <c r="H79" s="65">
        <f t="shared" si="16"/>
        <v>1200</v>
      </c>
      <c r="I79" s="65">
        <v>584.43845999999996</v>
      </c>
      <c r="J79" s="30">
        <f t="shared" si="12"/>
        <v>48.703204999999997</v>
      </c>
      <c r="K79" s="238">
        <f t="shared" si="17"/>
        <v>-615.56154000000004</v>
      </c>
      <c r="L79" s="103"/>
    </row>
    <row r="80" spans="1:12" x14ac:dyDescent="0.2">
      <c r="A80" s="100"/>
      <c r="B80" s="25">
        <v>2212</v>
      </c>
      <c r="C80" s="100">
        <v>6171</v>
      </c>
      <c r="D80" s="25">
        <v>30.13</v>
      </c>
      <c r="E80" s="25" t="s">
        <v>341</v>
      </c>
      <c r="F80" s="65">
        <v>4</v>
      </c>
      <c r="G80" s="65"/>
      <c r="H80" s="65">
        <f t="shared" si="16"/>
        <v>4</v>
      </c>
      <c r="I80" s="65"/>
      <c r="J80" s="30">
        <f t="shared" si="12"/>
        <v>0</v>
      </c>
      <c r="K80" s="238">
        <f t="shared" si="17"/>
        <v>-4</v>
      </c>
      <c r="L80" s="103"/>
    </row>
    <row r="81" spans="1:12" x14ac:dyDescent="0.2">
      <c r="A81" s="100"/>
      <c r="B81" s="25">
        <v>2212</v>
      </c>
      <c r="C81" s="100">
        <v>5311</v>
      </c>
      <c r="D81" s="25">
        <v>16</v>
      </c>
      <c r="E81" s="25" t="s">
        <v>45</v>
      </c>
      <c r="F81" s="65">
        <v>150</v>
      </c>
      <c r="G81" s="65"/>
      <c r="H81" s="65">
        <f t="shared" si="16"/>
        <v>150</v>
      </c>
      <c r="I81" s="65">
        <v>157.30000000000001</v>
      </c>
      <c r="J81" s="30">
        <f t="shared" si="12"/>
        <v>104.86666666666666</v>
      </c>
      <c r="K81" s="238">
        <f t="shared" si="17"/>
        <v>7.3000000000000114</v>
      </c>
      <c r="L81" s="103"/>
    </row>
    <row r="82" spans="1:12" x14ac:dyDescent="0.2">
      <c r="A82" s="87" t="s">
        <v>136</v>
      </c>
      <c r="B82" s="25"/>
      <c r="C82" s="100"/>
      <c r="D82" s="25"/>
      <c r="E82" s="25"/>
      <c r="F82" s="66">
        <f>SUM(F83:F83)</f>
        <v>0</v>
      </c>
      <c r="G82" s="66">
        <f>SUM(G83:G86)</f>
        <v>92.634410000000003</v>
      </c>
      <c r="H82" s="66">
        <f>SUM(H83:H83)</f>
        <v>74.963999999999999</v>
      </c>
      <c r="I82" s="66">
        <f>SUM(I83:I86)</f>
        <v>296.24759</v>
      </c>
      <c r="J82" s="27"/>
      <c r="K82" s="312">
        <f>SUM(K83:K86)</f>
        <v>204.28359000000003</v>
      </c>
      <c r="L82" s="324"/>
    </row>
    <row r="83" spans="1:12" x14ac:dyDescent="0.2">
      <c r="A83" s="100"/>
      <c r="B83" s="25">
        <v>2321</v>
      </c>
      <c r="C83" s="100">
        <v>2199</v>
      </c>
      <c r="D83" s="25"/>
      <c r="E83" s="25" t="s">
        <v>283</v>
      </c>
      <c r="F83" s="65"/>
      <c r="G83" s="65">
        <f>44.964+10+20</f>
        <v>74.963999999999999</v>
      </c>
      <c r="H83" s="65">
        <f t="shared" si="16"/>
        <v>74.963999999999999</v>
      </c>
      <c r="I83" s="65">
        <f>44.964+10+20</f>
        <v>74.963999999999999</v>
      </c>
      <c r="J83" s="30"/>
      <c r="K83" s="238">
        <f t="shared" ref="K83:K88" si="18">I83-H83</f>
        <v>0</v>
      </c>
      <c r="L83" s="103"/>
    </row>
    <row r="84" spans="1:12" x14ac:dyDescent="0.2">
      <c r="A84" s="100"/>
      <c r="B84" s="25">
        <v>2322</v>
      </c>
      <c r="C84" s="100">
        <v>5512</v>
      </c>
      <c r="D84" s="25">
        <v>223</v>
      </c>
      <c r="E84" s="25" t="s">
        <v>376</v>
      </c>
      <c r="F84" s="65"/>
      <c r="G84" s="65"/>
      <c r="H84" s="65">
        <f t="shared" si="16"/>
        <v>0</v>
      </c>
      <c r="I84" s="65">
        <f>29.126</f>
        <v>29.126000000000001</v>
      </c>
      <c r="J84" s="30"/>
      <c r="K84" s="238">
        <f t="shared" si="18"/>
        <v>29.126000000000001</v>
      </c>
      <c r="L84" s="103"/>
    </row>
    <row r="85" spans="1:12" x14ac:dyDescent="0.2">
      <c r="A85" s="100"/>
      <c r="B85" s="25">
        <v>2324</v>
      </c>
      <c r="C85" s="100"/>
      <c r="D85" s="25"/>
      <c r="E85" s="25" t="s">
        <v>332</v>
      </c>
      <c r="F85" s="65"/>
      <c r="G85" s="65">
        <v>17</v>
      </c>
      <c r="H85" s="65">
        <f t="shared" si="16"/>
        <v>17</v>
      </c>
      <c r="I85" s="65">
        <f>22.87+66.57+84.925+17.12218</f>
        <v>191.48718000000002</v>
      </c>
      <c r="J85" s="30"/>
      <c r="K85" s="238">
        <f t="shared" si="18"/>
        <v>174.48718000000002</v>
      </c>
      <c r="L85" s="103"/>
    </row>
    <row r="86" spans="1:12" x14ac:dyDescent="0.2">
      <c r="A86" s="100"/>
      <c r="B86" s="25">
        <v>2222</v>
      </c>
      <c r="C86" s="100"/>
      <c r="D86" s="25"/>
      <c r="E86" s="25" t="s">
        <v>372</v>
      </c>
      <c r="F86" s="65"/>
      <c r="G86" s="65">
        <v>0.67040999999999995</v>
      </c>
      <c r="H86" s="65"/>
      <c r="I86" s="65">
        <v>0.67040999999999995</v>
      </c>
      <c r="J86" s="30"/>
      <c r="K86" s="238">
        <f t="shared" si="18"/>
        <v>0.67040999999999995</v>
      </c>
      <c r="L86" s="103"/>
    </row>
    <row r="87" spans="1:12" x14ac:dyDescent="0.2">
      <c r="A87" s="87" t="s">
        <v>135</v>
      </c>
      <c r="B87" s="25"/>
      <c r="C87" s="100"/>
      <c r="D87" s="25"/>
      <c r="E87" s="25"/>
      <c r="F87" s="66">
        <f>SUM(F88:F88)</f>
        <v>0</v>
      </c>
      <c r="G87" s="66">
        <f>SUM(G88:G88)</f>
        <v>0</v>
      </c>
      <c r="H87" s="66">
        <f>SUM(H88:H88)</f>
        <v>0</v>
      </c>
      <c r="I87" s="66">
        <f>SUM(I88:I88)</f>
        <v>0</v>
      </c>
      <c r="J87" s="186"/>
      <c r="K87" s="238">
        <f t="shared" si="18"/>
        <v>0</v>
      </c>
      <c r="L87" s="217"/>
    </row>
    <row r="88" spans="1:12" ht="13.5" thickBot="1" x14ac:dyDescent="0.25">
      <c r="A88" s="100"/>
      <c r="B88" s="25"/>
      <c r="C88" s="100"/>
      <c r="D88" s="25"/>
      <c r="E88" s="25"/>
      <c r="F88" s="65"/>
      <c r="G88" s="65"/>
      <c r="H88" s="65">
        <f>SUM(F88:G88)</f>
        <v>0</v>
      </c>
      <c r="I88" s="65"/>
      <c r="J88" s="30"/>
      <c r="K88" s="238">
        <f t="shared" si="18"/>
        <v>0</v>
      </c>
      <c r="L88" s="103"/>
    </row>
    <row r="89" spans="1:12" ht="16.5" thickBot="1" x14ac:dyDescent="0.3">
      <c r="A89" s="106" t="s">
        <v>46</v>
      </c>
      <c r="B89" s="109"/>
      <c r="C89" s="110"/>
      <c r="D89" s="109"/>
      <c r="E89" s="109"/>
      <c r="F89" s="67">
        <f>SUM(F41+F59+F69+F74+F82+F87)</f>
        <v>25389</v>
      </c>
      <c r="G89" s="67">
        <f>SUM(G41+G59+G69+G74+G82+G87)</f>
        <v>34.257409999999993</v>
      </c>
      <c r="H89" s="67">
        <f>SUM(H41+H59+H69+H74+H82+H87)</f>
        <v>25405.587</v>
      </c>
      <c r="I89" s="67">
        <f>SUM(I41+I59+I69+I74+I82+I87)</f>
        <v>25427.374899999992</v>
      </c>
      <c r="J89" s="32">
        <f>I89/$H89*100</f>
        <v>100.08576026997522</v>
      </c>
      <c r="K89" s="316">
        <f>SUM(K41+K59+K69+K74+K82+K87)</f>
        <v>4.787899999999496</v>
      </c>
      <c r="L89" s="223"/>
    </row>
    <row r="90" spans="1:12" x14ac:dyDescent="0.2">
      <c r="A90" s="101" t="s">
        <v>157</v>
      </c>
      <c r="B90" s="71"/>
      <c r="C90" s="101"/>
      <c r="D90" s="71"/>
      <c r="E90" s="101" t="s">
        <v>47</v>
      </c>
      <c r="F90" s="70"/>
      <c r="G90" s="70"/>
      <c r="H90" s="70"/>
      <c r="I90" s="70"/>
      <c r="J90" s="26"/>
      <c r="K90" s="26"/>
      <c r="L90" s="219"/>
    </row>
    <row r="91" spans="1:12" x14ac:dyDescent="0.2">
      <c r="A91" s="87" t="s">
        <v>48</v>
      </c>
      <c r="B91" s="28"/>
      <c r="C91" s="87"/>
      <c r="D91" s="28"/>
      <c r="E91" s="28"/>
      <c r="F91" s="66"/>
      <c r="G91" s="66"/>
      <c r="H91" s="66"/>
      <c r="I91" s="66"/>
      <c r="J91" s="27"/>
      <c r="K91" s="275"/>
      <c r="L91" s="218"/>
    </row>
    <row r="92" spans="1:12" x14ac:dyDescent="0.2">
      <c r="A92" s="100"/>
      <c r="B92" s="25">
        <v>3111</v>
      </c>
      <c r="C92" s="100">
        <v>2121</v>
      </c>
      <c r="D92" s="25">
        <v>20</v>
      </c>
      <c r="E92" s="25" t="s">
        <v>190</v>
      </c>
      <c r="F92" s="65">
        <v>50</v>
      </c>
      <c r="G92" s="65"/>
      <c r="H92" s="65">
        <f>SUM(F92:G92)</f>
        <v>50</v>
      </c>
      <c r="I92" s="65">
        <f>890.048-I93</f>
        <v>527.048</v>
      </c>
      <c r="J92" s="30">
        <f>I92/$H92*100</f>
        <v>1054.096</v>
      </c>
      <c r="K92" s="238">
        <f>I92-H92</f>
        <v>477.048</v>
      </c>
      <c r="L92" s="103" t="s">
        <v>385</v>
      </c>
    </row>
    <row r="93" spans="1:12" x14ac:dyDescent="0.2">
      <c r="A93" s="100"/>
      <c r="B93" s="25">
        <v>3111</v>
      </c>
      <c r="C93" s="100">
        <v>3612</v>
      </c>
      <c r="D93" s="452">
        <v>326</v>
      </c>
      <c r="E93" s="25" t="s">
        <v>399</v>
      </c>
      <c r="F93" s="65"/>
      <c r="G93" s="65"/>
      <c r="H93" s="65"/>
      <c r="I93" s="65">
        <f>6*60.5</f>
        <v>363</v>
      </c>
      <c r="J93" s="30"/>
      <c r="K93" s="238">
        <f>I93-H93</f>
        <v>363</v>
      </c>
      <c r="L93" s="103"/>
    </row>
    <row r="94" spans="1:12" x14ac:dyDescent="0.2">
      <c r="A94" s="100"/>
      <c r="B94" s="25">
        <v>3112</v>
      </c>
      <c r="C94" s="100">
        <v>5311</v>
      </c>
      <c r="D94" s="25">
        <v>321</v>
      </c>
      <c r="E94" s="25" t="s">
        <v>361</v>
      </c>
      <c r="F94" s="65">
        <v>80</v>
      </c>
      <c r="G94" s="65">
        <v>20</v>
      </c>
      <c r="H94" s="65">
        <f>SUM(F94:G94)</f>
        <v>100</v>
      </c>
      <c r="I94" s="65">
        <v>100.1</v>
      </c>
      <c r="J94" s="30">
        <f t="shared" ref="J94" si="19">I94/$H94*100</f>
        <v>100.1</v>
      </c>
      <c r="K94" s="238">
        <f>I94-H94</f>
        <v>9.9999999999994316E-2</v>
      </c>
      <c r="L94" s="103" t="s">
        <v>401</v>
      </c>
    </row>
    <row r="95" spans="1:12" x14ac:dyDescent="0.2">
      <c r="A95" s="100"/>
      <c r="B95" s="25">
        <v>3114</v>
      </c>
      <c r="C95" s="100">
        <v>3613</v>
      </c>
      <c r="D95" s="25">
        <v>213</v>
      </c>
      <c r="E95" s="25" t="s">
        <v>386</v>
      </c>
      <c r="F95" s="65"/>
      <c r="G95" s="65"/>
      <c r="H95" s="65"/>
      <c r="I95" s="65">
        <v>200</v>
      </c>
      <c r="J95" s="30"/>
      <c r="K95" s="238">
        <f>I95-H95</f>
        <v>200</v>
      </c>
      <c r="L95" s="103"/>
    </row>
    <row r="96" spans="1:12" ht="13.5" thickBot="1" x14ac:dyDescent="0.25">
      <c r="A96" s="100"/>
      <c r="B96" s="25">
        <v>3112</v>
      </c>
      <c r="C96" s="100">
        <v>3612</v>
      </c>
      <c r="D96" s="25">
        <v>245</v>
      </c>
      <c r="E96" s="25" t="s">
        <v>191</v>
      </c>
      <c r="F96" s="65">
        <v>335</v>
      </c>
      <c r="G96" s="65"/>
      <c r="H96" s="65">
        <f>SUM(F96:G96)</f>
        <v>335</v>
      </c>
      <c r="I96" s="65">
        <v>335.36099999999999</v>
      </c>
      <c r="J96" s="30">
        <f>I96/$H96*100</f>
        <v>100.10776119402985</v>
      </c>
      <c r="K96" s="238">
        <f>I96-H96</f>
        <v>0.36099999999999</v>
      </c>
      <c r="L96" s="103"/>
    </row>
    <row r="97" spans="1:12" ht="15.75" customHeight="1" thickBot="1" x14ac:dyDescent="0.3">
      <c r="A97" s="106" t="s">
        <v>49</v>
      </c>
      <c r="B97" s="109"/>
      <c r="C97" s="110"/>
      <c r="D97" s="109"/>
      <c r="E97" s="109"/>
      <c r="F97" s="67">
        <f>SUM(F92:F96)</f>
        <v>465</v>
      </c>
      <c r="G97" s="67">
        <f>SUM(G92:G96)</f>
        <v>20</v>
      </c>
      <c r="H97" s="67">
        <f>SUM(H92:H96)</f>
        <v>485</v>
      </c>
      <c r="I97" s="67">
        <f>SUM(I92:I96)</f>
        <v>1525.509</v>
      </c>
      <c r="J97" s="32">
        <f>I97/$H97*100</f>
        <v>314.53793814432987</v>
      </c>
      <c r="K97" s="313">
        <f>SUM(K92:K96)</f>
        <v>1040.509</v>
      </c>
      <c r="L97" s="223"/>
    </row>
    <row r="98" spans="1:12" x14ac:dyDescent="0.2">
      <c r="A98" s="101" t="s">
        <v>50</v>
      </c>
      <c r="B98" s="72"/>
      <c r="C98" s="111"/>
      <c r="D98" s="72"/>
      <c r="E98" s="101" t="s">
        <v>51</v>
      </c>
      <c r="F98" s="68"/>
      <c r="G98" s="68"/>
      <c r="H98" s="70"/>
      <c r="I98" s="68"/>
      <c r="J98" s="33"/>
      <c r="K98" s="33"/>
      <c r="L98" s="224"/>
    </row>
    <row r="99" spans="1:12" x14ac:dyDescent="0.2">
      <c r="A99" s="87" t="s">
        <v>52</v>
      </c>
      <c r="B99" s="28"/>
      <c r="C99" s="87" t="s">
        <v>334</v>
      </c>
      <c r="D99" s="28" t="s">
        <v>147</v>
      </c>
      <c r="E99" s="28"/>
      <c r="F99" s="66">
        <f>SUM(F100:F124)</f>
        <v>25091</v>
      </c>
      <c r="G99" s="66">
        <f>SUM(G100:G124)</f>
        <v>11389.291859999999</v>
      </c>
      <c r="H99" s="66">
        <f>SUM(H100:H124)</f>
        <v>36480.291859999998</v>
      </c>
      <c r="I99" s="66">
        <f>SUM(I100:I124)</f>
        <v>36537.522189999996</v>
      </c>
      <c r="J99" s="27">
        <f>I99/$H99*100</f>
        <v>100.15688013193433</v>
      </c>
      <c r="K99" s="312">
        <f>SUM(K100:K124)</f>
        <v>57.230329999999945</v>
      </c>
      <c r="L99" s="225"/>
    </row>
    <row r="100" spans="1:12" x14ac:dyDescent="0.2">
      <c r="A100" s="100"/>
      <c r="B100" s="25">
        <v>4112</v>
      </c>
      <c r="C100" s="25"/>
      <c r="D100" s="25"/>
      <c r="E100" s="25" t="s">
        <v>192</v>
      </c>
      <c r="F100" s="65">
        <f>17305.8</f>
        <v>17305.8</v>
      </c>
      <c r="G100" s="65"/>
      <c r="H100" s="65">
        <f t="shared" ref="H100:H123" si="20">SUM(F100:G100)</f>
        <v>17305.8</v>
      </c>
      <c r="I100" s="65">
        <v>17305.8</v>
      </c>
      <c r="J100" s="30">
        <f>I100/$H100*100</f>
        <v>100</v>
      </c>
      <c r="K100" s="238">
        <f t="shared" ref="K100:K124" si="21">I100-H100</f>
        <v>0</v>
      </c>
      <c r="L100" s="121"/>
    </row>
    <row r="101" spans="1:12" x14ac:dyDescent="0.2">
      <c r="A101" s="100"/>
      <c r="B101" s="25">
        <v>4111</v>
      </c>
      <c r="C101" s="25">
        <v>110</v>
      </c>
      <c r="D101" s="25"/>
      <c r="E101" s="187" t="s">
        <v>394</v>
      </c>
      <c r="F101" s="65"/>
      <c r="G101" s="65">
        <f>30+200</f>
        <v>230</v>
      </c>
      <c r="H101" s="65">
        <f t="shared" si="20"/>
        <v>230</v>
      </c>
      <c r="I101" s="65">
        <f>30+200</f>
        <v>230</v>
      </c>
      <c r="J101" s="30">
        <f t="shared" ref="J101:J130" si="22">I101/$H101*100</f>
        <v>100</v>
      </c>
      <c r="K101" s="238">
        <f t="shared" si="21"/>
        <v>0</v>
      </c>
      <c r="L101" s="121"/>
    </row>
    <row r="102" spans="1:12" x14ac:dyDescent="0.2">
      <c r="A102" s="100"/>
      <c r="B102" s="25">
        <v>4113</v>
      </c>
      <c r="C102" s="25">
        <v>244</v>
      </c>
      <c r="D102" s="236" t="s">
        <v>333</v>
      </c>
      <c r="E102" s="187" t="s">
        <v>315</v>
      </c>
      <c r="F102" s="65">
        <v>154</v>
      </c>
      <c r="G102" s="65"/>
      <c r="H102" s="65">
        <f t="shared" si="20"/>
        <v>154</v>
      </c>
      <c r="I102" s="65">
        <v>154.32400000000001</v>
      </c>
      <c r="J102" s="30">
        <f t="shared" si="22"/>
        <v>100.21038961038961</v>
      </c>
      <c r="K102" s="238">
        <f t="shared" si="21"/>
        <v>0.32400000000001228</v>
      </c>
      <c r="L102" s="121"/>
    </row>
    <row r="103" spans="1:12" x14ac:dyDescent="0.2">
      <c r="A103" s="100"/>
      <c r="B103" s="25">
        <v>4116</v>
      </c>
      <c r="C103" s="25">
        <v>314</v>
      </c>
      <c r="D103" s="236" t="s">
        <v>303</v>
      </c>
      <c r="E103" s="389" t="s">
        <v>379</v>
      </c>
      <c r="F103" s="65">
        <v>2530</v>
      </c>
      <c r="G103" s="65">
        <f>848.116+533</f>
        <v>1381.116</v>
      </c>
      <c r="H103" s="65">
        <f t="shared" si="20"/>
        <v>3911.116</v>
      </c>
      <c r="I103" s="65">
        <f>3063+848.116</f>
        <v>3911.116</v>
      </c>
      <c r="J103" s="30">
        <f t="shared" si="22"/>
        <v>100</v>
      </c>
      <c r="K103" s="238">
        <f t="shared" si="21"/>
        <v>0</v>
      </c>
      <c r="L103" s="407"/>
    </row>
    <row r="104" spans="1:12" x14ac:dyDescent="0.2">
      <c r="A104" s="100"/>
      <c r="B104" s="25">
        <v>4116</v>
      </c>
      <c r="C104" s="25"/>
      <c r="D104" s="236" t="s">
        <v>251</v>
      </c>
      <c r="E104" s="187" t="s">
        <v>248</v>
      </c>
      <c r="F104" s="65">
        <f>144+468+169</f>
        <v>781</v>
      </c>
      <c r="G104" s="65">
        <f>70+33+163</f>
        <v>266</v>
      </c>
      <c r="H104" s="65">
        <f t="shared" si="20"/>
        <v>1047</v>
      </c>
      <c r="I104" s="65">
        <f>214.436+474.558+162.512+202.733</f>
        <v>1054.239</v>
      </c>
      <c r="J104" s="30">
        <f t="shared" si="22"/>
        <v>100.69140401146133</v>
      </c>
      <c r="K104" s="238">
        <f t="shared" si="21"/>
        <v>7.2390000000000327</v>
      </c>
      <c r="L104" s="435"/>
    </row>
    <row r="105" spans="1:12" x14ac:dyDescent="0.2">
      <c r="A105" s="100"/>
      <c r="B105" s="25">
        <v>4116</v>
      </c>
      <c r="C105" s="25">
        <v>314</v>
      </c>
      <c r="D105" s="236"/>
      <c r="E105" s="389" t="s">
        <v>318</v>
      </c>
      <c r="F105" s="65">
        <v>391</v>
      </c>
      <c r="G105" s="65">
        <v>39.716999999999999</v>
      </c>
      <c r="H105" s="65">
        <f t="shared" si="20"/>
        <v>430.71699999999998</v>
      </c>
      <c r="I105" s="65">
        <v>430.71699999999998</v>
      </c>
      <c r="J105" s="30">
        <f t="shared" si="22"/>
        <v>100</v>
      </c>
      <c r="K105" s="238">
        <f t="shared" si="21"/>
        <v>0</v>
      </c>
      <c r="L105" s="121"/>
    </row>
    <row r="106" spans="1:12" x14ac:dyDescent="0.2">
      <c r="A106" s="100"/>
      <c r="B106" s="25">
        <v>4116</v>
      </c>
      <c r="C106" s="25">
        <v>109</v>
      </c>
      <c r="D106" s="236" t="s">
        <v>322</v>
      </c>
      <c r="E106" s="187" t="s">
        <v>259</v>
      </c>
      <c r="F106" s="65"/>
      <c r="G106" s="65">
        <f>142.43+139.203+140.75+5.25+90.112+59.276</f>
        <v>577.02099999999996</v>
      </c>
      <c r="H106" s="65">
        <f t="shared" si="20"/>
        <v>577.02099999999996</v>
      </c>
      <c r="I106" s="65">
        <f>486.909+90.112</f>
        <v>577.02099999999996</v>
      </c>
      <c r="J106" s="30">
        <f t="shared" si="22"/>
        <v>100</v>
      </c>
      <c r="K106" s="238">
        <f t="shared" si="21"/>
        <v>0</v>
      </c>
      <c r="L106" s="121"/>
    </row>
    <row r="107" spans="1:12" x14ac:dyDescent="0.2">
      <c r="A107" s="100"/>
      <c r="B107" s="25">
        <v>4116</v>
      </c>
      <c r="C107" s="25">
        <v>3005</v>
      </c>
      <c r="D107" s="25">
        <v>3005</v>
      </c>
      <c r="E107" s="437" t="s">
        <v>358</v>
      </c>
      <c r="F107" s="65">
        <v>1498</v>
      </c>
      <c r="G107" s="65">
        <v>-595</v>
      </c>
      <c r="H107" s="65">
        <f t="shared" si="20"/>
        <v>903</v>
      </c>
      <c r="I107" s="65">
        <v>903.17899999999997</v>
      </c>
      <c r="J107" s="30">
        <f t="shared" si="22"/>
        <v>100.01982281284607</v>
      </c>
      <c r="K107" s="238">
        <f t="shared" si="21"/>
        <v>0.17899999999997362</v>
      </c>
      <c r="L107" s="121"/>
    </row>
    <row r="108" spans="1:12" x14ac:dyDescent="0.2">
      <c r="A108" s="100"/>
      <c r="B108" s="25">
        <v>4116</v>
      </c>
      <c r="C108" s="25">
        <v>6206</v>
      </c>
      <c r="D108" s="25">
        <v>6206</v>
      </c>
      <c r="E108" s="437" t="s">
        <v>360</v>
      </c>
      <c r="F108" s="65">
        <v>1326</v>
      </c>
      <c r="G108" s="65">
        <v>-25</v>
      </c>
      <c r="H108" s="65">
        <f t="shared" si="20"/>
        <v>1301</v>
      </c>
      <c r="I108" s="65">
        <v>1301.1803299999999</v>
      </c>
      <c r="J108" s="30">
        <f t="shared" si="22"/>
        <v>100.01386087624904</v>
      </c>
      <c r="K108" s="238">
        <f t="shared" si="21"/>
        <v>0.18032999999991262</v>
      </c>
      <c r="L108" s="121"/>
    </row>
    <row r="109" spans="1:12" x14ac:dyDescent="0.2">
      <c r="A109" s="100"/>
      <c r="B109" s="25">
        <v>4116</v>
      </c>
      <c r="C109" s="25">
        <v>103</v>
      </c>
      <c r="D109" s="25"/>
      <c r="E109" s="187" t="s">
        <v>381</v>
      </c>
      <c r="F109" s="65"/>
      <c r="G109" s="65">
        <v>640</v>
      </c>
      <c r="H109" s="65">
        <f t="shared" si="20"/>
        <v>640</v>
      </c>
      <c r="I109" s="65">
        <v>640</v>
      </c>
      <c r="J109" s="30">
        <f t="shared" si="22"/>
        <v>100</v>
      </c>
      <c r="K109" s="238">
        <f t="shared" si="21"/>
        <v>0</v>
      </c>
      <c r="L109" s="121"/>
    </row>
    <row r="110" spans="1:12" x14ac:dyDescent="0.2">
      <c r="A110" s="100"/>
      <c r="B110" s="25">
        <v>4116</v>
      </c>
      <c r="C110" s="25">
        <v>223</v>
      </c>
      <c r="D110" s="25">
        <v>14004</v>
      </c>
      <c r="E110" s="187" t="s">
        <v>373</v>
      </c>
      <c r="F110" s="65"/>
      <c r="G110" s="65">
        <f>150+38.516</f>
        <v>188.51599999999999</v>
      </c>
      <c r="H110" s="65">
        <f t="shared" si="20"/>
        <v>188.51599999999999</v>
      </c>
      <c r="I110" s="65">
        <v>188.51599999999999</v>
      </c>
      <c r="J110" s="30">
        <f t="shared" si="22"/>
        <v>100</v>
      </c>
      <c r="K110" s="238">
        <f t="shared" si="21"/>
        <v>0</v>
      </c>
      <c r="L110" s="121"/>
    </row>
    <row r="111" spans="1:12" x14ac:dyDescent="0.2">
      <c r="A111" s="100"/>
      <c r="B111" s="25">
        <v>4116</v>
      </c>
      <c r="C111" s="25">
        <v>203</v>
      </c>
      <c r="D111" s="25"/>
      <c r="E111" s="187" t="s">
        <v>380</v>
      </c>
      <c r="F111" s="65"/>
      <c r="G111" s="65">
        <v>51.182000000000002</v>
      </c>
      <c r="H111" s="65">
        <f t="shared" si="20"/>
        <v>51.182000000000002</v>
      </c>
      <c r="I111" s="65">
        <v>51.183</v>
      </c>
      <c r="J111" s="30">
        <f t="shared" si="22"/>
        <v>100.00195381188699</v>
      </c>
      <c r="K111" s="238">
        <f t="shared" si="21"/>
        <v>9.9999999999766942E-4</v>
      </c>
      <c r="L111" s="121"/>
    </row>
    <row r="112" spans="1:12" x14ac:dyDescent="0.2">
      <c r="A112" s="100"/>
      <c r="B112" s="25">
        <v>4116</v>
      </c>
      <c r="C112" s="25">
        <v>314</v>
      </c>
      <c r="D112" s="25"/>
      <c r="E112" s="187" t="s">
        <v>387</v>
      </c>
      <c r="F112" s="65"/>
      <c r="G112" s="65">
        <f>24.45+40.05</f>
        <v>64.5</v>
      </c>
      <c r="H112" s="65">
        <f t="shared" si="20"/>
        <v>64.5</v>
      </c>
      <c r="I112" s="65">
        <v>64.5</v>
      </c>
      <c r="J112" s="30">
        <f t="shared" si="22"/>
        <v>100</v>
      </c>
      <c r="K112" s="238">
        <f t="shared" si="21"/>
        <v>0</v>
      </c>
      <c r="L112" s="121"/>
    </row>
    <row r="113" spans="1:12" x14ac:dyDescent="0.2">
      <c r="A113" s="100"/>
      <c r="B113" s="25">
        <v>4116</v>
      </c>
      <c r="C113" s="25">
        <v>301</v>
      </c>
      <c r="D113" s="25"/>
      <c r="E113" s="187" t="s">
        <v>390</v>
      </c>
      <c r="F113" s="65"/>
      <c r="G113" s="65">
        <v>391.44959999999998</v>
      </c>
      <c r="H113" s="65">
        <f t="shared" si="20"/>
        <v>391.44959999999998</v>
      </c>
      <c r="I113" s="65">
        <v>391.44959999999998</v>
      </c>
      <c r="J113" s="30">
        <f t="shared" si="22"/>
        <v>100</v>
      </c>
      <c r="K113" s="238">
        <f t="shared" si="21"/>
        <v>0</v>
      </c>
      <c r="L113" s="121"/>
    </row>
    <row r="114" spans="1:12" x14ac:dyDescent="0.2">
      <c r="A114" s="100"/>
      <c r="B114" s="25">
        <v>4116</v>
      </c>
      <c r="C114" s="25">
        <v>303</v>
      </c>
      <c r="D114" s="25"/>
      <c r="E114" s="187" t="s">
        <v>397</v>
      </c>
      <c r="F114" s="65"/>
      <c r="G114" s="65">
        <v>577.95960000000002</v>
      </c>
      <c r="H114" s="65">
        <f t="shared" si="20"/>
        <v>577.95960000000002</v>
      </c>
      <c r="I114" s="65">
        <v>577.95960000000002</v>
      </c>
      <c r="J114" s="30">
        <f t="shared" si="22"/>
        <v>100</v>
      </c>
      <c r="K114" s="238">
        <f t="shared" si="21"/>
        <v>0</v>
      </c>
      <c r="L114" s="121"/>
    </row>
    <row r="115" spans="1:12" x14ac:dyDescent="0.2">
      <c r="A115" s="100"/>
      <c r="B115" s="25">
        <v>4116</v>
      </c>
      <c r="C115" s="25">
        <v>304</v>
      </c>
      <c r="D115" s="25"/>
      <c r="E115" s="187" t="s">
        <v>391</v>
      </c>
      <c r="F115" s="65"/>
      <c r="G115" s="65">
        <v>507.52260000000001</v>
      </c>
      <c r="H115" s="65">
        <f t="shared" si="20"/>
        <v>507.52260000000001</v>
      </c>
      <c r="I115" s="65">
        <v>507.52260000000001</v>
      </c>
      <c r="J115" s="30">
        <f t="shared" si="22"/>
        <v>100</v>
      </c>
      <c r="K115" s="238">
        <f t="shared" si="21"/>
        <v>0</v>
      </c>
      <c r="L115" s="121"/>
    </row>
    <row r="116" spans="1:12" x14ac:dyDescent="0.2">
      <c r="A116" s="100"/>
      <c r="B116" s="25">
        <v>4121</v>
      </c>
      <c r="C116" s="25"/>
      <c r="D116" s="25" t="s">
        <v>294</v>
      </c>
      <c r="E116" s="187" t="s">
        <v>273</v>
      </c>
      <c r="F116" s="65">
        <f>130+50+0.2</f>
        <v>180.2</v>
      </c>
      <c r="G116" s="65"/>
      <c r="H116" s="65">
        <f t="shared" si="20"/>
        <v>180.2</v>
      </c>
      <c r="I116" s="65">
        <f>354.06-I117</f>
        <v>226</v>
      </c>
      <c r="J116" s="30">
        <f t="shared" si="22"/>
        <v>125.41620421753608</v>
      </c>
      <c r="K116" s="238">
        <f t="shared" si="21"/>
        <v>45.800000000000011</v>
      </c>
      <c r="L116" s="121"/>
    </row>
    <row r="117" spans="1:12" x14ac:dyDescent="0.2">
      <c r="A117" s="100"/>
      <c r="B117" s="25">
        <v>4121</v>
      </c>
      <c r="C117" s="25"/>
      <c r="D117" s="25">
        <v>321</v>
      </c>
      <c r="E117" s="187" t="s">
        <v>196</v>
      </c>
      <c r="F117" s="65">
        <v>125</v>
      </c>
      <c r="G117" s="65"/>
      <c r="H117" s="65">
        <f t="shared" si="20"/>
        <v>125</v>
      </c>
      <c r="I117" s="65">
        <f>66.32+61.74</f>
        <v>128.06</v>
      </c>
      <c r="J117" s="30">
        <f t="shared" si="22"/>
        <v>102.44800000000001</v>
      </c>
      <c r="K117" s="238">
        <f t="shared" si="21"/>
        <v>3.0600000000000023</v>
      </c>
      <c r="L117" s="121" t="s">
        <v>0</v>
      </c>
    </row>
    <row r="118" spans="1:12" x14ac:dyDescent="0.2">
      <c r="A118" s="100"/>
      <c r="B118" s="25">
        <v>4122</v>
      </c>
      <c r="C118" s="25">
        <v>307</v>
      </c>
      <c r="D118" s="236" t="s">
        <v>306</v>
      </c>
      <c r="E118" s="25" t="s">
        <v>336</v>
      </c>
      <c r="F118" s="65"/>
      <c r="G118" s="65">
        <f>3129+2086+979+375.376</f>
        <v>6569.3760000000002</v>
      </c>
      <c r="H118" s="65">
        <f t="shared" si="20"/>
        <v>6569.3760000000002</v>
      </c>
      <c r="I118" s="65">
        <v>6569.3760000000002</v>
      </c>
      <c r="J118" s="30">
        <f t="shared" si="22"/>
        <v>100</v>
      </c>
      <c r="K118" s="238">
        <f t="shared" si="21"/>
        <v>0</v>
      </c>
      <c r="L118" s="121"/>
    </row>
    <row r="119" spans="1:12" x14ac:dyDescent="0.2">
      <c r="A119" s="100"/>
      <c r="B119" s="25">
        <v>4122</v>
      </c>
      <c r="C119" s="25">
        <v>227</v>
      </c>
      <c r="D119" s="25">
        <v>13305</v>
      </c>
      <c r="E119" s="405" t="s">
        <v>335</v>
      </c>
      <c r="F119" s="65">
        <v>800</v>
      </c>
      <c r="G119" s="65">
        <f>53+160+131.251</f>
        <v>344.25099999999998</v>
      </c>
      <c r="H119" s="65">
        <f t="shared" si="20"/>
        <v>1144.251</v>
      </c>
      <c r="I119" s="65">
        <v>1144.251</v>
      </c>
      <c r="J119" s="30">
        <f t="shared" si="22"/>
        <v>100</v>
      </c>
      <c r="K119" s="238">
        <f t="shared" si="21"/>
        <v>0</v>
      </c>
      <c r="L119" s="121"/>
    </row>
    <row r="120" spans="1:12" x14ac:dyDescent="0.2">
      <c r="A120" s="100"/>
      <c r="B120" s="25">
        <v>4122</v>
      </c>
      <c r="C120" s="100">
        <v>201</v>
      </c>
      <c r="D120" s="25"/>
      <c r="E120" s="25" t="s">
        <v>374</v>
      </c>
      <c r="F120" s="65"/>
      <c r="G120" s="65">
        <v>49.9</v>
      </c>
      <c r="H120" s="65">
        <f t="shared" si="20"/>
        <v>49.9</v>
      </c>
      <c r="I120" s="65">
        <v>49.9</v>
      </c>
      <c r="J120" s="30">
        <f t="shared" si="22"/>
        <v>100</v>
      </c>
      <c r="K120" s="238">
        <f t="shared" si="21"/>
        <v>0</v>
      </c>
      <c r="L120" s="121"/>
    </row>
    <row r="121" spans="1:12" x14ac:dyDescent="0.2">
      <c r="A121" s="100"/>
      <c r="B121" s="25">
        <v>4122</v>
      </c>
      <c r="C121" s="100">
        <v>311</v>
      </c>
      <c r="D121" s="25"/>
      <c r="E121" s="25" t="s">
        <v>396</v>
      </c>
      <c r="F121" s="65"/>
      <c r="G121" s="65">
        <v>42.9</v>
      </c>
      <c r="H121" s="65">
        <f t="shared" si="20"/>
        <v>42.9</v>
      </c>
      <c r="I121" s="65">
        <v>42.9</v>
      </c>
      <c r="J121" s="30">
        <f t="shared" si="22"/>
        <v>100</v>
      </c>
      <c r="K121" s="238">
        <f t="shared" si="21"/>
        <v>0</v>
      </c>
      <c r="L121" s="121"/>
    </row>
    <row r="122" spans="1:12" x14ac:dyDescent="0.2">
      <c r="A122" s="100"/>
      <c r="B122" s="25">
        <v>4122</v>
      </c>
      <c r="C122" s="100">
        <v>249</v>
      </c>
      <c r="D122" s="25"/>
      <c r="E122" s="25" t="s">
        <v>415</v>
      </c>
      <c r="F122" s="65"/>
      <c r="G122" s="65">
        <v>42.84</v>
      </c>
      <c r="H122" s="65">
        <f t="shared" si="20"/>
        <v>42.84</v>
      </c>
      <c r="I122" s="65">
        <v>42.84</v>
      </c>
      <c r="J122" s="30">
        <f t="shared" si="22"/>
        <v>100</v>
      </c>
      <c r="K122" s="238">
        <f t="shared" si="21"/>
        <v>0</v>
      </c>
      <c r="L122" s="121"/>
    </row>
    <row r="123" spans="1:12" x14ac:dyDescent="0.2">
      <c r="A123" s="100"/>
      <c r="B123" s="25">
        <v>4122</v>
      </c>
      <c r="C123" s="100">
        <v>301</v>
      </c>
      <c r="D123" s="25"/>
      <c r="E123" s="25" t="s">
        <v>407</v>
      </c>
      <c r="F123" s="65"/>
      <c r="G123" s="65">
        <v>45.041060000000002</v>
      </c>
      <c r="H123" s="65">
        <f t="shared" si="20"/>
        <v>45.041060000000002</v>
      </c>
      <c r="I123" s="65">
        <v>45.041060000000002</v>
      </c>
      <c r="J123" s="30">
        <f t="shared" si="22"/>
        <v>100</v>
      </c>
      <c r="K123" s="238">
        <f t="shared" si="21"/>
        <v>0</v>
      </c>
      <c r="L123" s="121"/>
    </row>
    <row r="124" spans="1:12" ht="13.5" customHeight="1" x14ac:dyDescent="0.2">
      <c r="A124" s="100"/>
      <c r="B124" s="25">
        <v>4132</v>
      </c>
      <c r="C124" s="100"/>
      <c r="D124" s="25"/>
      <c r="E124" s="25" t="s">
        <v>369</v>
      </c>
      <c r="F124" s="65"/>
      <c r="G124" s="65"/>
      <c r="H124" s="65">
        <f>SUM(F124:G124)</f>
        <v>0</v>
      </c>
      <c r="I124" s="65">
        <v>0.44700000000000001</v>
      </c>
      <c r="J124" s="30"/>
      <c r="K124" s="238">
        <f t="shared" si="21"/>
        <v>0.44700000000000001</v>
      </c>
      <c r="L124" s="381"/>
    </row>
    <row r="125" spans="1:12" x14ac:dyDescent="0.2">
      <c r="A125" s="87" t="s">
        <v>53</v>
      </c>
      <c r="B125" s="28"/>
      <c r="C125" s="87"/>
      <c r="D125" s="28"/>
      <c r="E125" s="28"/>
      <c r="F125" s="66">
        <f>SUM(F126:F130)</f>
        <v>13500</v>
      </c>
      <c r="G125" s="66">
        <f>SUM(G126:G130)</f>
        <v>17424.5</v>
      </c>
      <c r="H125" s="66">
        <f>SUM(H126:H130)</f>
        <v>30924.5</v>
      </c>
      <c r="I125" s="66">
        <f>SUM(I126:I130)</f>
        <v>30924.5</v>
      </c>
      <c r="J125" s="27">
        <f>I125/$H125*100</f>
        <v>100</v>
      </c>
      <c r="K125" s="312">
        <f>SUM(K126:K130)</f>
        <v>0</v>
      </c>
      <c r="L125" s="103"/>
    </row>
    <row r="126" spans="1:12" x14ac:dyDescent="0.2">
      <c r="A126" s="87"/>
      <c r="B126" s="29">
        <v>4222</v>
      </c>
      <c r="C126" s="409">
        <v>216</v>
      </c>
      <c r="D126" s="28"/>
      <c r="E126" s="351" t="s">
        <v>316</v>
      </c>
      <c r="F126" s="372">
        <v>10000</v>
      </c>
      <c r="G126" s="372"/>
      <c r="H126" s="65">
        <f>SUM(F126:G126)</f>
        <v>10000</v>
      </c>
      <c r="I126" s="372">
        <v>10000</v>
      </c>
      <c r="J126" s="30">
        <f t="shared" si="22"/>
        <v>100</v>
      </c>
      <c r="K126" s="238">
        <f>I126-H126</f>
        <v>0</v>
      </c>
      <c r="L126" s="121"/>
    </row>
    <row r="127" spans="1:12" x14ac:dyDescent="0.2">
      <c r="A127" s="87"/>
      <c r="B127" s="29">
        <v>4216</v>
      </c>
      <c r="C127" s="409">
        <v>216</v>
      </c>
      <c r="D127" s="28"/>
      <c r="E127" s="351" t="s">
        <v>378</v>
      </c>
      <c r="F127" s="372"/>
      <c r="G127" s="372">
        <v>20000</v>
      </c>
      <c r="H127" s="65">
        <f>SUM(F127:G127)</f>
        <v>20000</v>
      </c>
      <c r="I127" s="372">
        <v>20000</v>
      </c>
      <c r="J127" s="30">
        <f t="shared" si="22"/>
        <v>100</v>
      </c>
      <c r="K127" s="238">
        <f>I127-H127</f>
        <v>0</v>
      </c>
      <c r="L127" s="121"/>
    </row>
    <row r="128" spans="1:12" x14ac:dyDescent="0.2">
      <c r="A128" s="87"/>
      <c r="B128" s="29">
        <v>4216</v>
      </c>
      <c r="C128" s="409"/>
      <c r="D128" s="28"/>
      <c r="E128" s="351" t="s">
        <v>355</v>
      </c>
      <c r="F128" s="372">
        <v>2500</v>
      </c>
      <c r="G128" s="372">
        <v>-2500</v>
      </c>
      <c r="H128" s="65">
        <f t="shared" ref="H128" si="23">SUM(F128:G128)</f>
        <v>0</v>
      </c>
      <c r="I128" s="372">
        <v>0</v>
      </c>
      <c r="J128" s="30"/>
      <c r="K128" s="238">
        <f>I128-H128</f>
        <v>0</v>
      </c>
      <c r="L128" s="121"/>
    </row>
    <row r="129" spans="1:12" x14ac:dyDescent="0.2">
      <c r="A129" s="100"/>
      <c r="B129" s="29">
        <v>4222</v>
      </c>
      <c r="C129" s="409">
        <v>223</v>
      </c>
      <c r="D129" s="25"/>
      <c r="E129" s="25" t="s">
        <v>340</v>
      </c>
      <c r="F129" s="65"/>
      <c r="G129" s="65">
        <v>24.5</v>
      </c>
      <c r="H129" s="65">
        <f>SUM(F129:G129)</f>
        <v>24.5</v>
      </c>
      <c r="I129" s="65">
        <v>24.5</v>
      </c>
      <c r="J129" s="30">
        <f t="shared" si="22"/>
        <v>100</v>
      </c>
      <c r="K129" s="238">
        <f>I129-H129</f>
        <v>0</v>
      </c>
      <c r="L129" s="121"/>
    </row>
    <row r="130" spans="1:12" ht="13.5" thickBot="1" x14ac:dyDescent="0.25">
      <c r="A130" s="87"/>
      <c r="B130" s="29">
        <v>4222</v>
      </c>
      <c r="C130" s="409">
        <v>223</v>
      </c>
      <c r="D130" s="28"/>
      <c r="E130" s="351" t="s">
        <v>371</v>
      </c>
      <c r="F130" s="372">
        <v>1000</v>
      </c>
      <c r="G130" s="372">
        <v>-100</v>
      </c>
      <c r="H130" s="65">
        <f>SUM(F130:G130)</f>
        <v>900</v>
      </c>
      <c r="I130" s="372">
        <v>900</v>
      </c>
      <c r="J130" s="30">
        <f t="shared" si="22"/>
        <v>100</v>
      </c>
      <c r="K130" s="238">
        <f>I130-H130</f>
        <v>0</v>
      </c>
      <c r="L130" s="121"/>
    </row>
    <row r="131" spans="1:12" ht="14.25" customHeight="1" thickBot="1" x14ac:dyDescent="0.3">
      <c r="A131" s="106" t="s">
        <v>54</v>
      </c>
      <c r="B131" s="109"/>
      <c r="C131" s="110"/>
      <c r="D131" s="109"/>
      <c r="E131" s="109"/>
      <c r="F131" s="112">
        <f>SUM(F99+F125)</f>
        <v>38591</v>
      </c>
      <c r="G131" s="112">
        <f>SUM(G99+G125)</f>
        <v>28813.791859999998</v>
      </c>
      <c r="H131" s="112">
        <f>SUM(H99+H125)</f>
        <v>67404.791859999998</v>
      </c>
      <c r="I131" s="112">
        <f>SUM(I99+I125)</f>
        <v>67462.022189999989</v>
      </c>
      <c r="J131" s="32">
        <f>I131/$H131*100</f>
        <v>100.08490543241919</v>
      </c>
      <c r="K131" s="313">
        <f>SUM(K99+K125)</f>
        <v>57.230329999999945</v>
      </c>
      <c r="L131" s="112"/>
    </row>
    <row r="132" spans="1:12" ht="16.5" thickBot="1" x14ac:dyDescent="0.3">
      <c r="A132" s="34" t="s">
        <v>11</v>
      </c>
      <c r="B132" s="35"/>
      <c r="C132" s="36"/>
      <c r="D132" s="36"/>
      <c r="E132" s="37"/>
      <c r="F132" s="122">
        <f>SUM(F38+F89+F97+F131)</f>
        <v>144479</v>
      </c>
      <c r="G132" s="122">
        <f>SUM(G38+G89+G97+G131)</f>
        <v>28868.049269999996</v>
      </c>
      <c r="H132" s="122">
        <f>SUM(H38+H89+H97+H131)</f>
        <v>173329.37886</v>
      </c>
      <c r="I132" s="122">
        <f>SUM(I38+I89+I97+I131)</f>
        <v>183386.87429999997</v>
      </c>
      <c r="J132" s="122">
        <f>I132/$H132*100</f>
        <v>105.80253359594826</v>
      </c>
      <c r="K132" s="313">
        <f>SUM(K38+K89+K97+K131)</f>
        <v>10040.495440000001</v>
      </c>
      <c r="L132" s="226"/>
    </row>
    <row r="133" spans="1:12" ht="24" customHeight="1" thickBot="1" x14ac:dyDescent="0.25">
      <c r="A133" s="97"/>
      <c r="B133" s="19"/>
      <c r="C133" s="97"/>
      <c r="D133" s="19"/>
      <c r="E133" s="19"/>
      <c r="F133" s="144"/>
      <c r="G133" s="144"/>
      <c r="H133" s="144"/>
      <c r="I133" s="144"/>
      <c r="J133" s="99"/>
      <c r="K133" s="314"/>
      <c r="L133" s="214"/>
    </row>
    <row r="134" spans="1:12" ht="13.5" thickBot="1" x14ac:dyDescent="0.25">
      <c r="A134" s="38"/>
      <c r="B134" s="39"/>
      <c r="C134" s="38"/>
      <c r="D134" s="39"/>
      <c r="E134" s="40"/>
      <c r="F134" s="412" t="s">
        <v>327</v>
      </c>
      <c r="G134" s="408" t="s">
        <v>3</v>
      </c>
      <c r="H134" s="145" t="s">
        <v>100</v>
      </c>
      <c r="I134" s="408" t="str">
        <f>I3</f>
        <v>4.Q.2017</v>
      </c>
      <c r="J134" s="390" t="s">
        <v>4</v>
      </c>
      <c r="K134" s="240" t="s">
        <v>91</v>
      </c>
      <c r="L134" s="227"/>
    </row>
    <row r="135" spans="1:12" x14ac:dyDescent="0.2">
      <c r="A135" s="38" t="s">
        <v>55</v>
      </c>
      <c r="B135" s="19"/>
      <c r="C135" s="97"/>
      <c r="D135" s="19"/>
      <c r="E135" s="113" t="s">
        <v>56</v>
      </c>
      <c r="F135" s="141">
        <f>F38</f>
        <v>80034</v>
      </c>
      <c r="G135" s="141">
        <f>G38</f>
        <v>0</v>
      </c>
      <c r="H135" s="141">
        <f>H38</f>
        <v>80034</v>
      </c>
      <c r="I135" s="141">
        <f>I38</f>
        <v>88971.968209999992</v>
      </c>
      <c r="J135" s="355">
        <f t="shared" ref="J135:J141" si="24">I135/$H135*100</f>
        <v>111.16771398405676</v>
      </c>
      <c r="K135" s="238">
        <f>K38</f>
        <v>8937.9682100000009</v>
      </c>
      <c r="L135" s="228"/>
    </row>
    <row r="136" spans="1:12" x14ac:dyDescent="0.2">
      <c r="A136" s="97"/>
      <c r="B136" s="19"/>
      <c r="C136" s="97"/>
      <c r="D136" s="19"/>
      <c r="E136" s="56" t="s">
        <v>57</v>
      </c>
      <c r="F136" s="342">
        <f>F89</f>
        <v>25389</v>
      </c>
      <c r="G136" s="342">
        <f>G89</f>
        <v>34.257409999999993</v>
      </c>
      <c r="H136" s="41">
        <f>H89</f>
        <v>25405.587</v>
      </c>
      <c r="I136" s="342">
        <f>I89</f>
        <v>25427.374899999992</v>
      </c>
      <c r="J136" s="355">
        <f t="shared" si="24"/>
        <v>100.08576026997522</v>
      </c>
      <c r="K136" s="238">
        <f>K89</f>
        <v>4.787899999999496</v>
      </c>
      <c r="L136" s="229"/>
    </row>
    <row r="137" spans="1:12" x14ac:dyDescent="0.2">
      <c r="A137" s="97"/>
      <c r="B137" s="19"/>
      <c r="C137" s="97"/>
      <c r="D137" s="19"/>
      <c r="E137" s="56" t="s">
        <v>58</v>
      </c>
      <c r="F137" s="142">
        <f>F99</f>
        <v>25091</v>
      </c>
      <c r="G137" s="142">
        <f>G99</f>
        <v>11389.291859999999</v>
      </c>
      <c r="H137" s="142">
        <f>H99</f>
        <v>36480.291859999998</v>
      </c>
      <c r="I137" s="142">
        <f>I99</f>
        <v>36537.522189999996</v>
      </c>
      <c r="J137" s="355">
        <f t="shared" si="24"/>
        <v>100.15688013193433</v>
      </c>
      <c r="K137" s="238">
        <f>K99</f>
        <v>57.230329999999945</v>
      </c>
      <c r="L137" s="322"/>
    </row>
    <row r="138" spans="1:12" x14ac:dyDescent="0.2">
      <c r="A138" s="97"/>
      <c r="B138" s="19"/>
      <c r="C138" s="97"/>
      <c r="D138" s="19"/>
      <c r="E138" s="114" t="s">
        <v>59</v>
      </c>
      <c r="F138" s="163">
        <f>SUM(F135:F137)</f>
        <v>130514</v>
      </c>
      <c r="G138" s="163">
        <f>SUM(G135:G137)</f>
        <v>11423.54927</v>
      </c>
      <c r="H138" s="163">
        <f>SUM(H135:H137)</f>
        <v>141919.87886</v>
      </c>
      <c r="I138" s="163">
        <f>SUM(I135:I137)</f>
        <v>150936.86529999998</v>
      </c>
      <c r="J138" s="356">
        <f t="shared" si="24"/>
        <v>106.35357535000081</v>
      </c>
      <c r="K138" s="312">
        <f>SUM(K135:K137)</f>
        <v>8999.9864400000006</v>
      </c>
      <c r="L138" s="230"/>
    </row>
    <row r="139" spans="1:12" x14ac:dyDescent="0.2">
      <c r="A139" s="97"/>
      <c r="B139" s="19"/>
      <c r="C139" s="97"/>
      <c r="D139" s="19"/>
      <c r="E139" s="56" t="s">
        <v>60</v>
      </c>
      <c r="F139" s="143">
        <f>F97</f>
        <v>465</v>
      </c>
      <c r="G139" s="143">
        <f>G97</f>
        <v>20</v>
      </c>
      <c r="H139" s="143">
        <f>H97</f>
        <v>485</v>
      </c>
      <c r="I139" s="143">
        <f>I97</f>
        <v>1525.509</v>
      </c>
      <c r="J139" s="355">
        <f t="shared" si="24"/>
        <v>314.53793814432987</v>
      </c>
      <c r="K139" s="238">
        <f>K97</f>
        <v>1040.509</v>
      </c>
      <c r="L139" s="228" t="s">
        <v>1</v>
      </c>
    </row>
    <row r="140" spans="1:12" x14ac:dyDescent="0.2">
      <c r="A140" s="97"/>
      <c r="B140" s="19"/>
      <c r="C140" s="97"/>
      <c r="D140" s="19"/>
      <c r="E140" s="56" t="s">
        <v>61</v>
      </c>
      <c r="F140" s="143">
        <f>F125</f>
        <v>13500</v>
      </c>
      <c r="G140" s="143">
        <f>G125</f>
        <v>17424.5</v>
      </c>
      <c r="H140" s="143">
        <f>H125</f>
        <v>30924.5</v>
      </c>
      <c r="I140" s="143">
        <f>I125</f>
        <v>30924.5</v>
      </c>
      <c r="J140" s="355">
        <f t="shared" si="24"/>
        <v>100</v>
      </c>
      <c r="K140" s="238">
        <f>K125</f>
        <v>0</v>
      </c>
      <c r="L140" s="228"/>
    </row>
    <row r="141" spans="1:12" ht="13.5" thickBot="1" x14ac:dyDescent="0.25">
      <c r="A141" s="115"/>
      <c r="B141" s="19"/>
      <c r="C141" s="97"/>
      <c r="D141" s="19"/>
      <c r="E141" s="116" t="s">
        <v>62</v>
      </c>
      <c r="F141" s="343">
        <f>SUM(F138:F140)</f>
        <v>144479</v>
      </c>
      <c r="G141" s="343">
        <f>SUM(G138:G140)</f>
        <v>28868.04927</v>
      </c>
      <c r="H141" s="153">
        <f>SUM(H138:H140)</f>
        <v>173329.37886</v>
      </c>
      <c r="I141" s="343">
        <f>SUM(I138:I140)</f>
        <v>183386.87429999997</v>
      </c>
      <c r="J141" s="357">
        <f t="shared" si="24"/>
        <v>105.80253359594826</v>
      </c>
      <c r="K141" s="341">
        <f>SUM(K138:K140)</f>
        <v>10040.495440000001</v>
      </c>
      <c r="L141" s="231"/>
    </row>
    <row r="142" spans="1:12" x14ac:dyDescent="0.2">
      <c r="L142" s="232"/>
    </row>
    <row r="143" spans="1:12" x14ac:dyDescent="0.2">
      <c r="A143" s="12"/>
      <c r="B143" s="124"/>
      <c r="C143" s="124"/>
      <c r="D143" s="132"/>
      <c r="E143" s="346"/>
      <c r="H143" s="347"/>
      <c r="K143" s="189"/>
      <c r="L143" s="117"/>
    </row>
    <row r="144" spans="1:12" x14ac:dyDescent="0.2">
      <c r="A144" s="124"/>
      <c r="B144" s="124"/>
      <c r="C144" s="124"/>
      <c r="D144" s="124"/>
      <c r="E144" s="346"/>
      <c r="F144" s="86"/>
      <c r="H144" s="307"/>
      <c r="K144" s="189"/>
      <c r="L144" s="117"/>
    </row>
    <row r="145" spans="1:12" x14ac:dyDescent="0.2">
      <c r="A145" s="124"/>
      <c r="B145" s="124"/>
      <c r="C145" s="124"/>
      <c r="D145" s="124"/>
      <c r="E145" s="346"/>
      <c r="H145" s="307"/>
      <c r="K145" s="189"/>
      <c r="L145" s="232"/>
    </row>
    <row r="146" spans="1:12" x14ac:dyDescent="0.2">
      <c r="A146" s="124"/>
      <c r="B146" s="124"/>
      <c r="C146" s="124"/>
      <c r="D146" s="124"/>
      <c r="E146" s="346"/>
      <c r="H146" s="348"/>
      <c r="L146" s="117"/>
    </row>
    <row r="147" spans="1:12" x14ac:dyDescent="0.2">
      <c r="A147" s="124"/>
      <c r="B147" s="124"/>
      <c r="C147" s="124"/>
      <c r="D147" s="124"/>
      <c r="E147" s="352"/>
      <c r="H147" s="348"/>
      <c r="K147" s="189"/>
      <c r="L147" s="117"/>
    </row>
    <row r="148" spans="1:12" x14ac:dyDescent="0.2">
      <c r="A148" s="12"/>
      <c r="B148" s="124"/>
      <c r="C148" s="124"/>
      <c r="D148" s="124"/>
      <c r="E148" s="419"/>
      <c r="H148" s="349"/>
      <c r="K148" s="189"/>
      <c r="L148" s="117"/>
    </row>
    <row r="149" spans="1:12" x14ac:dyDescent="0.2">
      <c r="E149" s="117"/>
      <c r="L149" s="117"/>
    </row>
    <row r="150" spans="1:12" x14ac:dyDescent="0.2">
      <c r="E150" s="117"/>
      <c r="L150" s="117"/>
    </row>
    <row r="151" spans="1:12" x14ac:dyDescent="0.2">
      <c r="E151" s="117"/>
      <c r="F151" s="315"/>
      <c r="G151" s="315"/>
      <c r="I151" s="315"/>
      <c r="L151" s="117"/>
    </row>
    <row r="152" spans="1:12" x14ac:dyDescent="0.2">
      <c r="L152" s="319"/>
    </row>
    <row r="153" spans="1:12" x14ac:dyDescent="0.2">
      <c r="L153" s="232"/>
    </row>
    <row r="156" spans="1:12" x14ac:dyDescent="0.2">
      <c r="L156" s="232"/>
    </row>
  </sheetData>
  <phoneticPr fontId="6" type="noConversion"/>
  <pageMargins left="0.26" right="0.15748031496062992" top="0.31" bottom="0.27559055118110237" header="0.19685039370078741" footer="0.15748031496062992"/>
  <pageSetup paperSize="9" scale="87" fitToWidth="0" fitToHeight="0" orientation="landscape" horizontalDpi="300" verticalDpi="300" r:id="rId1"/>
  <headerFooter alignWithMargins="0">
    <oddHeader>&amp;R&amp;P+1.strana</oddHeader>
    <oddFooter xml:space="preserve">&amp;R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GB145"/>
  <sheetViews>
    <sheetView zoomScaleNormal="100" workbookViewId="0">
      <pane xSplit="4" ySplit="4" topLeftCell="E5" activePane="bottomRight" state="frozen"/>
      <selection pane="topRight" activeCell="E1" sqref="E1"/>
      <selection pane="bottomLeft" activeCell="A5" sqref="A5"/>
      <selection pane="bottomRight" activeCell="D2" sqref="D2"/>
    </sheetView>
  </sheetViews>
  <sheetFormatPr defaultColWidth="7.85546875" defaultRowHeight="12.75" x14ac:dyDescent="0.2"/>
  <cols>
    <col min="1" max="1" width="3.28515625" style="86" customWidth="1"/>
    <col min="2" max="2" width="4.85546875" style="89" customWidth="1"/>
    <col min="3" max="3" width="5.28515625" style="89" bestFit="1" customWidth="1"/>
    <col min="4" max="4" width="27.42578125" style="202" customWidth="1"/>
    <col min="5" max="5" width="6.28515625" style="108" customWidth="1"/>
    <col min="6" max="6" width="5.85546875" style="108" customWidth="1"/>
    <col min="7" max="7" width="7.42578125" style="108" customWidth="1"/>
    <col min="8" max="8" width="5.85546875" style="181" bestFit="1" customWidth="1"/>
    <col min="9" max="9" width="6.28515625" style="181" customWidth="1"/>
    <col min="10" max="10" width="6.5703125" style="108" bestFit="1" customWidth="1"/>
    <col min="11" max="11" width="6.42578125" style="108" customWidth="1"/>
    <col min="12" max="12" width="7.28515625" style="108" customWidth="1"/>
    <col min="13" max="13" width="7.28515625" style="445" customWidth="1"/>
    <col min="14" max="14" width="6" style="445" customWidth="1"/>
    <col min="15" max="15" width="6.42578125" style="445" customWidth="1"/>
    <col min="16" max="16" width="4" style="445" customWidth="1"/>
    <col min="17" max="17" width="6.85546875" style="108" customWidth="1"/>
    <col min="18" max="18" width="22.7109375" style="108" customWidth="1"/>
    <col min="19" max="19" width="9.28515625" style="86" customWidth="1"/>
    <col min="20" max="20" width="8.85546875" style="86" customWidth="1"/>
    <col min="21" max="21" width="8.85546875" style="108" customWidth="1"/>
    <col min="22" max="16384" width="7.85546875" style="86"/>
  </cols>
  <sheetData>
    <row r="1" spans="1:21" ht="18.75" thickBot="1" x14ac:dyDescent="0.3">
      <c r="A1" s="96" t="s">
        <v>442</v>
      </c>
      <c r="B1" s="278"/>
      <c r="C1" s="278"/>
      <c r="D1" s="277"/>
      <c r="E1" s="278"/>
      <c r="F1" s="278"/>
      <c r="G1" s="278"/>
      <c r="H1" s="278"/>
      <c r="I1" s="278"/>
      <c r="J1" s="278"/>
      <c r="K1" s="278"/>
      <c r="L1" s="278"/>
      <c r="M1" s="278"/>
      <c r="N1" s="278"/>
      <c r="O1" s="278"/>
      <c r="P1" s="278"/>
      <c r="Q1" s="440"/>
      <c r="R1" s="442"/>
      <c r="S1" s="19"/>
      <c r="T1" s="108"/>
    </row>
    <row r="2" spans="1:21" x14ac:dyDescent="0.2">
      <c r="A2" s="126"/>
      <c r="B2" s="90"/>
      <c r="C2" s="90"/>
      <c r="D2" s="468"/>
      <c r="E2" s="157"/>
      <c r="F2" s="157" t="s">
        <v>328</v>
      </c>
      <c r="G2" s="157"/>
      <c r="H2" s="495" t="s">
        <v>3</v>
      </c>
      <c r="I2" s="496"/>
      <c r="J2" s="386"/>
      <c r="K2" s="42" t="s">
        <v>101</v>
      </c>
      <c r="L2" s="157"/>
      <c r="M2" s="157"/>
      <c r="N2" s="157" t="s">
        <v>443</v>
      </c>
      <c r="O2" s="157"/>
      <c r="P2" s="157"/>
      <c r="Q2" s="363"/>
      <c r="R2" s="157"/>
      <c r="S2" s="399"/>
      <c r="T2" s="279"/>
      <c r="U2" s="279"/>
    </row>
    <row r="3" spans="1:21" x14ac:dyDescent="0.2">
      <c r="A3" s="82"/>
      <c r="B3" s="28"/>
      <c r="C3" s="28"/>
      <c r="D3" s="391"/>
      <c r="E3" s="43">
        <v>2017</v>
      </c>
      <c r="F3" s="44">
        <v>2017</v>
      </c>
      <c r="G3" s="81">
        <v>2017</v>
      </c>
      <c r="H3" s="165">
        <v>2017</v>
      </c>
      <c r="I3" s="166">
        <v>2017</v>
      </c>
      <c r="J3" s="43">
        <v>2017</v>
      </c>
      <c r="K3" s="44">
        <v>2017</v>
      </c>
      <c r="L3" s="81">
        <v>2017</v>
      </c>
      <c r="M3" s="43">
        <v>2017</v>
      </c>
      <c r="N3" s="44">
        <v>2017</v>
      </c>
      <c r="O3" s="81">
        <v>2017</v>
      </c>
      <c r="P3" s="81"/>
      <c r="Q3" s="364" t="s">
        <v>293</v>
      </c>
      <c r="R3" s="81"/>
      <c r="S3" s="353" t="s">
        <v>159</v>
      </c>
      <c r="T3" s="400" t="s">
        <v>170</v>
      </c>
      <c r="U3" s="400"/>
    </row>
    <row r="4" spans="1:21" ht="13.5" thickBot="1" x14ac:dyDescent="0.25">
      <c r="A4" s="45" t="s">
        <v>63</v>
      </c>
      <c r="B4" s="23" t="s">
        <v>22</v>
      </c>
      <c r="C4" s="23" t="s">
        <v>23</v>
      </c>
      <c r="D4" s="392" t="s">
        <v>64</v>
      </c>
      <c r="E4" s="45" t="s">
        <v>65</v>
      </c>
      <c r="F4" s="23" t="s">
        <v>66</v>
      </c>
      <c r="G4" s="46" t="s">
        <v>67</v>
      </c>
      <c r="H4" s="167" t="s">
        <v>65</v>
      </c>
      <c r="I4" s="417" t="s">
        <v>66</v>
      </c>
      <c r="J4" s="362" t="s">
        <v>65</v>
      </c>
      <c r="K4" s="23" t="s">
        <v>66</v>
      </c>
      <c r="L4" s="46" t="s">
        <v>67</v>
      </c>
      <c r="M4" s="45" t="s">
        <v>65</v>
      </c>
      <c r="N4" s="23" t="s">
        <v>66</v>
      </c>
      <c r="O4" s="46" t="s">
        <v>67</v>
      </c>
      <c r="P4" s="46" t="s">
        <v>4</v>
      </c>
      <c r="Q4" s="365" t="s">
        <v>194</v>
      </c>
      <c r="R4" s="46" t="s">
        <v>276</v>
      </c>
      <c r="S4" s="354" t="s">
        <v>158</v>
      </c>
      <c r="T4" s="401" t="s">
        <v>163</v>
      </c>
      <c r="U4" s="401" t="s">
        <v>331</v>
      </c>
    </row>
    <row r="5" spans="1:21" x14ac:dyDescent="0.2">
      <c r="A5" s="127">
        <v>10</v>
      </c>
      <c r="B5" s="63"/>
      <c r="C5" s="63"/>
      <c r="D5" s="385" t="s">
        <v>68</v>
      </c>
      <c r="E5" s="47">
        <f t="shared" ref="E5:O5" si="0">SUM(E6:E8)</f>
        <v>1272</v>
      </c>
      <c r="F5" s="48">
        <f t="shared" si="0"/>
        <v>0</v>
      </c>
      <c r="G5" s="159">
        <f t="shared" si="0"/>
        <v>1272</v>
      </c>
      <c r="H5" s="168">
        <f t="shared" si="0"/>
        <v>670.24400000000003</v>
      </c>
      <c r="I5" s="169">
        <f t="shared" si="0"/>
        <v>0</v>
      </c>
      <c r="J5" s="47">
        <f t="shared" si="0"/>
        <v>1942.2440000000001</v>
      </c>
      <c r="K5" s="48">
        <f t="shared" si="0"/>
        <v>0</v>
      </c>
      <c r="L5" s="159">
        <f t="shared" si="0"/>
        <v>1942.2440000000001</v>
      </c>
      <c r="M5" s="47">
        <f t="shared" si="0"/>
        <v>1384.1484700000001</v>
      </c>
      <c r="N5" s="48">
        <f t="shared" si="0"/>
        <v>0</v>
      </c>
      <c r="O5" s="159">
        <f t="shared" si="0"/>
        <v>1384.1484700000001</v>
      </c>
      <c r="P5" s="159">
        <f>O5/$L5*100</f>
        <v>71.26542648606457</v>
      </c>
      <c r="Q5" s="366">
        <f>SUM(Q6:Q8)</f>
        <v>558.09553000000005</v>
      </c>
      <c r="R5" s="159"/>
      <c r="S5" s="49"/>
      <c r="T5" s="69"/>
    </row>
    <row r="6" spans="1:21" x14ac:dyDescent="0.2">
      <c r="A6" s="446"/>
      <c r="B6" s="452">
        <v>1031</v>
      </c>
      <c r="C6" s="452">
        <v>201</v>
      </c>
      <c r="D6" s="453" t="s">
        <v>201</v>
      </c>
      <c r="E6" s="444">
        <f>618+404</f>
        <v>1022</v>
      </c>
      <c r="F6" s="452"/>
      <c r="G6" s="455">
        <f>E6+F6</f>
        <v>1022</v>
      </c>
      <c r="H6" s="447">
        <f>49.9+43.323+90.112</f>
        <v>183.33499999999998</v>
      </c>
      <c r="I6" s="448"/>
      <c r="J6" s="444">
        <f t="shared" ref="J6:K8" si="1">E6+H6</f>
        <v>1205.335</v>
      </c>
      <c r="K6" s="452">
        <f t="shared" si="1"/>
        <v>0</v>
      </c>
      <c r="L6" s="455">
        <f>SUM(J6:K6)</f>
        <v>1205.335</v>
      </c>
      <c r="M6" s="444">
        <v>897.23946999999998</v>
      </c>
      <c r="N6" s="452"/>
      <c r="O6" s="455">
        <f>M6+N6</f>
        <v>897.23946999999998</v>
      </c>
      <c r="P6" s="455">
        <f>O6/$L6*100</f>
        <v>74.439012390746143</v>
      </c>
      <c r="Q6" s="451">
        <f>L6-O6</f>
        <v>308.09553000000005</v>
      </c>
      <c r="R6" s="455"/>
      <c r="S6" s="295" t="s">
        <v>69</v>
      </c>
      <c r="T6" s="282" t="s">
        <v>120</v>
      </c>
    </row>
    <row r="7" spans="1:21" x14ac:dyDescent="0.2">
      <c r="A7" s="446"/>
      <c r="B7" s="452">
        <v>1037</v>
      </c>
      <c r="C7" s="452">
        <v>202</v>
      </c>
      <c r="D7" s="453" t="s">
        <v>366</v>
      </c>
      <c r="E7" s="444">
        <v>250</v>
      </c>
      <c r="F7" s="452"/>
      <c r="G7" s="455">
        <f>E7+F7</f>
        <v>250</v>
      </c>
      <c r="H7" s="447"/>
      <c r="I7" s="448"/>
      <c r="J7" s="444">
        <f t="shared" si="1"/>
        <v>250</v>
      </c>
      <c r="K7" s="452">
        <f t="shared" si="1"/>
        <v>0</v>
      </c>
      <c r="L7" s="455">
        <f>SUM(J7:K7)</f>
        <v>250</v>
      </c>
      <c r="M7" s="444"/>
      <c r="N7" s="452"/>
      <c r="O7" s="455">
        <f t="shared" ref="O7:O8" si="2">M7+N7</f>
        <v>0</v>
      </c>
      <c r="P7" s="455">
        <f t="shared" ref="P7" si="3">O7/$L7*100</f>
        <v>0</v>
      </c>
      <c r="Q7" s="451">
        <f>L7-O7</f>
        <v>250</v>
      </c>
      <c r="R7" s="455"/>
      <c r="S7" s="295" t="s">
        <v>367</v>
      </c>
      <c r="T7" s="282" t="s">
        <v>120</v>
      </c>
    </row>
    <row r="8" spans="1:21" ht="13.5" customHeight="1" x14ac:dyDescent="0.2">
      <c r="A8" s="446"/>
      <c r="B8" s="452">
        <v>1036</v>
      </c>
      <c r="C8" s="452">
        <v>109</v>
      </c>
      <c r="D8" s="453" t="s">
        <v>160</v>
      </c>
      <c r="E8" s="444"/>
      <c r="F8" s="454"/>
      <c r="G8" s="455">
        <f>E8+F8</f>
        <v>0</v>
      </c>
      <c r="H8" s="173">
        <f>142.43+139.203+140.75+5.25+59.276</f>
        <v>486.90900000000005</v>
      </c>
      <c r="I8" s="448"/>
      <c r="J8" s="444">
        <f t="shared" si="1"/>
        <v>486.90900000000005</v>
      </c>
      <c r="K8" s="454">
        <f t="shared" si="1"/>
        <v>0</v>
      </c>
      <c r="L8" s="455">
        <f>SUM(J8:K8)</f>
        <v>486.90900000000005</v>
      </c>
      <c r="M8" s="444">
        <v>486.90899999999999</v>
      </c>
      <c r="N8" s="454"/>
      <c r="O8" s="455">
        <f t="shared" si="2"/>
        <v>486.90899999999999</v>
      </c>
      <c r="P8" s="455"/>
      <c r="Q8" s="451">
        <f>L8-O8</f>
        <v>0</v>
      </c>
      <c r="R8" s="455" t="s">
        <v>146</v>
      </c>
      <c r="S8" s="303" t="s">
        <v>211</v>
      </c>
      <c r="T8" s="281" t="s">
        <v>257</v>
      </c>
    </row>
    <row r="9" spans="1:21" x14ac:dyDescent="0.2">
      <c r="A9" s="128">
        <v>21</v>
      </c>
      <c r="B9" s="20"/>
      <c r="C9" s="20"/>
      <c r="D9" s="393" t="s">
        <v>271</v>
      </c>
      <c r="E9" s="52">
        <f>SUM(E10:E14)</f>
        <v>871</v>
      </c>
      <c r="F9" s="53">
        <f>SUM(F10:F14)</f>
        <v>770</v>
      </c>
      <c r="G9" s="54">
        <f>SUM(G10:G14)</f>
        <v>1641</v>
      </c>
      <c r="H9" s="171">
        <f t="shared" ref="H9:L9" si="4">SUM(H10:H14)</f>
        <v>20</v>
      </c>
      <c r="I9" s="172">
        <f t="shared" si="4"/>
        <v>0</v>
      </c>
      <c r="J9" s="52">
        <f t="shared" si="4"/>
        <v>891</v>
      </c>
      <c r="K9" s="53">
        <f t="shared" si="4"/>
        <v>770</v>
      </c>
      <c r="L9" s="54">
        <f t="shared" si="4"/>
        <v>1661</v>
      </c>
      <c r="M9" s="52">
        <f t="shared" ref="M9:O9" si="5">SUM(M10:M14)</f>
        <v>782.41532000000007</v>
      </c>
      <c r="N9" s="53">
        <f t="shared" si="5"/>
        <v>208.34399999999999</v>
      </c>
      <c r="O9" s="54">
        <f t="shared" si="5"/>
        <v>990.75931999999989</v>
      </c>
      <c r="P9" s="54">
        <f t="shared" ref="P9:P54" si="6">O9/$L9*100</f>
        <v>59.648363636363634</v>
      </c>
      <c r="Q9" s="367">
        <f>SUM(Q10:Q14)</f>
        <v>670.24067999999988</v>
      </c>
      <c r="R9" s="54"/>
      <c r="S9" s="49"/>
      <c r="T9" s="69"/>
    </row>
    <row r="10" spans="1:21" x14ac:dyDescent="0.2">
      <c r="A10" s="56"/>
      <c r="B10" s="452">
        <v>2121</v>
      </c>
      <c r="C10" s="452">
        <v>20</v>
      </c>
      <c r="D10" s="453" t="s">
        <v>92</v>
      </c>
      <c r="E10" s="444"/>
      <c r="F10" s="454">
        <v>410</v>
      </c>
      <c r="G10" s="455">
        <f>E10+F10</f>
        <v>410</v>
      </c>
      <c r="H10" s="447"/>
      <c r="I10" s="448"/>
      <c r="J10" s="444">
        <f>E10+H10</f>
        <v>0</v>
      </c>
      <c r="K10" s="452">
        <f>F10+I10</f>
        <v>410</v>
      </c>
      <c r="L10" s="455">
        <f>SUM(J10:K10)</f>
        <v>410</v>
      </c>
      <c r="M10" s="444"/>
      <c r="N10" s="454">
        <v>22.25</v>
      </c>
      <c r="O10" s="455">
        <f>M10+N10</f>
        <v>22.25</v>
      </c>
      <c r="P10" s="455">
        <f t="shared" si="6"/>
        <v>5.4268292682926829</v>
      </c>
      <c r="Q10" s="451">
        <f>L10-O10</f>
        <v>387.75</v>
      </c>
      <c r="R10" s="455" t="s">
        <v>409</v>
      </c>
      <c r="S10" s="295" t="s">
        <v>69</v>
      </c>
      <c r="T10" s="282" t="s">
        <v>120</v>
      </c>
    </row>
    <row r="11" spans="1:21" x14ac:dyDescent="0.2">
      <c r="A11" s="56"/>
      <c r="B11" s="452">
        <v>2121</v>
      </c>
      <c r="C11" s="452">
        <v>237</v>
      </c>
      <c r="D11" s="453" t="s">
        <v>179</v>
      </c>
      <c r="E11" s="444">
        <v>371</v>
      </c>
      <c r="F11" s="454"/>
      <c r="G11" s="455">
        <f>E11+F11</f>
        <v>371</v>
      </c>
      <c r="H11" s="447"/>
      <c r="I11" s="448"/>
      <c r="J11" s="444">
        <f>E11+H11</f>
        <v>371</v>
      </c>
      <c r="K11" s="452"/>
      <c r="L11" s="455">
        <f>SUM(J11:K11)</f>
        <v>371</v>
      </c>
      <c r="M11" s="444">
        <v>233.86632</v>
      </c>
      <c r="N11" s="454"/>
      <c r="O11" s="455">
        <f>M11+N11</f>
        <v>233.86632</v>
      </c>
      <c r="P11" s="455">
        <f t="shared" si="6"/>
        <v>63.036743935309971</v>
      </c>
      <c r="Q11" s="451">
        <f>L11-O11</f>
        <v>137.13368</v>
      </c>
      <c r="R11" s="455"/>
      <c r="S11" s="295" t="s">
        <v>69</v>
      </c>
      <c r="T11" s="282" t="s">
        <v>120</v>
      </c>
    </row>
    <row r="12" spans="1:21" x14ac:dyDescent="0.2">
      <c r="A12" s="56"/>
      <c r="B12" s="452">
        <v>2141</v>
      </c>
      <c r="C12" s="452">
        <v>101</v>
      </c>
      <c r="D12" s="453" t="s">
        <v>292</v>
      </c>
      <c r="E12" s="444">
        <v>50</v>
      </c>
      <c r="F12" s="454"/>
      <c r="G12" s="455">
        <f>E12+F12</f>
        <v>50</v>
      </c>
      <c r="H12" s="447"/>
      <c r="I12" s="448"/>
      <c r="J12" s="444">
        <f>E12+H12</f>
        <v>50</v>
      </c>
      <c r="K12" s="452">
        <f>F12+I12</f>
        <v>0</v>
      </c>
      <c r="L12" s="455">
        <f>SUM(J12:K12)</f>
        <v>50</v>
      </c>
      <c r="M12" s="444">
        <v>41.920999999999999</v>
      </c>
      <c r="N12" s="454"/>
      <c r="O12" s="455">
        <f>M12+N12</f>
        <v>41.920999999999999</v>
      </c>
      <c r="P12" s="455">
        <f t="shared" si="6"/>
        <v>83.841999999999999</v>
      </c>
      <c r="Q12" s="451">
        <f>L12-O12</f>
        <v>8.0790000000000006</v>
      </c>
      <c r="R12" s="455"/>
      <c r="S12" s="295" t="s">
        <v>329</v>
      </c>
      <c r="T12" s="282" t="s">
        <v>120</v>
      </c>
    </row>
    <row r="13" spans="1:21" x14ac:dyDescent="0.2">
      <c r="A13" s="56"/>
      <c r="B13" s="452">
        <v>2144</v>
      </c>
      <c r="C13" s="452">
        <v>650</v>
      </c>
      <c r="D13" s="453" t="s">
        <v>175</v>
      </c>
      <c r="E13" s="444">
        <v>210</v>
      </c>
      <c r="F13" s="454"/>
      <c r="G13" s="455">
        <f>E13+F13</f>
        <v>210</v>
      </c>
      <c r="H13" s="447">
        <v>20</v>
      </c>
      <c r="I13" s="448"/>
      <c r="J13" s="444">
        <f>E13+H13</f>
        <v>230</v>
      </c>
      <c r="K13" s="452"/>
      <c r="L13" s="455">
        <f>SUM(J13:K13)</f>
        <v>230</v>
      </c>
      <c r="M13" s="444">
        <v>227.1705</v>
      </c>
      <c r="N13" s="454"/>
      <c r="O13" s="455">
        <f>M13+N13</f>
        <v>227.1705</v>
      </c>
      <c r="P13" s="455">
        <f t="shared" si="6"/>
        <v>98.76978260869565</v>
      </c>
      <c r="Q13" s="451">
        <f>L13-O13</f>
        <v>2.8294999999999959</v>
      </c>
      <c r="R13" s="455" t="s">
        <v>301</v>
      </c>
      <c r="S13" s="292" t="s">
        <v>171</v>
      </c>
      <c r="T13" s="283" t="s">
        <v>212</v>
      </c>
    </row>
    <row r="14" spans="1:21" x14ac:dyDescent="0.2">
      <c r="A14" s="56"/>
      <c r="B14" s="452">
        <v>2199</v>
      </c>
      <c r="C14" s="452">
        <v>912</v>
      </c>
      <c r="D14" s="453" t="s">
        <v>97</v>
      </c>
      <c r="E14" s="444">
        <v>240</v>
      </c>
      <c r="F14" s="454">
        <v>360</v>
      </c>
      <c r="G14" s="455">
        <f>E14+F14</f>
        <v>600</v>
      </c>
      <c r="H14" s="447"/>
      <c r="I14" s="448"/>
      <c r="J14" s="444">
        <f>E14+H14</f>
        <v>240</v>
      </c>
      <c r="K14" s="452">
        <f>F14+I14</f>
        <v>360</v>
      </c>
      <c r="L14" s="455">
        <f>SUM(J14:K14)</f>
        <v>600</v>
      </c>
      <c r="M14" s="444">
        <v>279.45749999999998</v>
      </c>
      <c r="N14" s="454">
        <v>186.09399999999999</v>
      </c>
      <c r="O14" s="455">
        <f>M14+N14</f>
        <v>465.55149999999998</v>
      </c>
      <c r="P14" s="455">
        <f t="shared" si="6"/>
        <v>77.591916666666663</v>
      </c>
      <c r="Q14" s="451">
        <f>L14-O14</f>
        <v>134.44850000000002</v>
      </c>
      <c r="R14" s="455"/>
      <c r="S14" s="293" t="s">
        <v>166</v>
      </c>
      <c r="T14" s="284" t="s">
        <v>329</v>
      </c>
    </row>
    <row r="15" spans="1:21" x14ac:dyDescent="0.2">
      <c r="A15" s="128">
        <v>22</v>
      </c>
      <c r="B15" s="20"/>
      <c r="C15" s="20"/>
      <c r="D15" s="393" t="s">
        <v>70</v>
      </c>
      <c r="E15" s="52">
        <f t="shared" ref="E15:O15" si="7">SUM(E16:E26)</f>
        <v>5322</v>
      </c>
      <c r="F15" s="53">
        <f t="shared" si="7"/>
        <v>11805</v>
      </c>
      <c r="G15" s="54">
        <f t="shared" si="7"/>
        <v>17127</v>
      </c>
      <c r="H15" s="171">
        <f t="shared" si="7"/>
        <v>800</v>
      </c>
      <c r="I15" s="172">
        <f t="shared" si="7"/>
        <v>5929.1239999999998</v>
      </c>
      <c r="J15" s="52">
        <f t="shared" si="7"/>
        <v>6122</v>
      </c>
      <c r="K15" s="53">
        <f t="shared" si="7"/>
        <v>17734.124</v>
      </c>
      <c r="L15" s="54">
        <f t="shared" si="7"/>
        <v>23856.124</v>
      </c>
      <c r="M15" s="52">
        <f t="shared" si="7"/>
        <v>5700.2055800000007</v>
      </c>
      <c r="N15" s="53">
        <f t="shared" si="7"/>
        <v>5250.6748199999993</v>
      </c>
      <c r="O15" s="54">
        <f t="shared" si="7"/>
        <v>10950.8804</v>
      </c>
      <c r="P15" s="54">
        <f t="shared" si="6"/>
        <v>45.903854289154431</v>
      </c>
      <c r="Q15" s="367">
        <f>SUM(Q16:Q26)</f>
        <v>12905.243600000002</v>
      </c>
      <c r="R15" s="54"/>
      <c r="S15" s="49"/>
      <c r="T15" s="69"/>
    </row>
    <row r="16" spans="1:21" x14ac:dyDescent="0.2">
      <c r="A16" s="446"/>
      <c r="B16" s="452">
        <v>2212</v>
      </c>
      <c r="C16" s="452">
        <v>203</v>
      </c>
      <c r="D16" s="437" t="s">
        <v>247</v>
      </c>
      <c r="E16" s="444"/>
      <c r="F16" s="454">
        <f>29835-25000</f>
        <v>4835</v>
      </c>
      <c r="G16" s="455">
        <f t="shared" ref="G16:G22" si="8">E16+F16</f>
        <v>4835</v>
      </c>
      <c r="H16" s="447"/>
      <c r="I16" s="420">
        <f>51.182+7114-266.058</f>
        <v>6899.1239999999998</v>
      </c>
      <c r="J16" s="444">
        <f t="shared" ref="J16:K22" si="9">E16+H16</f>
        <v>0</v>
      </c>
      <c r="K16" s="452">
        <f t="shared" si="9"/>
        <v>11734.124</v>
      </c>
      <c r="L16" s="455">
        <f t="shared" ref="L16:L22" si="10">SUM(J16:K16)</f>
        <v>11734.124</v>
      </c>
      <c r="M16" s="444">
        <v>1.21</v>
      </c>
      <c r="N16" s="454"/>
      <c r="O16" s="455">
        <f t="shared" ref="O16:O22" si="11">M16+N16</f>
        <v>1.21</v>
      </c>
      <c r="P16" s="455">
        <f t="shared" ref="P16:P22" si="12">O16/$L16*100</f>
        <v>1.0311805124950103E-2</v>
      </c>
      <c r="Q16" s="451">
        <f t="shared" ref="Q16:Q26" si="13">L16-O16</f>
        <v>11732.914000000001</v>
      </c>
      <c r="R16" s="455" t="s">
        <v>363</v>
      </c>
      <c r="S16" s="295" t="s">
        <v>329</v>
      </c>
      <c r="T16" s="282" t="s">
        <v>120</v>
      </c>
    </row>
    <row r="17" spans="1:21" x14ac:dyDescent="0.2">
      <c r="A17" s="446"/>
      <c r="B17" s="452">
        <v>2212</v>
      </c>
      <c r="C17" s="452">
        <v>204</v>
      </c>
      <c r="D17" s="453" t="s">
        <v>126</v>
      </c>
      <c r="E17" s="444">
        <v>3027</v>
      </c>
      <c r="F17" s="308"/>
      <c r="G17" s="455">
        <f t="shared" si="8"/>
        <v>3027</v>
      </c>
      <c r="H17" s="447">
        <v>800</v>
      </c>
      <c r="I17" s="448"/>
      <c r="J17" s="444">
        <f t="shared" si="9"/>
        <v>3827</v>
      </c>
      <c r="K17" s="452">
        <f t="shared" si="9"/>
        <v>0</v>
      </c>
      <c r="L17" s="455">
        <f t="shared" si="10"/>
        <v>3827</v>
      </c>
      <c r="M17" s="444">
        <v>3435.7305799999999</v>
      </c>
      <c r="N17" s="454"/>
      <c r="O17" s="455">
        <f t="shared" si="11"/>
        <v>3435.7305799999999</v>
      </c>
      <c r="P17" s="455">
        <f t="shared" si="12"/>
        <v>89.776079958191787</v>
      </c>
      <c r="Q17" s="451">
        <f t="shared" si="13"/>
        <v>391.26942000000008</v>
      </c>
      <c r="R17" s="455"/>
      <c r="S17" s="295" t="s">
        <v>209</v>
      </c>
      <c r="T17" s="282" t="s">
        <v>120</v>
      </c>
    </row>
    <row r="18" spans="1:21" x14ac:dyDescent="0.2">
      <c r="A18" s="446"/>
      <c r="B18" s="452">
        <v>2212</v>
      </c>
      <c r="C18" s="452">
        <v>206</v>
      </c>
      <c r="D18" s="453" t="s">
        <v>352</v>
      </c>
      <c r="E18" s="444"/>
      <c r="F18" s="454">
        <v>700</v>
      </c>
      <c r="G18" s="455">
        <f t="shared" si="8"/>
        <v>700</v>
      </c>
      <c r="H18" s="447"/>
      <c r="I18" s="448">
        <v>-600</v>
      </c>
      <c r="J18" s="444">
        <f t="shared" si="9"/>
        <v>0</v>
      </c>
      <c r="K18" s="452">
        <f t="shared" si="9"/>
        <v>100</v>
      </c>
      <c r="L18" s="455">
        <f t="shared" si="10"/>
        <v>100</v>
      </c>
      <c r="M18" s="444"/>
      <c r="N18" s="454">
        <v>0</v>
      </c>
      <c r="O18" s="455">
        <f t="shared" si="11"/>
        <v>0</v>
      </c>
      <c r="P18" s="455">
        <f t="shared" si="12"/>
        <v>0</v>
      </c>
      <c r="Q18" s="451">
        <f t="shared" si="13"/>
        <v>100</v>
      </c>
      <c r="R18" s="455"/>
      <c r="S18" s="295" t="s">
        <v>329</v>
      </c>
      <c r="T18" s="282" t="s">
        <v>120</v>
      </c>
    </row>
    <row r="19" spans="1:21" x14ac:dyDescent="0.2">
      <c r="A19" s="446"/>
      <c r="B19" s="452">
        <v>2212</v>
      </c>
      <c r="C19" s="452">
        <v>208</v>
      </c>
      <c r="D19" s="453" t="s">
        <v>312</v>
      </c>
      <c r="E19" s="444"/>
      <c r="F19" s="454">
        <f>3000+200</f>
        <v>3200</v>
      </c>
      <c r="G19" s="455">
        <f t="shared" si="8"/>
        <v>3200</v>
      </c>
      <c r="H19" s="447"/>
      <c r="I19" s="448"/>
      <c r="J19" s="444">
        <f t="shared" si="9"/>
        <v>0</v>
      </c>
      <c r="K19" s="452">
        <f t="shared" si="9"/>
        <v>3200</v>
      </c>
      <c r="L19" s="455">
        <f t="shared" si="10"/>
        <v>3200</v>
      </c>
      <c r="M19" s="444"/>
      <c r="N19" s="454">
        <f>3000+115.386</f>
        <v>3115.386</v>
      </c>
      <c r="O19" s="455">
        <f t="shared" si="11"/>
        <v>3115.386</v>
      </c>
      <c r="P19" s="455">
        <f t="shared" si="12"/>
        <v>97.355812499999999</v>
      </c>
      <c r="Q19" s="451">
        <f t="shared" si="13"/>
        <v>84.614000000000033</v>
      </c>
      <c r="R19" s="455"/>
      <c r="S19" s="295" t="s">
        <v>166</v>
      </c>
      <c r="T19" s="282" t="s">
        <v>120</v>
      </c>
    </row>
    <row r="20" spans="1:21" x14ac:dyDescent="0.2">
      <c r="A20" s="446"/>
      <c r="B20" s="452">
        <v>2212</v>
      </c>
      <c r="C20" s="452">
        <v>211</v>
      </c>
      <c r="D20" s="453" t="s">
        <v>353</v>
      </c>
      <c r="E20" s="444"/>
      <c r="F20" s="454">
        <v>270</v>
      </c>
      <c r="G20" s="455">
        <f t="shared" si="8"/>
        <v>270</v>
      </c>
      <c r="H20" s="447"/>
      <c r="I20" s="448">
        <v>100</v>
      </c>
      <c r="J20" s="444">
        <f t="shared" si="9"/>
        <v>0</v>
      </c>
      <c r="K20" s="452">
        <f t="shared" si="9"/>
        <v>370</v>
      </c>
      <c r="L20" s="455">
        <f t="shared" si="10"/>
        <v>370</v>
      </c>
      <c r="M20" s="444"/>
      <c r="N20" s="454">
        <v>369.57600000000002</v>
      </c>
      <c r="O20" s="455">
        <f t="shared" si="11"/>
        <v>369.57600000000002</v>
      </c>
      <c r="P20" s="455">
        <f t="shared" si="12"/>
        <v>99.885405405405407</v>
      </c>
      <c r="Q20" s="451">
        <f t="shared" si="13"/>
        <v>0.42399999999997817</v>
      </c>
      <c r="R20" s="455"/>
      <c r="S20" s="295" t="s">
        <v>166</v>
      </c>
      <c r="T20" s="282" t="s">
        <v>329</v>
      </c>
    </row>
    <row r="21" spans="1:21" x14ac:dyDescent="0.2">
      <c r="A21" s="446"/>
      <c r="B21" s="452">
        <v>2212</v>
      </c>
      <c r="C21" s="452">
        <v>214</v>
      </c>
      <c r="D21" s="453" t="s">
        <v>365</v>
      </c>
      <c r="E21" s="444"/>
      <c r="F21" s="454">
        <v>1900</v>
      </c>
      <c r="G21" s="455">
        <f t="shared" si="8"/>
        <v>1900</v>
      </c>
      <c r="H21" s="447"/>
      <c r="I21" s="448">
        <v>-320</v>
      </c>
      <c r="J21" s="444">
        <f t="shared" si="9"/>
        <v>0</v>
      </c>
      <c r="K21" s="452">
        <f t="shared" si="9"/>
        <v>1580</v>
      </c>
      <c r="L21" s="455">
        <f t="shared" si="10"/>
        <v>1580</v>
      </c>
      <c r="M21" s="444"/>
      <c r="N21" s="454">
        <v>1537.9966199999999</v>
      </c>
      <c r="O21" s="455">
        <f t="shared" si="11"/>
        <v>1537.9966199999999</v>
      </c>
      <c r="P21" s="455">
        <f t="shared" si="12"/>
        <v>97.341558227848097</v>
      </c>
      <c r="Q21" s="451">
        <f t="shared" si="13"/>
        <v>42.003380000000107</v>
      </c>
      <c r="R21" s="455" t="s">
        <v>398</v>
      </c>
      <c r="S21" s="295" t="s">
        <v>166</v>
      </c>
      <c r="T21" s="282" t="s">
        <v>329</v>
      </c>
    </row>
    <row r="22" spans="1:21" x14ac:dyDescent="0.2">
      <c r="A22" s="446"/>
      <c r="B22" s="452">
        <v>2212</v>
      </c>
      <c r="C22" s="452">
        <v>221</v>
      </c>
      <c r="D22" s="453" t="s">
        <v>351</v>
      </c>
      <c r="E22" s="444">
        <v>1700</v>
      </c>
      <c r="F22" s="454">
        <v>500</v>
      </c>
      <c r="G22" s="455">
        <f t="shared" si="8"/>
        <v>2200</v>
      </c>
      <c r="H22" s="447"/>
      <c r="I22" s="448">
        <v>-150</v>
      </c>
      <c r="J22" s="444">
        <f t="shared" si="9"/>
        <v>1700</v>
      </c>
      <c r="K22" s="452">
        <f t="shared" si="9"/>
        <v>350</v>
      </c>
      <c r="L22" s="455">
        <f t="shared" si="10"/>
        <v>2050</v>
      </c>
      <c r="M22" s="444">
        <f>69.845+1601.902</f>
        <v>1671.7470000000001</v>
      </c>
      <c r="N22" s="454">
        <v>218.76220000000001</v>
      </c>
      <c r="O22" s="455">
        <f t="shared" si="11"/>
        <v>1890.5092</v>
      </c>
      <c r="P22" s="455">
        <f t="shared" si="12"/>
        <v>92.219960975609752</v>
      </c>
      <c r="Q22" s="451">
        <f t="shared" si="13"/>
        <v>159.49080000000004</v>
      </c>
      <c r="R22" s="455" t="s">
        <v>398</v>
      </c>
      <c r="S22" s="295" t="s">
        <v>166</v>
      </c>
      <c r="T22" s="282" t="s">
        <v>329</v>
      </c>
    </row>
    <row r="23" spans="1:21" x14ac:dyDescent="0.2">
      <c r="A23" s="446"/>
      <c r="B23" s="452">
        <v>2219</v>
      </c>
      <c r="C23" s="452">
        <v>43</v>
      </c>
      <c r="D23" s="453" t="s">
        <v>123</v>
      </c>
      <c r="E23" s="444">
        <v>35</v>
      </c>
      <c r="F23" s="454"/>
      <c r="G23" s="455">
        <f t="shared" ref="G23:G26" si="14">E23+F23</f>
        <v>35</v>
      </c>
      <c r="H23" s="447"/>
      <c r="I23" s="448"/>
      <c r="J23" s="444">
        <f t="shared" ref="J23" si="15">E23+H23</f>
        <v>35</v>
      </c>
      <c r="K23" s="452">
        <f t="shared" ref="K23" si="16">F23+I23</f>
        <v>0</v>
      </c>
      <c r="L23" s="455">
        <f t="shared" ref="L23" si="17">SUM(J23:K23)</f>
        <v>35</v>
      </c>
      <c r="M23" s="444">
        <v>32.752000000000002</v>
      </c>
      <c r="N23" s="454"/>
      <c r="O23" s="455">
        <f t="shared" ref="O23:O26" si="18">M23+N23</f>
        <v>32.752000000000002</v>
      </c>
      <c r="P23" s="455">
        <f t="shared" si="6"/>
        <v>93.57714285714286</v>
      </c>
      <c r="Q23" s="451">
        <f t="shared" si="13"/>
        <v>2.2479999999999976</v>
      </c>
      <c r="R23" s="455"/>
      <c r="S23" s="300" t="s">
        <v>165</v>
      </c>
      <c r="T23" s="283" t="s">
        <v>309</v>
      </c>
    </row>
    <row r="24" spans="1:21" x14ac:dyDescent="0.2">
      <c r="A24" s="446"/>
      <c r="B24" s="452">
        <v>2219</v>
      </c>
      <c r="C24" s="452">
        <v>46</v>
      </c>
      <c r="D24" s="453" t="s">
        <v>324</v>
      </c>
      <c r="E24" s="444"/>
      <c r="F24" s="454">
        <v>400</v>
      </c>
      <c r="G24" s="455">
        <f t="shared" si="14"/>
        <v>400</v>
      </c>
      <c r="H24" s="447"/>
      <c r="I24" s="448"/>
      <c r="J24" s="444">
        <f t="shared" ref="J24:J26" si="19">E24+H24</f>
        <v>0</v>
      </c>
      <c r="K24" s="452">
        <f t="shared" ref="K24:K26" si="20">F24+I24</f>
        <v>400</v>
      </c>
      <c r="L24" s="455">
        <f t="shared" ref="L24:L26" si="21">SUM(J24:K24)</f>
        <v>400</v>
      </c>
      <c r="M24" s="444"/>
      <c r="N24" s="454">
        <v>8.9540000000000006</v>
      </c>
      <c r="O24" s="455">
        <f t="shared" si="18"/>
        <v>8.9540000000000006</v>
      </c>
      <c r="P24" s="455">
        <f t="shared" si="6"/>
        <v>2.2385000000000002</v>
      </c>
      <c r="Q24" s="451">
        <f t="shared" si="13"/>
        <v>391.04599999999999</v>
      </c>
      <c r="R24" s="455"/>
      <c r="S24" s="295" t="s">
        <v>329</v>
      </c>
      <c r="T24" s="282" t="s">
        <v>120</v>
      </c>
    </row>
    <row r="25" spans="1:21" x14ac:dyDescent="0.2">
      <c r="A25" s="446"/>
      <c r="B25" s="452">
        <v>2292</v>
      </c>
      <c r="C25" s="452">
        <v>204</v>
      </c>
      <c r="D25" s="453" t="s">
        <v>121</v>
      </c>
      <c r="E25" s="444">
        <v>497</v>
      </c>
      <c r="F25" s="454"/>
      <c r="G25" s="455">
        <f t="shared" si="14"/>
        <v>497</v>
      </c>
      <c r="H25" s="447"/>
      <c r="I25" s="448"/>
      <c r="J25" s="444">
        <f t="shared" si="19"/>
        <v>497</v>
      </c>
      <c r="K25" s="452">
        <f t="shared" si="20"/>
        <v>0</v>
      </c>
      <c r="L25" s="455">
        <f t="shared" si="21"/>
        <v>497</v>
      </c>
      <c r="M25" s="444">
        <v>496.35</v>
      </c>
      <c r="N25" s="454"/>
      <c r="O25" s="455">
        <f t="shared" si="18"/>
        <v>496.35</v>
      </c>
      <c r="P25" s="455">
        <f t="shared" si="6"/>
        <v>99.869215291750507</v>
      </c>
      <c r="Q25" s="451">
        <f t="shared" si="13"/>
        <v>0.64999999999997726</v>
      </c>
      <c r="R25" s="455" t="s">
        <v>405</v>
      </c>
      <c r="S25" s="402" t="s">
        <v>210</v>
      </c>
      <c r="T25" s="280" t="s">
        <v>71</v>
      </c>
    </row>
    <row r="26" spans="1:21" s="434" customFormat="1" ht="12" x14ac:dyDescent="0.2">
      <c r="A26" s="424"/>
      <c r="B26" s="425">
        <v>2321</v>
      </c>
      <c r="C26" s="425">
        <v>5103</v>
      </c>
      <c r="D26" s="394" t="s">
        <v>347</v>
      </c>
      <c r="E26" s="426">
        <v>63</v>
      </c>
      <c r="F26" s="427"/>
      <c r="G26" s="428">
        <f t="shared" si="14"/>
        <v>63</v>
      </c>
      <c r="H26" s="429"/>
      <c r="I26" s="430"/>
      <c r="J26" s="426">
        <f t="shared" si="19"/>
        <v>63</v>
      </c>
      <c r="K26" s="425">
        <f t="shared" si="20"/>
        <v>0</v>
      </c>
      <c r="L26" s="428">
        <f t="shared" si="21"/>
        <v>63</v>
      </c>
      <c r="M26" s="55">
        <v>62.415999999999997</v>
      </c>
      <c r="N26" s="427"/>
      <c r="O26" s="57">
        <f t="shared" si="18"/>
        <v>62.415999999999997</v>
      </c>
      <c r="P26" s="428">
        <f t="shared" si="6"/>
        <v>99.073015873015862</v>
      </c>
      <c r="Q26" s="451">
        <f t="shared" si="13"/>
        <v>0.58400000000000318</v>
      </c>
      <c r="R26" s="57"/>
      <c r="S26" s="431" t="s">
        <v>400</v>
      </c>
      <c r="T26" s="432" t="s">
        <v>71</v>
      </c>
      <c r="U26" s="433"/>
    </row>
    <row r="27" spans="1:21" x14ac:dyDescent="0.2">
      <c r="A27" s="82">
        <v>31</v>
      </c>
      <c r="B27" s="28">
        <v>3100</v>
      </c>
      <c r="C27" s="28"/>
      <c r="D27" s="385" t="s">
        <v>72</v>
      </c>
      <c r="E27" s="49">
        <f t="shared" ref="E27:O27" si="22">SUM(E28:E38)</f>
        <v>13262</v>
      </c>
      <c r="F27" s="16">
        <f t="shared" si="22"/>
        <v>0</v>
      </c>
      <c r="G27" s="50">
        <f t="shared" si="22"/>
        <v>13262</v>
      </c>
      <c r="H27" s="176">
        <f t="shared" si="22"/>
        <v>1989.5528600000002</v>
      </c>
      <c r="I27" s="177">
        <f t="shared" si="22"/>
        <v>0</v>
      </c>
      <c r="J27" s="49">
        <f t="shared" si="22"/>
        <v>15251.55286</v>
      </c>
      <c r="K27" s="16">
        <f t="shared" si="22"/>
        <v>0</v>
      </c>
      <c r="L27" s="50">
        <f t="shared" si="22"/>
        <v>15251.55286</v>
      </c>
      <c r="M27" s="49">
        <f t="shared" si="22"/>
        <v>14103.37521</v>
      </c>
      <c r="N27" s="16">
        <f t="shared" si="22"/>
        <v>0</v>
      </c>
      <c r="O27" s="50">
        <f t="shared" si="22"/>
        <v>14103.37521</v>
      </c>
      <c r="P27" s="54">
        <f t="shared" si="6"/>
        <v>92.4717328095075</v>
      </c>
      <c r="Q27" s="367">
        <f>SUM(Q28:Q38)</f>
        <v>1148.1776499999999</v>
      </c>
      <c r="R27" s="50"/>
      <c r="S27" s="296"/>
      <c r="T27" s="69"/>
    </row>
    <row r="28" spans="1:21" ht="12" customHeight="1" x14ac:dyDescent="0.2">
      <c r="A28" s="446"/>
      <c r="B28" s="452">
        <v>3111</v>
      </c>
      <c r="C28" s="452">
        <v>301</v>
      </c>
      <c r="D28" s="453" t="s">
        <v>221</v>
      </c>
      <c r="E28" s="444">
        <v>1426</v>
      </c>
      <c r="F28" s="454"/>
      <c r="G28" s="455">
        <f t="shared" ref="G28:G38" si="23">E28+F28</f>
        <v>1426</v>
      </c>
      <c r="H28" s="173">
        <f>391.4496+45.04106</f>
        <v>436.49065999999999</v>
      </c>
      <c r="I28" s="448"/>
      <c r="J28" s="444">
        <f t="shared" ref="J28:J38" si="24">E28+H28</f>
        <v>1862.4906599999999</v>
      </c>
      <c r="K28" s="452"/>
      <c r="L28" s="455">
        <f t="shared" ref="L28:L38" si="25">SUM(J28:K28)</f>
        <v>1862.4906599999999</v>
      </c>
      <c r="M28" s="444">
        <f>1426+391.4496+45.04106</f>
        <v>1862.4906599999999</v>
      </c>
      <c r="N28" s="454"/>
      <c r="O28" s="455">
        <f t="shared" ref="O28:O38" si="26">M28+N28</f>
        <v>1862.4906599999999</v>
      </c>
      <c r="P28" s="455">
        <f t="shared" si="6"/>
        <v>100</v>
      </c>
      <c r="Q28" s="451">
        <f t="shared" ref="Q28:Q38" si="27">L28-O28</f>
        <v>0</v>
      </c>
      <c r="R28" s="455"/>
      <c r="S28" s="294" t="s">
        <v>211</v>
      </c>
      <c r="T28" s="280" t="s">
        <v>71</v>
      </c>
    </row>
    <row r="29" spans="1:21" ht="12" customHeight="1" x14ac:dyDescent="0.2">
      <c r="A29" s="446"/>
      <c r="B29" s="452">
        <v>3111</v>
      </c>
      <c r="C29" s="452">
        <v>301</v>
      </c>
      <c r="D29" s="453" t="s">
        <v>263</v>
      </c>
      <c r="E29" s="444">
        <v>223</v>
      </c>
      <c r="F29" s="454"/>
      <c r="G29" s="455">
        <f t="shared" si="23"/>
        <v>223</v>
      </c>
      <c r="H29" s="447"/>
      <c r="I29" s="448"/>
      <c r="J29" s="444">
        <f t="shared" si="24"/>
        <v>223</v>
      </c>
      <c r="K29" s="452"/>
      <c r="L29" s="455">
        <f t="shared" si="25"/>
        <v>223</v>
      </c>
      <c r="M29" s="444">
        <v>222.58099999999999</v>
      </c>
      <c r="N29" s="454"/>
      <c r="O29" s="455">
        <f t="shared" si="26"/>
        <v>222.58099999999999</v>
      </c>
      <c r="P29" s="455">
        <f t="shared" si="6"/>
        <v>99.812107623318383</v>
      </c>
      <c r="Q29" s="451">
        <f t="shared" si="27"/>
        <v>0.41900000000001114</v>
      </c>
      <c r="R29" s="455"/>
      <c r="S29" s="294" t="s">
        <v>211</v>
      </c>
      <c r="T29" s="280" t="s">
        <v>71</v>
      </c>
    </row>
    <row r="30" spans="1:21" x14ac:dyDescent="0.2">
      <c r="A30" s="446"/>
      <c r="B30" s="452">
        <v>3113</v>
      </c>
      <c r="C30" s="452">
        <v>300</v>
      </c>
      <c r="D30" s="453" t="s">
        <v>213</v>
      </c>
      <c r="E30" s="444">
        <f>5200+1000</f>
        <v>6200</v>
      </c>
      <c r="F30" s="454"/>
      <c r="G30" s="455">
        <f t="shared" si="23"/>
        <v>6200</v>
      </c>
      <c r="H30" s="447">
        <v>-1200</v>
      </c>
      <c r="I30" s="448"/>
      <c r="J30" s="444">
        <f t="shared" si="24"/>
        <v>5000</v>
      </c>
      <c r="K30" s="454"/>
      <c r="L30" s="455">
        <f t="shared" si="25"/>
        <v>5000</v>
      </c>
      <c r="M30" s="444">
        <v>3972.1588000000002</v>
      </c>
      <c r="N30" s="454"/>
      <c r="O30" s="455">
        <f t="shared" si="26"/>
        <v>3972.1588000000002</v>
      </c>
      <c r="P30" s="455">
        <f t="shared" si="6"/>
        <v>79.443176000000008</v>
      </c>
      <c r="Q30" s="451">
        <f t="shared" si="27"/>
        <v>1027.8411999999998</v>
      </c>
      <c r="R30" s="455"/>
      <c r="S30" s="295" t="s">
        <v>166</v>
      </c>
      <c r="T30" s="282" t="s">
        <v>120</v>
      </c>
    </row>
    <row r="31" spans="1:21" ht="12.75" customHeight="1" x14ac:dyDescent="0.2">
      <c r="A31" s="446"/>
      <c r="B31" s="452">
        <v>3113</v>
      </c>
      <c r="C31" s="452">
        <v>303</v>
      </c>
      <c r="D31" s="453" t="s">
        <v>222</v>
      </c>
      <c r="E31" s="444">
        <v>1513</v>
      </c>
      <c r="F31" s="454"/>
      <c r="G31" s="455">
        <f t="shared" si="23"/>
        <v>1513</v>
      </c>
      <c r="H31" s="173">
        <f>1200+230.52+577.9596</f>
        <v>2008.4796000000001</v>
      </c>
      <c r="I31" s="448"/>
      <c r="J31" s="444">
        <f t="shared" si="24"/>
        <v>3521.4796000000001</v>
      </c>
      <c r="K31" s="454"/>
      <c r="L31" s="455">
        <f t="shared" si="25"/>
        <v>3521.4796000000001</v>
      </c>
      <c r="M31" s="444">
        <f>1513+1200+230.52+577.9596</f>
        <v>3521.4796000000001</v>
      </c>
      <c r="N31" s="454"/>
      <c r="O31" s="455">
        <f t="shared" si="26"/>
        <v>3521.4796000000001</v>
      </c>
      <c r="P31" s="455">
        <f t="shared" si="6"/>
        <v>100</v>
      </c>
      <c r="Q31" s="451">
        <f t="shared" si="27"/>
        <v>0</v>
      </c>
      <c r="R31" s="455"/>
      <c r="S31" s="294" t="s">
        <v>211</v>
      </c>
      <c r="T31" s="280" t="s">
        <v>71</v>
      </c>
    </row>
    <row r="32" spans="1:21" x14ac:dyDescent="0.2">
      <c r="A32" s="446"/>
      <c r="B32" s="452">
        <v>3113</v>
      </c>
      <c r="C32" s="452">
        <v>303.30399999999997</v>
      </c>
      <c r="D32" s="453" t="s">
        <v>264</v>
      </c>
      <c r="E32" s="444">
        <f>338+363</f>
        <v>701</v>
      </c>
      <c r="F32" s="454"/>
      <c r="G32" s="455">
        <f t="shared" si="23"/>
        <v>701</v>
      </c>
      <c r="H32" s="447">
        <v>74</v>
      </c>
      <c r="I32" s="448"/>
      <c r="J32" s="444">
        <f t="shared" si="24"/>
        <v>775</v>
      </c>
      <c r="K32" s="452"/>
      <c r="L32" s="455">
        <f t="shared" si="25"/>
        <v>775</v>
      </c>
      <c r="M32" s="444">
        <f>412.119+362.754</f>
        <v>774.87300000000005</v>
      </c>
      <c r="N32" s="454"/>
      <c r="O32" s="455">
        <f t="shared" si="26"/>
        <v>774.87300000000005</v>
      </c>
      <c r="P32" s="455">
        <f t="shared" si="6"/>
        <v>99.983612903225819</v>
      </c>
      <c r="Q32" s="451">
        <f t="shared" si="27"/>
        <v>0.12699999999995271</v>
      </c>
      <c r="R32" s="455"/>
      <c r="S32" s="294" t="s">
        <v>211</v>
      </c>
      <c r="T32" s="280" t="s">
        <v>71</v>
      </c>
    </row>
    <row r="33" spans="1:184" x14ac:dyDescent="0.2">
      <c r="A33" s="446"/>
      <c r="B33" s="452">
        <v>3113</v>
      </c>
      <c r="C33" s="452">
        <v>304</v>
      </c>
      <c r="D33" s="453" t="s">
        <v>223</v>
      </c>
      <c r="E33" s="444">
        <v>1335</v>
      </c>
      <c r="F33" s="454"/>
      <c r="G33" s="455">
        <f t="shared" si="23"/>
        <v>1335</v>
      </c>
      <c r="H33" s="173">
        <f>10+110.16+507.5226</f>
        <v>627.68259999999998</v>
      </c>
      <c r="I33" s="448"/>
      <c r="J33" s="444">
        <f t="shared" si="24"/>
        <v>1962.6826000000001</v>
      </c>
      <c r="K33" s="452"/>
      <c r="L33" s="455">
        <f t="shared" si="25"/>
        <v>1962.6826000000001</v>
      </c>
      <c r="M33" s="444">
        <f>1335+10+110.16+507.5226</f>
        <v>1962.6826000000001</v>
      </c>
      <c r="N33" s="454"/>
      <c r="O33" s="455">
        <f t="shared" si="26"/>
        <v>1962.6826000000001</v>
      </c>
      <c r="P33" s="455">
        <f t="shared" si="6"/>
        <v>100</v>
      </c>
      <c r="Q33" s="451">
        <f t="shared" si="27"/>
        <v>0</v>
      </c>
      <c r="R33" s="455"/>
      <c r="S33" s="294" t="s">
        <v>211</v>
      </c>
      <c r="T33" s="280" t="s">
        <v>71</v>
      </c>
    </row>
    <row r="34" spans="1:184" x14ac:dyDescent="0.2">
      <c r="A34" s="446"/>
      <c r="B34" s="452">
        <v>3114</v>
      </c>
      <c r="C34" s="452">
        <v>311</v>
      </c>
      <c r="D34" s="453" t="s">
        <v>255</v>
      </c>
      <c r="E34" s="444">
        <f>69+7</f>
        <v>76</v>
      </c>
      <c r="F34" s="454"/>
      <c r="G34" s="455">
        <f t="shared" si="23"/>
        <v>76</v>
      </c>
      <c r="H34" s="447">
        <v>42.9</v>
      </c>
      <c r="I34" s="448"/>
      <c r="J34" s="444">
        <f t="shared" si="24"/>
        <v>118.9</v>
      </c>
      <c r="K34" s="452"/>
      <c r="L34" s="455">
        <f t="shared" si="25"/>
        <v>118.9</v>
      </c>
      <c r="M34" s="444">
        <f>76+42.9</f>
        <v>118.9</v>
      </c>
      <c r="N34" s="454"/>
      <c r="O34" s="455">
        <f t="shared" si="26"/>
        <v>118.9</v>
      </c>
      <c r="P34" s="455">
        <f t="shared" si="6"/>
        <v>100</v>
      </c>
      <c r="Q34" s="451">
        <f t="shared" si="27"/>
        <v>0</v>
      </c>
      <c r="R34" s="455"/>
      <c r="S34" s="294" t="s">
        <v>211</v>
      </c>
      <c r="T34" s="280" t="s">
        <v>71</v>
      </c>
    </row>
    <row r="35" spans="1:184" x14ac:dyDescent="0.2">
      <c r="A35" s="446"/>
      <c r="B35" s="452">
        <v>3119</v>
      </c>
      <c r="C35" s="452">
        <v>1112</v>
      </c>
      <c r="D35" s="453" t="s">
        <v>277</v>
      </c>
      <c r="E35" s="444">
        <v>100</v>
      </c>
      <c r="F35" s="454"/>
      <c r="G35" s="455">
        <f t="shared" si="23"/>
        <v>100</v>
      </c>
      <c r="H35" s="447"/>
      <c r="I35" s="448"/>
      <c r="J35" s="444">
        <f t="shared" si="24"/>
        <v>100</v>
      </c>
      <c r="K35" s="452"/>
      <c r="L35" s="455">
        <f>SUM(J35:K35)</f>
        <v>100</v>
      </c>
      <c r="M35" s="444">
        <v>100</v>
      </c>
      <c r="N35" s="454"/>
      <c r="O35" s="455">
        <f t="shared" si="26"/>
        <v>100</v>
      </c>
      <c r="P35" s="455">
        <f t="shared" si="6"/>
        <v>100</v>
      </c>
      <c r="Q35" s="451">
        <f t="shared" si="27"/>
        <v>0</v>
      </c>
      <c r="R35" s="455" t="s">
        <v>317</v>
      </c>
      <c r="S35" s="294" t="s">
        <v>211</v>
      </c>
      <c r="T35" s="280" t="s">
        <v>71</v>
      </c>
    </row>
    <row r="36" spans="1:184" x14ac:dyDescent="0.2">
      <c r="A36" s="446"/>
      <c r="B36" s="452">
        <v>3141</v>
      </c>
      <c r="C36" s="452">
        <v>309</v>
      </c>
      <c r="D36" s="453" t="s">
        <v>285</v>
      </c>
      <c r="E36" s="444">
        <v>1480</v>
      </c>
      <c r="F36" s="454"/>
      <c r="G36" s="455">
        <f t="shared" si="23"/>
        <v>1480</v>
      </c>
      <c r="H36" s="447"/>
      <c r="I36" s="448"/>
      <c r="J36" s="444">
        <f t="shared" si="24"/>
        <v>1480</v>
      </c>
      <c r="K36" s="452">
        <f>F36+I36</f>
        <v>0</v>
      </c>
      <c r="L36" s="455">
        <f t="shared" si="25"/>
        <v>1480</v>
      </c>
      <c r="M36" s="444">
        <v>1359.7275500000001</v>
      </c>
      <c r="N36" s="454"/>
      <c r="O36" s="455">
        <f t="shared" si="26"/>
        <v>1359.7275500000001</v>
      </c>
      <c r="P36" s="455">
        <f t="shared" si="6"/>
        <v>91.873483108108118</v>
      </c>
      <c r="Q36" s="451">
        <f t="shared" si="27"/>
        <v>120.27244999999994</v>
      </c>
      <c r="R36" s="455"/>
      <c r="S36" s="294" t="s">
        <v>211</v>
      </c>
      <c r="T36" s="286" t="s">
        <v>321</v>
      </c>
    </row>
    <row r="37" spans="1:184" x14ac:dyDescent="0.2">
      <c r="A37" s="446"/>
      <c r="B37" s="452">
        <v>3231</v>
      </c>
      <c r="C37" s="452">
        <v>310</v>
      </c>
      <c r="D37" s="453" t="s">
        <v>403</v>
      </c>
      <c r="E37" s="444">
        <v>206</v>
      </c>
      <c r="F37" s="454"/>
      <c r="G37" s="455">
        <f t="shared" si="23"/>
        <v>206</v>
      </c>
      <c r="H37" s="447"/>
      <c r="I37" s="448"/>
      <c r="J37" s="444">
        <f t="shared" si="24"/>
        <v>206</v>
      </c>
      <c r="K37" s="452"/>
      <c r="L37" s="455">
        <f t="shared" si="25"/>
        <v>206</v>
      </c>
      <c r="M37" s="444">
        <v>206</v>
      </c>
      <c r="N37" s="454"/>
      <c r="O37" s="455">
        <f t="shared" si="26"/>
        <v>206</v>
      </c>
      <c r="P37" s="455">
        <f t="shared" si="6"/>
        <v>100</v>
      </c>
      <c r="Q37" s="451">
        <f t="shared" si="27"/>
        <v>0</v>
      </c>
      <c r="R37" s="455"/>
      <c r="S37" s="294" t="s">
        <v>211</v>
      </c>
      <c r="T37" s="280" t="s">
        <v>71</v>
      </c>
    </row>
    <row r="38" spans="1:184" x14ac:dyDescent="0.2">
      <c r="A38" s="129"/>
      <c r="B38" s="31">
        <v>3231</v>
      </c>
      <c r="C38" s="31">
        <v>310</v>
      </c>
      <c r="D38" s="394" t="s">
        <v>265</v>
      </c>
      <c r="E38" s="55">
        <v>2</v>
      </c>
      <c r="F38" s="58"/>
      <c r="G38" s="57">
        <f t="shared" si="23"/>
        <v>2</v>
      </c>
      <c r="H38" s="178"/>
      <c r="I38" s="175"/>
      <c r="J38" s="55">
        <f t="shared" si="24"/>
        <v>2</v>
      </c>
      <c r="K38" s="31"/>
      <c r="L38" s="57">
        <f t="shared" si="25"/>
        <v>2</v>
      </c>
      <c r="M38" s="55">
        <v>2.4820000000000002</v>
      </c>
      <c r="N38" s="58"/>
      <c r="O38" s="57">
        <f t="shared" si="26"/>
        <v>2.4820000000000002</v>
      </c>
      <c r="P38" s="57">
        <f t="shared" si="6"/>
        <v>124.10000000000001</v>
      </c>
      <c r="Q38" s="451">
        <f t="shared" si="27"/>
        <v>-0.48200000000000021</v>
      </c>
      <c r="R38" s="57"/>
      <c r="S38" s="403" t="s">
        <v>211</v>
      </c>
      <c r="T38" s="285" t="s">
        <v>71</v>
      </c>
    </row>
    <row r="39" spans="1:184" x14ac:dyDescent="0.2">
      <c r="A39" s="82">
        <v>33</v>
      </c>
      <c r="B39" s="28">
        <v>3300</v>
      </c>
      <c r="C39" s="28"/>
      <c r="D39" s="385" t="s">
        <v>73</v>
      </c>
      <c r="E39" s="49">
        <f t="shared" ref="E39:O39" si="28">SUM(E40:E49)</f>
        <v>8849</v>
      </c>
      <c r="F39" s="16">
        <f t="shared" si="28"/>
        <v>0</v>
      </c>
      <c r="G39" s="50">
        <f t="shared" si="28"/>
        <v>8849</v>
      </c>
      <c r="H39" s="176">
        <f t="shared" si="28"/>
        <v>764.96399999999994</v>
      </c>
      <c r="I39" s="177">
        <f t="shared" si="28"/>
        <v>0</v>
      </c>
      <c r="J39" s="49">
        <f t="shared" si="28"/>
        <v>9613.9639999999999</v>
      </c>
      <c r="K39" s="16">
        <f t="shared" si="28"/>
        <v>0</v>
      </c>
      <c r="L39" s="50">
        <f t="shared" si="28"/>
        <v>9613.9639999999999</v>
      </c>
      <c r="M39" s="49">
        <f t="shared" si="28"/>
        <v>8186.9111599999997</v>
      </c>
      <c r="N39" s="16">
        <f t="shared" si="28"/>
        <v>0</v>
      </c>
      <c r="O39" s="50">
        <f t="shared" si="28"/>
        <v>8186.9111599999997</v>
      </c>
      <c r="P39" s="50">
        <f t="shared" si="6"/>
        <v>85.156457419645008</v>
      </c>
      <c r="Q39" s="367">
        <f>SUM(Q40:Q49)</f>
        <v>1427.0528400000003</v>
      </c>
      <c r="R39" s="50"/>
      <c r="S39" s="296"/>
      <c r="T39" s="69"/>
    </row>
    <row r="40" spans="1:184" x14ac:dyDescent="0.2">
      <c r="A40" s="446"/>
      <c r="B40" s="452">
        <v>3314</v>
      </c>
      <c r="C40" s="452">
        <v>504</v>
      </c>
      <c r="D40" s="453" t="s">
        <v>119</v>
      </c>
      <c r="E40" s="444">
        <f>222+999</f>
        <v>1221</v>
      </c>
      <c r="F40" s="454"/>
      <c r="G40" s="455">
        <f t="shared" ref="G40:G49" si="29">E40+F40</f>
        <v>1221</v>
      </c>
      <c r="H40" s="447"/>
      <c r="I40" s="448"/>
      <c r="J40" s="444">
        <f t="shared" ref="J40:J49" si="30">E40+H40</f>
        <v>1221</v>
      </c>
      <c r="K40" s="454"/>
      <c r="L40" s="455">
        <f t="shared" ref="L40:L49" si="31">SUM(J40:K40)</f>
        <v>1221</v>
      </c>
      <c r="M40" s="444">
        <v>1208.2650000000001</v>
      </c>
      <c r="N40" s="454"/>
      <c r="O40" s="455">
        <f t="shared" ref="O40:O49" si="32">M40+N40</f>
        <v>1208.2650000000001</v>
      </c>
      <c r="P40" s="455">
        <f t="shared" si="6"/>
        <v>98.95700245700246</v>
      </c>
      <c r="Q40" s="451">
        <f t="shared" ref="Q40:Q49" si="33">L40-O40</f>
        <v>12.7349999999999</v>
      </c>
      <c r="R40" s="455"/>
      <c r="S40" s="56" t="s">
        <v>290</v>
      </c>
      <c r="T40" s="51" t="s">
        <v>131</v>
      </c>
    </row>
    <row r="41" spans="1:184" x14ac:dyDescent="0.2">
      <c r="A41" s="446"/>
      <c r="B41" s="452">
        <v>3315</v>
      </c>
      <c r="C41" s="452">
        <v>505</v>
      </c>
      <c r="D41" s="453" t="s">
        <v>275</v>
      </c>
      <c r="E41" s="444">
        <v>1200</v>
      </c>
      <c r="F41" s="454"/>
      <c r="G41" s="455">
        <f t="shared" si="29"/>
        <v>1200</v>
      </c>
      <c r="H41" s="447"/>
      <c r="I41" s="448"/>
      <c r="J41" s="444">
        <f t="shared" si="30"/>
        <v>1200</v>
      </c>
      <c r="K41" s="454"/>
      <c r="L41" s="455">
        <f t="shared" si="31"/>
        <v>1200</v>
      </c>
      <c r="M41" s="444">
        <v>1200</v>
      </c>
      <c r="N41" s="454"/>
      <c r="O41" s="455">
        <f t="shared" si="32"/>
        <v>1200</v>
      </c>
      <c r="P41" s="455">
        <f t="shared" si="6"/>
        <v>100</v>
      </c>
      <c r="Q41" s="451">
        <f t="shared" si="33"/>
        <v>0</v>
      </c>
      <c r="R41" s="455"/>
      <c r="S41" s="294" t="s">
        <v>211</v>
      </c>
      <c r="T41" s="280" t="s">
        <v>71</v>
      </c>
    </row>
    <row r="42" spans="1:184" ht="12.75" customHeight="1" x14ac:dyDescent="0.2">
      <c r="A42" s="446"/>
      <c r="B42" s="452">
        <v>3322.3326000000002</v>
      </c>
      <c r="C42" s="452" t="s">
        <v>270</v>
      </c>
      <c r="D42" s="453" t="s">
        <v>148</v>
      </c>
      <c r="E42" s="444">
        <v>1508</v>
      </c>
      <c r="F42" s="454"/>
      <c r="G42" s="455">
        <f t="shared" si="29"/>
        <v>1508</v>
      </c>
      <c r="H42" s="447">
        <f>640+44.964</f>
        <v>684.96399999999994</v>
      </c>
      <c r="I42" s="448"/>
      <c r="J42" s="444">
        <f t="shared" si="30"/>
        <v>2192.9639999999999</v>
      </c>
      <c r="K42" s="454"/>
      <c r="L42" s="455">
        <f t="shared" si="31"/>
        <v>2192.9639999999999</v>
      </c>
      <c r="M42" s="444">
        <v>1302.8499999999999</v>
      </c>
      <c r="N42" s="454"/>
      <c r="O42" s="455">
        <f t="shared" si="32"/>
        <v>1302.8499999999999</v>
      </c>
      <c r="P42" s="455">
        <f t="shared" si="6"/>
        <v>59.410459998431342</v>
      </c>
      <c r="Q42" s="451">
        <f t="shared" si="33"/>
        <v>890.11400000000003</v>
      </c>
      <c r="R42" s="455"/>
      <c r="S42" s="297" t="s">
        <v>410</v>
      </c>
      <c r="T42" s="282" t="s">
        <v>120</v>
      </c>
    </row>
    <row r="43" spans="1:184" ht="12.75" customHeight="1" x14ac:dyDescent="0.2">
      <c r="A43" s="446"/>
      <c r="B43" s="452">
        <v>3322.3326000000002</v>
      </c>
      <c r="C43" s="452">
        <v>102</v>
      </c>
      <c r="D43" s="453" t="s">
        <v>345</v>
      </c>
      <c r="E43" s="444">
        <v>750</v>
      </c>
      <c r="F43" s="454"/>
      <c r="G43" s="455">
        <f t="shared" si="29"/>
        <v>750</v>
      </c>
      <c r="H43" s="447"/>
      <c r="I43" s="448"/>
      <c r="J43" s="444">
        <f t="shared" ref="J43" si="34">E43+H43</f>
        <v>750</v>
      </c>
      <c r="K43" s="454"/>
      <c r="L43" s="455">
        <f t="shared" ref="L43" si="35">SUM(J43:K43)</f>
        <v>750</v>
      </c>
      <c r="M43" s="444">
        <v>298.17916000000002</v>
      </c>
      <c r="N43" s="454"/>
      <c r="O43" s="455">
        <f t="shared" si="32"/>
        <v>298.17916000000002</v>
      </c>
      <c r="P43" s="455">
        <f t="shared" si="6"/>
        <v>39.757221333333334</v>
      </c>
      <c r="Q43" s="451">
        <f t="shared" si="33"/>
        <v>451.82083999999998</v>
      </c>
      <c r="R43" s="455"/>
      <c r="S43" s="297" t="s">
        <v>410</v>
      </c>
      <c r="T43" s="282" t="s">
        <v>120</v>
      </c>
    </row>
    <row r="44" spans="1:184" x14ac:dyDescent="0.2">
      <c r="A44" s="446"/>
      <c r="B44" s="452">
        <v>3326</v>
      </c>
      <c r="C44" s="452">
        <v>103</v>
      </c>
      <c r="D44" s="453" t="s">
        <v>250</v>
      </c>
      <c r="E44" s="444">
        <v>100</v>
      </c>
      <c r="F44" s="454"/>
      <c r="G44" s="455">
        <f t="shared" si="29"/>
        <v>100</v>
      </c>
      <c r="H44" s="447"/>
      <c r="I44" s="448"/>
      <c r="J44" s="444">
        <f t="shared" si="30"/>
        <v>100</v>
      </c>
      <c r="K44" s="454"/>
      <c r="L44" s="455">
        <f t="shared" si="31"/>
        <v>100</v>
      </c>
      <c r="M44" s="444">
        <v>34.482999999999997</v>
      </c>
      <c r="N44" s="454"/>
      <c r="O44" s="455">
        <f t="shared" si="32"/>
        <v>34.482999999999997</v>
      </c>
      <c r="P44" s="455">
        <f t="shared" si="6"/>
        <v>34.482999999999997</v>
      </c>
      <c r="Q44" s="451">
        <f t="shared" si="33"/>
        <v>65.516999999999996</v>
      </c>
      <c r="R44" s="455"/>
      <c r="S44" s="297" t="s">
        <v>410</v>
      </c>
      <c r="T44" s="282" t="s">
        <v>120</v>
      </c>
    </row>
    <row r="45" spans="1:184" x14ac:dyDescent="0.2">
      <c r="A45" s="446"/>
      <c r="B45" s="452">
        <v>3349</v>
      </c>
      <c r="C45" s="452">
        <v>42</v>
      </c>
      <c r="D45" s="453" t="s">
        <v>74</v>
      </c>
      <c r="E45" s="444">
        <v>330</v>
      </c>
      <c r="F45" s="454"/>
      <c r="G45" s="455">
        <f t="shared" si="29"/>
        <v>330</v>
      </c>
      <c r="H45" s="447">
        <v>50</v>
      </c>
      <c r="I45" s="448"/>
      <c r="J45" s="444">
        <f t="shared" si="30"/>
        <v>380</v>
      </c>
      <c r="K45" s="454"/>
      <c r="L45" s="455">
        <f t="shared" si="31"/>
        <v>380</v>
      </c>
      <c r="M45" s="444">
        <v>396.31099999999998</v>
      </c>
      <c r="N45" s="454"/>
      <c r="O45" s="455">
        <f t="shared" si="32"/>
        <v>396.31099999999998</v>
      </c>
      <c r="P45" s="455">
        <f t="shared" si="6"/>
        <v>104.29236842105263</v>
      </c>
      <c r="Q45" s="451">
        <f t="shared" si="33"/>
        <v>-16.310999999999979</v>
      </c>
      <c r="R45" s="455"/>
      <c r="S45" s="388" t="s">
        <v>164</v>
      </c>
      <c r="T45" s="387" t="s">
        <v>220</v>
      </c>
      <c r="GB45" s="104">
        <f>SUM(M45:GA45)</f>
        <v>880.60336842105266</v>
      </c>
    </row>
    <row r="46" spans="1:184" x14ac:dyDescent="0.2">
      <c r="A46" s="446"/>
      <c r="B46" s="452">
        <v>3392</v>
      </c>
      <c r="C46" s="452">
        <v>312</v>
      </c>
      <c r="D46" s="453" t="s">
        <v>274</v>
      </c>
      <c r="E46" s="444">
        <v>2965</v>
      </c>
      <c r="F46" s="454"/>
      <c r="G46" s="455">
        <f t="shared" si="29"/>
        <v>2965</v>
      </c>
      <c r="H46" s="173"/>
      <c r="I46" s="448"/>
      <c r="J46" s="444">
        <f t="shared" si="30"/>
        <v>2965</v>
      </c>
      <c r="K46" s="454"/>
      <c r="L46" s="455">
        <f t="shared" si="31"/>
        <v>2965</v>
      </c>
      <c r="M46" s="444">
        <v>2965</v>
      </c>
      <c r="N46" s="454"/>
      <c r="O46" s="455">
        <f t="shared" si="32"/>
        <v>2965</v>
      </c>
      <c r="P46" s="455">
        <f t="shared" si="6"/>
        <v>100</v>
      </c>
      <c r="Q46" s="451">
        <f t="shared" si="33"/>
        <v>0</v>
      </c>
      <c r="R46" s="455"/>
      <c r="S46" s="294" t="s">
        <v>211</v>
      </c>
      <c r="T46" s="280" t="s">
        <v>71</v>
      </c>
    </row>
    <row r="47" spans="1:184" x14ac:dyDescent="0.2">
      <c r="A47" s="446"/>
      <c r="B47" s="452">
        <v>3392</v>
      </c>
      <c r="C47" s="452" t="s">
        <v>268</v>
      </c>
      <c r="D47" s="453" t="s">
        <v>266</v>
      </c>
      <c r="E47" s="444">
        <v>655</v>
      </c>
      <c r="F47" s="454"/>
      <c r="G47" s="455">
        <f t="shared" si="29"/>
        <v>655</v>
      </c>
      <c r="H47" s="449"/>
      <c r="I47" s="450"/>
      <c r="J47" s="444">
        <f t="shared" si="30"/>
        <v>655</v>
      </c>
      <c r="K47" s="454"/>
      <c r="L47" s="455">
        <f t="shared" si="31"/>
        <v>655</v>
      </c>
      <c r="M47" s="444">
        <v>654.52</v>
      </c>
      <c r="N47" s="454"/>
      <c r="O47" s="455">
        <f t="shared" si="32"/>
        <v>654.52</v>
      </c>
      <c r="P47" s="455">
        <f t="shared" si="6"/>
        <v>99.926717557251905</v>
      </c>
      <c r="Q47" s="451">
        <f t="shared" si="33"/>
        <v>0.48000000000001819</v>
      </c>
      <c r="R47" s="455"/>
      <c r="S47" s="294" t="s">
        <v>211</v>
      </c>
      <c r="T47" s="280" t="s">
        <v>71</v>
      </c>
    </row>
    <row r="48" spans="1:184" x14ac:dyDescent="0.2">
      <c r="A48" s="446"/>
      <c r="B48" s="452">
        <v>3392</v>
      </c>
      <c r="C48" s="452">
        <v>106</v>
      </c>
      <c r="D48" s="453" t="s">
        <v>436</v>
      </c>
      <c r="E48" s="444"/>
      <c r="F48" s="454"/>
      <c r="G48" s="455"/>
      <c r="H48" s="449">
        <v>30</v>
      </c>
      <c r="I48" s="450"/>
      <c r="J48" s="444">
        <f t="shared" ref="J48" si="36">E48+H48</f>
        <v>30</v>
      </c>
      <c r="K48" s="454"/>
      <c r="L48" s="455">
        <f t="shared" ref="L48" si="37">SUM(J48:K48)</f>
        <v>30</v>
      </c>
      <c r="M48" s="444">
        <v>30</v>
      </c>
      <c r="N48" s="454"/>
      <c r="O48" s="455">
        <f t="shared" si="32"/>
        <v>30</v>
      </c>
      <c r="P48" s="455">
        <f t="shared" si="6"/>
        <v>100</v>
      </c>
      <c r="Q48" s="451">
        <f t="shared" si="33"/>
        <v>0</v>
      </c>
      <c r="R48" s="455"/>
      <c r="S48" s="294"/>
      <c r="T48" s="280"/>
    </row>
    <row r="49" spans="1:21" x14ac:dyDescent="0.2">
      <c r="A49" s="446"/>
      <c r="B49" s="452">
        <v>3399</v>
      </c>
      <c r="C49" s="452">
        <v>313</v>
      </c>
      <c r="D49" s="453" t="s">
        <v>103</v>
      </c>
      <c r="E49" s="444">
        <v>120</v>
      </c>
      <c r="F49" s="454"/>
      <c r="G49" s="455">
        <f t="shared" si="29"/>
        <v>120</v>
      </c>
      <c r="H49" s="447"/>
      <c r="I49" s="448"/>
      <c r="J49" s="444">
        <f t="shared" si="30"/>
        <v>120</v>
      </c>
      <c r="K49" s="454"/>
      <c r="L49" s="455">
        <f t="shared" si="31"/>
        <v>120</v>
      </c>
      <c r="M49" s="444">
        <v>97.302999999999997</v>
      </c>
      <c r="N49" s="454"/>
      <c r="O49" s="455">
        <f t="shared" si="32"/>
        <v>97.302999999999997</v>
      </c>
      <c r="P49" s="455">
        <f t="shared" si="6"/>
        <v>81.085833333333341</v>
      </c>
      <c r="Q49" s="451">
        <f t="shared" si="33"/>
        <v>22.697000000000003</v>
      </c>
      <c r="R49" s="455" t="s">
        <v>308</v>
      </c>
      <c r="S49" s="388" t="s">
        <v>288</v>
      </c>
      <c r="T49" s="398" t="s">
        <v>212</v>
      </c>
    </row>
    <row r="50" spans="1:21" x14ac:dyDescent="0.2">
      <c r="A50" s="128">
        <v>34</v>
      </c>
      <c r="B50" s="20">
        <v>3400</v>
      </c>
      <c r="C50" s="20"/>
      <c r="D50" s="393" t="s">
        <v>75</v>
      </c>
      <c r="E50" s="52">
        <f t="shared" ref="E50:O50" si="38">SUM(E51:E59)</f>
        <v>6121</v>
      </c>
      <c r="F50" s="53">
        <f t="shared" si="38"/>
        <v>61216</v>
      </c>
      <c r="G50" s="54">
        <f t="shared" si="38"/>
        <v>67337</v>
      </c>
      <c r="H50" s="171">
        <f t="shared" si="38"/>
        <v>-962.68000000000006</v>
      </c>
      <c r="I50" s="172">
        <f t="shared" si="38"/>
        <v>20000</v>
      </c>
      <c r="J50" s="52">
        <f t="shared" si="38"/>
        <v>5158.32</v>
      </c>
      <c r="K50" s="53">
        <f t="shared" si="38"/>
        <v>81216</v>
      </c>
      <c r="L50" s="54">
        <f t="shared" si="38"/>
        <v>86374.32</v>
      </c>
      <c r="M50" s="52">
        <f t="shared" si="38"/>
        <v>5105.2250000000004</v>
      </c>
      <c r="N50" s="53">
        <f t="shared" si="38"/>
        <v>62253.922709999999</v>
      </c>
      <c r="O50" s="54">
        <f t="shared" si="38"/>
        <v>67359.147710000005</v>
      </c>
      <c r="P50" s="54">
        <f t="shared" si="6"/>
        <v>77.985155437403151</v>
      </c>
      <c r="Q50" s="367">
        <f>SUM(Q51:Q59)</f>
        <v>19015.172289999995</v>
      </c>
      <c r="R50" s="54"/>
      <c r="S50" s="296"/>
      <c r="T50" s="69"/>
    </row>
    <row r="51" spans="1:21" x14ac:dyDescent="0.2">
      <c r="A51" s="446"/>
      <c r="B51" s="452">
        <v>3412</v>
      </c>
      <c r="C51" s="452">
        <v>205</v>
      </c>
      <c r="D51" s="453" t="s">
        <v>224</v>
      </c>
      <c r="E51" s="444">
        <v>4454</v>
      </c>
      <c r="F51" s="454"/>
      <c r="G51" s="455">
        <f t="shared" ref="G51:G59" si="39">E51+F51</f>
        <v>4454</v>
      </c>
      <c r="H51" s="173">
        <f>-506.237-1454.763</f>
        <v>-1961</v>
      </c>
      <c r="I51" s="448"/>
      <c r="J51" s="444">
        <f t="shared" ref="J51:K56" si="40">E51+H51</f>
        <v>2493</v>
      </c>
      <c r="K51" s="454">
        <f t="shared" si="40"/>
        <v>0</v>
      </c>
      <c r="L51" s="455">
        <f t="shared" ref="L51:L61" si="41">SUM(J51:K51)</f>
        <v>2493</v>
      </c>
      <c r="M51" s="444">
        <v>2493</v>
      </c>
      <c r="N51" s="454"/>
      <c r="O51" s="455">
        <f t="shared" ref="O51:O61" si="42">M51+N51</f>
        <v>2493</v>
      </c>
      <c r="P51" s="455">
        <f t="shared" si="6"/>
        <v>100</v>
      </c>
      <c r="Q51" s="451">
        <f t="shared" ref="Q51:Q56" si="43">L51-O51</f>
        <v>0</v>
      </c>
      <c r="R51" s="455" t="s">
        <v>437</v>
      </c>
      <c r="S51" s="294" t="s">
        <v>211</v>
      </c>
      <c r="T51" s="280" t="s">
        <v>71</v>
      </c>
    </row>
    <row r="52" spans="1:21" x14ac:dyDescent="0.2">
      <c r="A52" s="446"/>
      <c r="B52" s="452">
        <v>3412</v>
      </c>
      <c r="C52" s="452">
        <v>205</v>
      </c>
      <c r="D52" s="453" t="s">
        <v>377</v>
      </c>
      <c r="E52" s="444"/>
      <c r="F52" s="454">
        <v>2000</v>
      </c>
      <c r="G52" s="455">
        <f t="shared" si="39"/>
        <v>2000</v>
      </c>
      <c r="H52" s="447"/>
      <c r="I52" s="448"/>
      <c r="J52" s="444">
        <f t="shared" si="40"/>
        <v>0</v>
      </c>
      <c r="K52" s="454">
        <f t="shared" si="40"/>
        <v>2000</v>
      </c>
      <c r="L52" s="455">
        <f t="shared" si="41"/>
        <v>2000</v>
      </c>
      <c r="M52" s="444"/>
      <c r="N52" s="454">
        <v>0</v>
      </c>
      <c r="O52" s="455">
        <f t="shared" si="42"/>
        <v>0</v>
      </c>
      <c r="P52" s="455">
        <f t="shared" si="6"/>
        <v>0</v>
      </c>
      <c r="Q52" s="451">
        <f t="shared" si="43"/>
        <v>2000</v>
      </c>
      <c r="R52" s="455"/>
      <c r="S52" s="294" t="s">
        <v>211</v>
      </c>
      <c r="T52" s="280" t="s">
        <v>71</v>
      </c>
    </row>
    <row r="53" spans="1:21" x14ac:dyDescent="0.2">
      <c r="A53" s="446"/>
      <c r="B53" s="452">
        <v>3412</v>
      </c>
      <c r="C53" s="452">
        <v>205</v>
      </c>
      <c r="D53" s="453" t="s">
        <v>267</v>
      </c>
      <c r="E53" s="444">
        <v>622</v>
      </c>
      <c r="F53" s="454"/>
      <c r="G53" s="455">
        <f t="shared" si="39"/>
        <v>622</v>
      </c>
      <c r="H53" s="447">
        <v>-622</v>
      </c>
      <c r="I53" s="448"/>
      <c r="J53" s="444">
        <f t="shared" si="40"/>
        <v>0</v>
      </c>
      <c r="K53" s="454">
        <f t="shared" si="40"/>
        <v>0</v>
      </c>
      <c r="L53" s="455">
        <f t="shared" si="41"/>
        <v>0</v>
      </c>
      <c r="M53" s="444"/>
      <c r="N53" s="454"/>
      <c r="O53" s="455">
        <f t="shared" si="42"/>
        <v>0</v>
      </c>
      <c r="P53" s="455">
        <v>0</v>
      </c>
      <c r="Q53" s="451">
        <f t="shared" si="43"/>
        <v>0</v>
      </c>
      <c r="R53" s="455"/>
      <c r="S53" s="294" t="s">
        <v>211</v>
      </c>
      <c r="T53" s="280" t="s">
        <v>71</v>
      </c>
    </row>
    <row r="54" spans="1:21" ht="13.5" customHeight="1" x14ac:dyDescent="0.2">
      <c r="A54" s="446"/>
      <c r="B54" s="452">
        <v>3412</v>
      </c>
      <c r="C54" s="452">
        <v>200</v>
      </c>
      <c r="D54" s="453" t="s">
        <v>339</v>
      </c>
      <c r="E54" s="444"/>
      <c r="F54" s="454">
        <f>200+10000</f>
        <v>10200</v>
      </c>
      <c r="G54" s="455">
        <f t="shared" si="39"/>
        <v>10200</v>
      </c>
      <c r="H54" s="449"/>
      <c r="I54" s="448"/>
      <c r="J54" s="444">
        <f t="shared" si="40"/>
        <v>0</v>
      </c>
      <c r="K54" s="454">
        <f t="shared" si="40"/>
        <v>10200</v>
      </c>
      <c r="L54" s="455">
        <f t="shared" si="41"/>
        <v>10200</v>
      </c>
      <c r="M54" s="444">
        <v>0.60499999999999998</v>
      </c>
      <c r="N54" s="454">
        <v>176.554</v>
      </c>
      <c r="O54" s="455">
        <f t="shared" si="42"/>
        <v>177.15899999999999</v>
      </c>
      <c r="P54" s="455">
        <f t="shared" si="6"/>
        <v>1.7368529411764706</v>
      </c>
      <c r="Q54" s="451">
        <f t="shared" si="43"/>
        <v>10022.841</v>
      </c>
      <c r="R54" s="455"/>
      <c r="S54" s="295" t="s">
        <v>166</v>
      </c>
      <c r="T54" s="282" t="s">
        <v>120</v>
      </c>
      <c r="U54" s="89" t="s">
        <v>212</v>
      </c>
    </row>
    <row r="55" spans="1:21" ht="13.5" customHeight="1" x14ac:dyDescent="0.2">
      <c r="A55" s="446"/>
      <c r="B55" s="452">
        <v>3412</v>
      </c>
      <c r="C55" s="452">
        <v>506</v>
      </c>
      <c r="D55" s="453" t="s">
        <v>406</v>
      </c>
      <c r="E55" s="444"/>
      <c r="F55" s="454"/>
      <c r="G55" s="455">
        <f t="shared" si="39"/>
        <v>0</v>
      </c>
      <c r="H55" s="449">
        <v>1454.7629999999999</v>
      </c>
      <c r="I55" s="448"/>
      <c r="J55" s="444">
        <f t="shared" si="40"/>
        <v>1454.7629999999999</v>
      </c>
      <c r="K55" s="454">
        <f>F55+I55</f>
        <v>0</v>
      </c>
      <c r="L55" s="455">
        <f>SUM(J55:K55)</f>
        <v>1454.7629999999999</v>
      </c>
      <c r="M55" s="444">
        <v>1454.7629999999999</v>
      </c>
      <c r="N55" s="454"/>
      <c r="O55" s="455">
        <f t="shared" si="42"/>
        <v>1454.7629999999999</v>
      </c>
      <c r="P55" s="455"/>
      <c r="Q55" s="451">
        <f t="shared" si="43"/>
        <v>0</v>
      </c>
      <c r="R55" s="455" t="s">
        <v>408</v>
      </c>
      <c r="S55" s="294" t="s">
        <v>211</v>
      </c>
      <c r="T55" s="280" t="s">
        <v>71</v>
      </c>
      <c r="U55" s="89"/>
    </row>
    <row r="56" spans="1:21" ht="13.5" customHeight="1" x14ac:dyDescent="0.2">
      <c r="A56" s="446"/>
      <c r="B56" s="452">
        <v>3412</v>
      </c>
      <c r="C56" s="452">
        <v>216</v>
      </c>
      <c r="D56" s="453" t="s">
        <v>307</v>
      </c>
      <c r="E56" s="444"/>
      <c r="F56" s="454">
        <v>49016</v>
      </c>
      <c r="G56" s="455">
        <f t="shared" si="39"/>
        <v>49016</v>
      </c>
      <c r="H56" s="449"/>
      <c r="I56" s="448">
        <f>20000-20000+20000</f>
        <v>20000</v>
      </c>
      <c r="J56" s="444">
        <f t="shared" si="40"/>
        <v>0</v>
      </c>
      <c r="K56" s="454">
        <f t="shared" si="40"/>
        <v>69016</v>
      </c>
      <c r="L56" s="455">
        <f t="shared" si="41"/>
        <v>69016</v>
      </c>
      <c r="M56" s="444">
        <f>1.8</f>
        <v>1.8</v>
      </c>
      <c r="N56" s="454">
        <v>62077.368710000002</v>
      </c>
      <c r="O56" s="455">
        <f t="shared" si="42"/>
        <v>62079.168710000005</v>
      </c>
      <c r="P56" s="455">
        <f t="shared" ref="P56:P61" si="44">O56/$L56*100</f>
        <v>89.948951996638471</v>
      </c>
      <c r="Q56" s="451">
        <f t="shared" si="43"/>
        <v>6936.8312899999946</v>
      </c>
      <c r="R56" s="455" t="s">
        <v>417</v>
      </c>
      <c r="S56" s="295" t="s">
        <v>329</v>
      </c>
      <c r="T56" s="282" t="s">
        <v>120</v>
      </c>
      <c r="U56" s="89" t="s">
        <v>338</v>
      </c>
    </row>
    <row r="57" spans="1:21" ht="13.5" customHeight="1" x14ac:dyDescent="0.2">
      <c r="A57" s="446"/>
      <c r="B57" s="452">
        <v>3412</v>
      </c>
      <c r="C57" s="452">
        <v>216</v>
      </c>
      <c r="D57" s="453" t="s">
        <v>416</v>
      </c>
      <c r="E57" s="444"/>
      <c r="F57" s="454"/>
      <c r="G57" s="455"/>
      <c r="H57" s="449"/>
      <c r="I57" s="448"/>
      <c r="J57" s="444"/>
      <c r="K57" s="454"/>
      <c r="L57" s="455"/>
      <c r="M57" s="444"/>
      <c r="N57" s="454"/>
      <c r="O57" s="455"/>
      <c r="P57" s="455"/>
      <c r="Q57" s="451"/>
      <c r="R57" s="455"/>
      <c r="S57" s="295"/>
      <c r="T57" s="282"/>
      <c r="U57" s="89"/>
    </row>
    <row r="58" spans="1:21" ht="13.5" customHeight="1" x14ac:dyDescent="0.2">
      <c r="A58" s="446"/>
      <c r="B58" s="452">
        <v>3419</v>
      </c>
      <c r="C58" s="452">
        <v>105</v>
      </c>
      <c r="D58" s="453" t="s">
        <v>389</v>
      </c>
      <c r="E58" s="444">
        <v>45</v>
      </c>
      <c r="F58" s="454"/>
      <c r="G58" s="455">
        <f t="shared" si="39"/>
        <v>45</v>
      </c>
      <c r="H58" s="173">
        <f>117.417+48.14</f>
        <v>165.55700000000002</v>
      </c>
      <c r="I58" s="448"/>
      <c r="J58" s="444">
        <f>E58+H58</f>
        <v>210.55700000000002</v>
      </c>
      <c r="K58" s="454"/>
      <c r="L58" s="455">
        <f t="shared" si="41"/>
        <v>210.55700000000002</v>
      </c>
      <c r="M58" s="444">
        <v>165.55699999999999</v>
      </c>
      <c r="N58" s="454"/>
      <c r="O58" s="455">
        <f t="shared" si="42"/>
        <v>165.55699999999999</v>
      </c>
      <c r="P58" s="455">
        <f t="shared" si="44"/>
        <v>78.628114952245696</v>
      </c>
      <c r="Q58" s="451">
        <f>L58-O58</f>
        <v>45.000000000000028</v>
      </c>
      <c r="R58" s="455"/>
      <c r="S58" s="294" t="s">
        <v>299</v>
      </c>
      <c r="T58" s="280" t="s">
        <v>71</v>
      </c>
    </row>
    <row r="59" spans="1:21" ht="12.75" customHeight="1" x14ac:dyDescent="0.2">
      <c r="A59" s="446"/>
      <c r="B59" s="452">
        <v>3421</v>
      </c>
      <c r="C59" s="452">
        <v>105</v>
      </c>
      <c r="D59" s="453" t="s">
        <v>184</v>
      </c>
      <c r="E59" s="444">
        <v>1000</v>
      </c>
      <c r="F59" s="454"/>
      <c r="G59" s="455">
        <f t="shared" si="39"/>
        <v>1000</v>
      </c>
      <c r="H59" s="449"/>
      <c r="I59" s="448"/>
      <c r="J59" s="444">
        <f>E59+H59</f>
        <v>1000</v>
      </c>
      <c r="K59" s="454"/>
      <c r="L59" s="455">
        <f t="shared" si="41"/>
        <v>1000</v>
      </c>
      <c r="M59" s="444">
        <f>929.5+60</f>
        <v>989.5</v>
      </c>
      <c r="N59" s="454"/>
      <c r="O59" s="455">
        <f t="shared" si="42"/>
        <v>989.5</v>
      </c>
      <c r="P59" s="467">
        <f t="shared" si="44"/>
        <v>98.95</v>
      </c>
      <c r="Q59" s="451">
        <f>L59-O59</f>
        <v>10.5</v>
      </c>
      <c r="R59" s="455"/>
      <c r="S59" s="294" t="s">
        <v>299</v>
      </c>
      <c r="T59" s="280" t="s">
        <v>71</v>
      </c>
    </row>
    <row r="60" spans="1:21" x14ac:dyDescent="0.2">
      <c r="A60" s="128">
        <v>35</v>
      </c>
      <c r="B60" s="20">
        <v>3500</v>
      </c>
      <c r="C60" s="20"/>
      <c r="D60" s="393" t="s">
        <v>117</v>
      </c>
      <c r="E60" s="52">
        <f>SUM(E61:E62)</f>
        <v>0</v>
      </c>
      <c r="F60" s="53">
        <f>SUM(F61:F62)</f>
        <v>0</v>
      </c>
      <c r="G60" s="54">
        <f>SUM(G61:G62)</f>
        <v>0</v>
      </c>
      <c r="H60" s="171">
        <f t="shared" ref="H60:L60" si="45">SUM(H61:H62)</f>
        <v>0</v>
      </c>
      <c r="I60" s="172">
        <f t="shared" si="45"/>
        <v>1619.164</v>
      </c>
      <c r="J60" s="52">
        <f t="shared" si="45"/>
        <v>0</v>
      </c>
      <c r="K60" s="53">
        <f t="shared" si="45"/>
        <v>1619.164</v>
      </c>
      <c r="L60" s="54">
        <f t="shared" si="45"/>
        <v>1619.164</v>
      </c>
      <c r="M60" s="52">
        <f t="shared" ref="M60:O60" si="46">SUM(M61:M62)</f>
        <v>0</v>
      </c>
      <c r="N60" s="53">
        <f t="shared" si="46"/>
        <v>1619.164</v>
      </c>
      <c r="O60" s="54">
        <f t="shared" si="46"/>
        <v>1619.164</v>
      </c>
      <c r="P60" s="455">
        <f t="shared" si="44"/>
        <v>100</v>
      </c>
      <c r="Q60" s="367">
        <f>SUM(Q61:Q62)</f>
        <v>0</v>
      </c>
      <c r="R60" s="54"/>
      <c r="S60" s="52"/>
      <c r="T60" s="287"/>
    </row>
    <row r="61" spans="1:21" x14ac:dyDescent="0.2">
      <c r="A61" s="82"/>
      <c r="B61" s="28">
        <v>3522</v>
      </c>
      <c r="C61" s="28">
        <v>233</v>
      </c>
      <c r="D61" s="351" t="s">
        <v>342</v>
      </c>
      <c r="E61" s="49"/>
      <c r="F61" s="16"/>
      <c r="G61" s="455">
        <f t="shared" ref="G61" si="47">E61+F61</f>
        <v>0</v>
      </c>
      <c r="H61" s="176"/>
      <c r="I61" s="350">
        <v>1619.164</v>
      </c>
      <c r="J61" s="49"/>
      <c r="K61" s="454">
        <f>F61+I61</f>
        <v>1619.164</v>
      </c>
      <c r="L61" s="455">
        <f t="shared" si="41"/>
        <v>1619.164</v>
      </c>
      <c r="M61" s="49"/>
      <c r="N61" s="436">
        <v>1619.164</v>
      </c>
      <c r="O61" s="455">
        <f t="shared" si="42"/>
        <v>1619.164</v>
      </c>
      <c r="P61" s="455">
        <f t="shared" si="44"/>
        <v>100</v>
      </c>
      <c r="Q61" s="451">
        <f>L61-O61</f>
        <v>0</v>
      </c>
      <c r="R61" s="50"/>
      <c r="S61" s="49"/>
      <c r="T61" s="69"/>
    </row>
    <row r="62" spans="1:21" x14ac:dyDescent="0.2">
      <c r="A62" s="82"/>
      <c r="B62" s="28">
        <v>3522</v>
      </c>
      <c r="C62" s="28">
        <v>233</v>
      </c>
      <c r="D62" s="351" t="s">
        <v>343</v>
      </c>
      <c r="E62" s="444"/>
      <c r="F62" s="454"/>
      <c r="G62" s="455">
        <f>E62+F62</f>
        <v>0</v>
      </c>
      <c r="H62" s="449"/>
      <c r="I62" s="350"/>
      <c r="J62" s="444">
        <f>E62+H62</f>
        <v>0</v>
      </c>
      <c r="K62" s="454">
        <f>F62+I62</f>
        <v>0</v>
      </c>
      <c r="L62" s="455">
        <f>SUM(J62:K62)</f>
        <v>0</v>
      </c>
      <c r="M62" s="444"/>
      <c r="N62" s="454"/>
      <c r="O62" s="455">
        <f>M62+N62</f>
        <v>0</v>
      </c>
      <c r="P62" s="455">
        <v>0</v>
      </c>
      <c r="Q62" s="451">
        <f>L62-O62</f>
        <v>0</v>
      </c>
      <c r="R62" s="50"/>
      <c r="S62" s="294" t="s">
        <v>211</v>
      </c>
      <c r="T62" s="280" t="s">
        <v>71</v>
      </c>
    </row>
    <row r="63" spans="1:21" x14ac:dyDescent="0.2">
      <c r="A63" s="128">
        <v>36</v>
      </c>
      <c r="B63" s="20">
        <v>3600</v>
      </c>
      <c r="C63" s="20"/>
      <c r="D63" s="393" t="s">
        <v>76</v>
      </c>
      <c r="E63" s="52">
        <f t="shared" ref="E63:O63" si="48">SUM(E64:E81)</f>
        <v>14057</v>
      </c>
      <c r="F63" s="53">
        <f t="shared" si="48"/>
        <v>700</v>
      </c>
      <c r="G63" s="54">
        <f t="shared" si="48"/>
        <v>14757</v>
      </c>
      <c r="H63" s="171">
        <f t="shared" si="48"/>
        <v>-207.16</v>
      </c>
      <c r="I63" s="172">
        <f t="shared" si="48"/>
        <v>266.05799999999999</v>
      </c>
      <c r="J63" s="52">
        <f t="shared" si="48"/>
        <v>13849.84</v>
      </c>
      <c r="K63" s="53">
        <f t="shared" si="48"/>
        <v>966.05799999999999</v>
      </c>
      <c r="L63" s="54">
        <f t="shared" si="48"/>
        <v>14815.898000000001</v>
      </c>
      <c r="M63" s="52">
        <f t="shared" si="48"/>
        <v>11049.461450000001</v>
      </c>
      <c r="N63" s="53">
        <f t="shared" si="48"/>
        <v>762.93799999999999</v>
      </c>
      <c r="O63" s="54">
        <f t="shared" si="48"/>
        <v>11812.399449999999</v>
      </c>
      <c r="P63" s="54">
        <f>O63/$L63*100</f>
        <v>79.727866984505411</v>
      </c>
      <c r="Q63" s="367">
        <f>SUM(Q64:Q81)</f>
        <v>3003.4985499999993</v>
      </c>
      <c r="R63" s="54"/>
      <c r="S63" s="52"/>
      <c r="T63" s="287"/>
    </row>
    <row r="64" spans="1:21" ht="12" customHeight="1" x14ac:dyDescent="0.2">
      <c r="A64" s="446"/>
      <c r="B64" s="452">
        <v>3612</v>
      </c>
      <c r="C64" s="452" t="s">
        <v>311</v>
      </c>
      <c r="D64" s="453" t="s">
        <v>127</v>
      </c>
      <c r="E64" s="444">
        <f>1450+848+2550</f>
        <v>4848</v>
      </c>
      <c r="F64" s="454"/>
      <c r="G64" s="455">
        <f>E64+F64</f>
        <v>4848</v>
      </c>
      <c r="H64" s="173"/>
      <c r="I64" s="450"/>
      <c r="J64" s="444">
        <f t="shared" ref="J64:J81" si="49">E64+H64</f>
        <v>4848</v>
      </c>
      <c r="K64" s="454"/>
      <c r="L64" s="455">
        <f t="shared" ref="L64:L81" si="50">SUM(J64:K64)</f>
        <v>4848</v>
      </c>
      <c r="M64" s="444">
        <v>3264.4419899999998</v>
      </c>
      <c r="N64" s="454"/>
      <c r="O64" s="455">
        <f>M64+N64</f>
        <v>3264.4419899999998</v>
      </c>
      <c r="P64" s="455">
        <f>O64/$L64*100</f>
        <v>67.335849628712865</v>
      </c>
      <c r="Q64" s="451">
        <f t="shared" ref="Q64:Q81" si="51">L64-O64</f>
        <v>1583.5580100000002</v>
      </c>
      <c r="R64" s="455"/>
      <c r="S64" s="291" t="s">
        <v>412</v>
      </c>
      <c r="T64" s="288" t="s">
        <v>310</v>
      </c>
    </row>
    <row r="65" spans="1:20" x14ac:dyDescent="0.2">
      <c r="A65" s="446"/>
      <c r="B65" s="452">
        <v>3612</v>
      </c>
      <c r="C65" s="452" t="s">
        <v>311</v>
      </c>
      <c r="D65" s="453" t="s">
        <v>128</v>
      </c>
      <c r="E65" s="444">
        <v>3650</v>
      </c>
      <c r="F65" s="454"/>
      <c r="G65" s="455">
        <f>E65+F65</f>
        <v>3650</v>
      </c>
      <c r="H65" s="447"/>
      <c r="I65" s="448"/>
      <c r="J65" s="444">
        <f t="shared" si="49"/>
        <v>3650</v>
      </c>
      <c r="K65" s="454"/>
      <c r="L65" s="455">
        <f t="shared" si="50"/>
        <v>3650</v>
      </c>
      <c r="M65" s="444">
        <v>3590.0957100000001</v>
      </c>
      <c r="N65" s="454"/>
      <c r="O65" s="455">
        <f>M65+N65</f>
        <v>3590.0957100000001</v>
      </c>
      <c r="P65" s="455">
        <f>O65/$L65*100</f>
        <v>98.358786575342478</v>
      </c>
      <c r="Q65" s="451">
        <f t="shared" si="51"/>
        <v>59.904289999999946</v>
      </c>
      <c r="R65" s="455"/>
      <c r="S65" s="291" t="s">
        <v>412</v>
      </c>
      <c r="T65" s="288" t="s">
        <v>310</v>
      </c>
    </row>
    <row r="66" spans="1:20" x14ac:dyDescent="0.2">
      <c r="A66" s="446"/>
      <c r="B66" s="452">
        <v>3612</v>
      </c>
      <c r="C66" s="452">
        <v>218</v>
      </c>
      <c r="D66" s="453" t="s">
        <v>364</v>
      </c>
      <c r="E66" s="444">
        <v>300</v>
      </c>
      <c r="F66" s="454"/>
      <c r="G66" s="455">
        <f>E66+F66</f>
        <v>300</v>
      </c>
      <c r="H66" s="447"/>
      <c r="I66" s="448"/>
      <c r="J66" s="444">
        <f t="shared" si="49"/>
        <v>300</v>
      </c>
      <c r="K66" s="454"/>
      <c r="L66" s="455">
        <f t="shared" si="50"/>
        <v>300</v>
      </c>
      <c r="M66" s="444">
        <v>152.29900000000001</v>
      </c>
      <c r="N66" s="454"/>
      <c r="O66" s="455">
        <f>M66+N66</f>
        <v>152.29900000000001</v>
      </c>
      <c r="P66" s="455">
        <f>O66/$L66*100</f>
        <v>50.766333333333336</v>
      </c>
      <c r="Q66" s="451">
        <f t="shared" si="51"/>
        <v>147.70099999999999</v>
      </c>
      <c r="R66" s="455"/>
      <c r="S66" s="295" t="s">
        <v>329</v>
      </c>
      <c r="T66" s="282" t="s">
        <v>120</v>
      </c>
    </row>
    <row r="67" spans="1:20" x14ac:dyDescent="0.2">
      <c r="A67" s="446"/>
      <c r="B67" s="452">
        <v>3612</v>
      </c>
      <c r="C67" s="452">
        <v>326</v>
      </c>
      <c r="D67" s="453" t="s">
        <v>286</v>
      </c>
      <c r="E67" s="444"/>
      <c r="F67" s="454">
        <v>500</v>
      </c>
      <c r="G67" s="455">
        <f t="shared" ref="G67:G81" si="52">E67+F67</f>
        <v>500</v>
      </c>
      <c r="H67" s="447"/>
      <c r="I67" s="448"/>
      <c r="J67" s="444">
        <f t="shared" si="49"/>
        <v>0</v>
      </c>
      <c r="K67" s="454">
        <f>F67+I67</f>
        <v>500</v>
      </c>
      <c r="L67" s="455">
        <f t="shared" si="50"/>
        <v>500</v>
      </c>
      <c r="M67" s="444">
        <v>100</v>
      </c>
      <c r="N67" s="454">
        <v>452.41800000000001</v>
      </c>
      <c r="O67" s="455">
        <f t="shared" ref="O67:O81" si="53">M67+N67</f>
        <v>552.41800000000001</v>
      </c>
      <c r="P67" s="455">
        <f t="shared" ref="P67:P84" si="54">O67/$L67*100</f>
        <v>110.4836</v>
      </c>
      <c r="Q67" s="451">
        <f t="shared" si="51"/>
        <v>-52.418000000000006</v>
      </c>
      <c r="R67" s="455" t="s">
        <v>325</v>
      </c>
      <c r="S67" s="295" t="s">
        <v>329</v>
      </c>
      <c r="T67" s="282" t="s">
        <v>120</v>
      </c>
    </row>
    <row r="68" spans="1:20" x14ac:dyDescent="0.2">
      <c r="A68" s="446"/>
      <c r="B68" s="452">
        <v>3613</v>
      </c>
      <c r="C68" s="452">
        <v>104</v>
      </c>
      <c r="D68" s="453" t="s">
        <v>289</v>
      </c>
      <c r="E68" s="444">
        <f>55+300</f>
        <v>355</v>
      </c>
      <c r="F68" s="454"/>
      <c r="G68" s="455">
        <f t="shared" si="52"/>
        <v>355</v>
      </c>
      <c r="H68" s="447"/>
      <c r="I68" s="448"/>
      <c r="J68" s="444">
        <f t="shared" si="49"/>
        <v>355</v>
      </c>
      <c r="K68" s="454"/>
      <c r="L68" s="455">
        <f t="shared" si="50"/>
        <v>355</v>
      </c>
      <c r="M68" s="444">
        <v>310.97500000000002</v>
      </c>
      <c r="N68" s="454"/>
      <c r="O68" s="455">
        <f t="shared" si="53"/>
        <v>310.97500000000002</v>
      </c>
      <c r="P68" s="455">
        <f t="shared" si="54"/>
        <v>87.598591549295776</v>
      </c>
      <c r="Q68" s="451">
        <f t="shared" si="51"/>
        <v>44.024999999999977</v>
      </c>
      <c r="R68" s="455" t="s">
        <v>398</v>
      </c>
      <c r="S68" s="295" t="s">
        <v>411</v>
      </c>
      <c r="T68" s="282" t="s">
        <v>69</v>
      </c>
    </row>
    <row r="69" spans="1:20" x14ac:dyDescent="0.2">
      <c r="A69" s="446"/>
      <c r="B69" s="452">
        <v>3613</v>
      </c>
      <c r="C69" s="452">
        <v>316</v>
      </c>
      <c r="D69" s="453" t="s">
        <v>392</v>
      </c>
      <c r="E69" s="444"/>
      <c r="F69" s="454"/>
      <c r="G69" s="455"/>
      <c r="H69" s="447"/>
      <c r="I69" s="448"/>
      <c r="J69" s="444"/>
      <c r="K69" s="454"/>
      <c r="L69" s="455"/>
      <c r="M69" s="444">
        <v>107.85</v>
      </c>
      <c r="N69" s="454"/>
      <c r="O69" s="455">
        <f t="shared" si="53"/>
        <v>107.85</v>
      </c>
      <c r="P69" s="455"/>
      <c r="Q69" s="451">
        <f t="shared" si="51"/>
        <v>-107.85</v>
      </c>
      <c r="R69" s="455"/>
      <c r="S69" s="295" t="s">
        <v>166</v>
      </c>
      <c r="T69" s="282" t="s">
        <v>120</v>
      </c>
    </row>
    <row r="70" spans="1:20" x14ac:dyDescent="0.2">
      <c r="A70" s="446"/>
      <c r="B70" s="452">
        <v>3613</v>
      </c>
      <c r="C70" s="452">
        <v>317</v>
      </c>
      <c r="D70" s="453" t="s">
        <v>214</v>
      </c>
      <c r="E70" s="444">
        <v>200</v>
      </c>
      <c r="F70" s="454"/>
      <c r="G70" s="455">
        <f t="shared" si="52"/>
        <v>200</v>
      </c>
      <c r="H70" s="447"/>
      <c r="I70" s="450"/>
      <c r="J70" s="444">
        <f t="shared" si="49"/>
        <v>200</v>
      </c>
      <c r="K70" s="454"/>
      <c r="L70" s="455">
        <f t="shared" si="50"/>
        <v>200</v>
      </c>
      <c r="M70" s="444">
        <v>103.02500000000001</v>
      </c>
      <c r="N70" s="454"/>
      <c r="O70" s="455">
        <f t="shared" si="53"/>
        <v>103.02500000000001</v>
      </c>
      <c r="P70" s="455">
        <f t="shared" si="54"/>
        <v>51.512500000000003</v>
      </c>
      <c r="Q70" s="451">
        <f t="shared" si="51"/>
        <v>96.974999999999994</v>
      </c>
      <c r="R70" s="455"/>
      <c r="S70" s="297" t="s">
        <v>344</v>
      </c>
      <c r="T70" s="282" t="s">
        <v>69</v>
      </c>
    </row>
    <row r="71" spans="1:20" x14ac:dyDescent="0.2">
      <c r="A71" s="446"/>
      <c r="B71" s="452">
        <v>3613</v>
      </c>
      <c r="C71" s="452">
        <v>703</v>
      </c>
      <c r="D71" s="453" t="s">
        <v>129</v>
      </c>
      <c r="E71" s="444">
        <v>275</v>
      </c>
      <c r="F71" s="454"/>
      <c r="G71" s="455">
        <f t="shared" si="52"/>
        <v>275</v>
      </c>
      <c r="H71" s="447"/>
      <c r="I71" s="448"/>
      <c r="J71" s="444">
        <f t="shared" si="49"/>
        <v>275</v>
      </c>
      <c r="K71" s="454"/>
      <c r="L71" s="455">
        <f t="shared" si="50"/>
        <v>275</v>
      </c>
      <c r="M71" s="444">
        <v>83.553120000000007</v>
      </c>
      <c r="N71" s="454"/>
      <c r="O71" s="455">
        <f t="shared" si="53"/>
        <v>83.553120000000007</v>
      </c>
      <c r="P71" s="455">
        <f t="shared" si="54"/>
        <v>30.382952727272727</v>
      </c>
      <c r="Q71" s="451">
        <f t="shared" si="51"/>
        <v>191.44687999999999</v>
      </c>
      <c r="R71" s="455"/>
      <c r="S71" s="291" t="s">
        <v>412</v>
      </c>
      <c r="T71" s="288" t="s">
        <v>310</v>
      </c>
    </row>
    <row r="72" spans="1:20" x14ac:dyDescent="0.2">
      <c r="A72" s="446"/>
      <c r="B72" s="452">
        <v>3613</v>
      </c>
      <c r="C72" s="452">
        <v>703</v>
      </c>
      <c r="D72" s="453" t="s">
        <v>130</v>
      </c>
      <c r="E72" s="444">
        <v>331</v>
      </c>
      <c r="F72" s="454"/>
      <c r="G72" s="455">
        <f t="shared" si="52"/>
        <v>331</v>
      </c>
      <c r="H72" s="447"/>
      <c r="I72" s="448"/>
      <c r="J72" s="444">
        <f t="shared" si="49"/>
        <v>331</v>
      </c>
      <c r="K72" s="454"/>
      <c r="L72" s="455">
        <f t="shared" si="50"/>
        <v>331</v>
      </c>
      <c r="M72" s="444">
        <v>108.71742999999999</v>
      </c>
      <c r="N72" s="454"/>
      <c r="O72" s="455">
        <f t="shared" si="53"/>
        <v>108.71742999999999</v>
      </c>
      <c r="P72" s="455">
        <f t="shared" si="54"/>
        <v>32.845145015105736</v>
      </c>
      <c r="Q72" s="451">
        <f t="shared" si="51"/>
        <v>222.28257000000002</v>
      </c>
      <c r="R72" s="455"/>
      <c r="S72" s="291" t="s">
        <v>412</v>
      </c>
      <c r="T72" s="288" t="s">
        <v>310</v>
      </c>
    </row>
    <row r="73" spans="1:20" x14ac:dyDescent="0.2">
      <c r="A73" s="446"/>
      <c r="B73" s="452">
        <v>3631</v>
      </c>
      <c r="C73" s="452">
        <v>107</v>
      </c>
      <c r="D73" s="453" t="s">
        <v>77</v>
      </c>
      <c r="E73" s="444">
        <v>1620</v>
      </c>
      <c r="F73" s="454"/>
      <c r="G73" s="455">
        <f t="shared" si="52"/>
        <v>1620</v>
      </c>
      <c r="H73" s="447"/>
      <c r="I73" s="448">
        <v>266.05799999999999</v>
      </c>
      <c r="J73" s="444">
        <f t="shared" si="49"/>
        <v>1620</v>
      </c>
      <c r="K73" s="454">
        <f>F73+I73</f>
        <v>266.05799999999999</v>
      </c>
      <c r="L73" s="455">
        <f t="shared" si="50"/>
        <v>1886.058</v>
      </c>
      <c r="M73" s="444">
        <f>1879.32-N73</f>
        <v>1613.2619999999999</v>
      </c>
      <c r="N73" s="454">
        <v>266.05799999999999</v>
      </c>
      <c r="O73" s="455">
        <f t="shared" si="53"/>
        <v>1879.32</v>
      </c>
      <c r="P73" s="455">
        <f t="shared" si="54"/>
        <v>99.642746935672179</v>
      </c>
      <c r="Q73" s="451">
        <f t="shared" si="51"/>
        <v>6.7380000000000564</v>
      </c>
      <c r="R73" s="455"/>
      <c r="S73" s="295" t="s">
        <v>209</v>
      </c>
      <c r="T73" s="282" t="s">
        <v>120</v>
      </c>
    </row>
    <row r="74" spans="1:20" x14ac:dyDescent="0.2">
      <c r="A74" s="446"/>
      <c r="B74" s="452">
        <v>3632</v>
      </c>
      <c r="C74" s="452">
        <v>238</v>
      </c>
      <c r="D74" s="453" t="s">
        <v>39</v>
      </c>
      <c r="E74" s="444">
        <v>360</v>
      </c>
      <c r="F74" s="454">
        <v>200</v>
      </c>
      <c r="G74" s="455">
        <f t="shared" si="52"/>
        <v>560</v>
      </c>
      <c r="H74" s="447"/>
      <c r="I74" s="448"/>
      <c r="J74" s="444">
        <f t="shared" si="49"/>
        <v>360</v>
      </c>
      <c r="K74" s="454">
        <f>F74+I74</f>
        <v>200</v>
      </c>
      <c r="L74" s="455">
        <f t="shared" si="50"/>
        <v>560</v>
      </c>
      <c r="M74" s="444">
        <f>359.903-N74</f>
        <v>315.44100000000003</v>
      </c>
      <c r="N74" s="454">
        <v>44.462000000000003</v>
      </c>
      <c r="O74" s="455">
        <f t="shared" si="53"/>
        <v>359.90300000000002</v>
      </c>
      <c r="P74" s="455">
        <f t="shared" si="54"/>
        <v>64.268392857142871</v>
      </c>
      <c r="Q74" s="451">
        <f t="shared" si="51"/>
        <v>200.09699999999998</v>
      </c>
      <c r="R74" s="455" t="s">
        <v>438</v>
      </c>
      <c r="S74" s="297" t="s">
        <v>344</v>
      </c>
      <c r="T74" s="282" t="s">
        <v>69</v>
      </c>
    </row>
    <row r="75" spans="1:20" x14ac:dyDescent="0.2">
      <c r="A75" s="446"/>
      <c r="B75" s="452">
        <v>3635</v>
      </c>
      <c r="C75" s="452">
        <v>248</v>
      </c>
      <c r="D75" s="453" t="s">
        <v>218</v>
      </c>
      <c r="E75" s="444">
        <v>100</v>
      </c>
      <c r="F75" s="454"/>
      <c r="G75" s="455">
        <f t="shared" si="52"/>
        <v>100</v>
      </c>
      <c r="H75" s="447"/>
      <c r="I75" s="448"/>
      <c r="J75" s="444">
        <f t="shared" si="49"/>
        <v>100</v>
      </c>
      <c r="K75" s="454"/>
      <c r="L75" s="455">
        <f t="shared" si="50"/>
        <v>100</v>
      </c>
      <c r="M75" s="444">
        <v>26.082999999999998</v>
      </c>
      <c r="N75" s="454"/>
      <c r="O75" s="455">
        <f t="shared" si="53"/>
        <v>26.082999999999998</v>
      </c>
      <c r="P75" s="455">
        <f t="shared" si="54"/>
        <v>26.083000000000002</v>
      </c>
      <c r="Q75" s="451">
        <f t="shared" si="51"/>
        <v>73.917000000000002</v>
      </c>
      <c r="R75" s="455"/>
      <c r="S75" s="298" t="s">
        <v>217</v>
      </c>
      <c r="T75" s="289" t="s">
        <v>216</v>
      </c>
    </row>
    <row r="76" spans="1:20" x14ac:dyDescent="0.2">
      <c r="A76" s="446"/>
      <c r="B76" s="452">
        <v>3636</v>
      </c>
      <c r="C76" s="452">
        <v>249</v>
      </c>
      <c r="D76" s="453" t="s">
        <v>272</v>
      </c>
      <c r="E76" s="444">
        <v>141</v>
      </c>
      <c r="F76" s="454"/>
      <c r="G76" s="455">
        <f t="shared" si="52"/>
        <v>141</v>
      </c>
      <c r="H76" s="173">
        <v>42.84</v>
      </c>
      <c r="I76" s="448"/>
      <c r="J76" s="444">
        <f t="shared" si="49"/>
        <v>183.84</v>
      </c>
      <c r="K76" s="454"/>
      <c r="L76" s="455">
        <f t="shared" si="50"/>
        <v>183.84</v>
      </c>
      <c r="M76" s="444">
        <v>125.182</v>
      </c>
      <c r="N76" s="454"/>
      <c r="O76" s="455">
        <f t="shared" si="53"/>
        <v>125.182</v>
      </c>
      <c r="P76" s="455">
        <f t="shared" si="54"/>
        <v>68.092906875543946</v>
      </c>
      <c r="Q76" s="451">
        <f t="shared" si="51"/>
        <v>58.658000000000001</v>
      </c>
      <c r="R76" s="455"/>
      <c r="S76" s="295" t="s">
        <v>329</v>
      </c>
      <c r="T76" s="282" t="s">
        <v>120</v>
      </c>
    </row>
    <row r="77" spans="1:20" x14ac:dyDescent="0.2">
      <c r="A77" s="446"/>
      <c r="B77" s="452">
        <v>3639</v>
      </c>
      <c r="C77" s="452">
        <v>108</v>
      </c>
      <c r="D77" s="453" t="s">
        <v>96</v>
      </c>
      <c r="E77" s="444">
        <v>500</v>
      </c>
      <c r="F77" s="454"/>
      <c r="G77" s="455">
        <f t="shared" si="52"/>
        <v>500</v>
      </c>
      <c r="H77" s="449"/>
      <c r="I77" s="448"/>
      <c r="J77" s="444">
        <f t="shared" si="49"/>
        <v>500</v>
      </c>
      <c r="K77" s="454"/>
      <c r="L77" s="455">
        <f t="shared" si="50"/>
        <v>500</v>
      </c>
      <c r="M77" s="444">
        <v>167.99914999999999</v>
      </c>
      <c r="N77" s="454"/>
      <c r="O77" s="455">
        <f t="shared" si="53"/>
        <v>167.99914999999999</v>
      </c>
      <c r="P77" s="455">
        <f t="shared" si="54"/>
        <v>33.599829999999997</v>
      </c>
      <c r="Q77" s="451">
        <f t="shared" si="51"/>
        <v>332.00085000000001</v>
      </c>
      <c r="R77" s="455"/>
      <c r="S77" s="295" t="s">
        <v>166</v>
      </c>
      <c r="T77" s="282" t="s">
        <v>69</v>
      </c>
    </row>
    <row r="78" spans="1:20" x14ac:dyDescent="0.2">
      <c r="A78" s="446"/>
      <c r="B78" s="452">
        <v>3639</v>
      </c>
      <c r="C78" s="452">
        <v>239</v>
      </c>
      <c r="D78" s="453" t="s">
        <v>197</v>
      </c>
      <c r="E78" s="444">
        <f>591+200</f>
        <v>791</v>
      </c>
      <c r="F78" s="454"/>
      <c r="G78" s="455">
        <f t="shared" si="52"/>
        <v>791</v>
      </c>
      <c r="H78" s="447">
        <v>-250</v>
      </c>
      <c r="I78" s="448"/>
      <c r="J78" s="444">
        <f t="shared" si="49"/>
        <v>541</v>
      </c>
      <c r="K78" s="454"/>
      <c r="L78" s="455">
        <f t="shared" si="50"/>
        <v>541</v>
      </c>
      <c r="M78" s="444">
        <v>457.43367999999998</v>
      </c>
      <c r="N78" s="454"/>
      <c r="O78" s="455">
        <f t="shared" si="53"/>
        <v>457.43367999999998</v>
      </c>
      <c r="P78" s="455">
        <f t="shared" si="54"/>
        <v>84.553360443622921</v>
      </c>
      <c r="Q78" s="451">
        <f t="shared" si="51"/>
        <v>83.566320000000019</v>
      </c>
      <c r="R78" s="455"/>
      <c r="S78" s="295" t="s">
        <v>209</v>
      </c>
      <c r="T78" s="282" t="s">
        <v>120</v>
      </c>
    </row>
    <row r="79" spans="1:20" x14ac:dyDescent="0.2">
      <c r="A79" s="446"/>
      <c r="B79" s="452">
        <v>3639</v>
      </c>
      <c r="C79" s="452">
        <v>243</v>
      </c>
      <c r="D79" s="453" t="s">
        <v>161</v>
      </c>
      <c r="E79" s="444">
        <f>64+223</f>
        <v>287</v>
      </c>
      <c r="F79" s="454"/>
      <c r="G79" s="455">
        <f t="shared" si="52"/>
        <v>287</v>
      </c>
      <c r="H79" s="447"/>
      <c r="I79" s="448"/>
      <c r="J79" s="444">
        <f t="shared" si="49"/>
        <v>287</v>
      </c>
      <c r="K79" s="454"/>
      <c r="L79" s="455">
        <f t="shared" si="50"/>
        <v>287</v>
      </c>
      <c r="M79" s="444">
        <v>274.46337</v>
      </c>
      <c r="N79" s="454"/>
      <c r="O79" s="455">
        <f t="shared" si="53"/>
        <v>274.46337</v>
      </c>
      <c r="P79" s="455">
        <f t="shared" si="54"/>
        <v>95.631836236933793</v>
      </c>
      <c r="Q79" s="451">
        <f t="shared" si="51"/>
        <v>12.536630000000002</v>
      </c>
      <c r="R79" s="455"/>
      <c r="S79" s="297" t="s">
        <v>69</v>
      </c>
      <c r="T79" s="282" t="s">
        <v>330</v>
      </c>
    </row>
    <row r="80" spans="1:20" x14ac:dyDescent="0.2">
      <c r="A80" s="446"/>
      <c r="B80" s="452">
        <v>3639</v>
      </c>
      <c r="C80" s="452">
        <v>319</v>
      </c>
      <c r="D80" s="453" t="s">
        <v>282</v>
      </c>
      <c r="E80" s="444">
        <v>227</v>
      </c>
      <c r="F80" s="454"/>
      <c r="G80" s="455">
        <f t="shared" si="52"/>
        <v>227</v>
      </c>
      <c r="H80" s="449"/>
      <c r="I80" s="448"/>
      <c r="J80" s="444">
        <f t="shared" si="49"/>
        <v>227</v>
      </c>
      <c r="K80" s="454"/>
      <c r="L80" s="455">
        <f t="shared" si="50"/>
        <v>227</v>
      </c>
      <c r="M80" s="444">
        <v>226.8</v>
      </c>
      <c r="N80" s="454"/>
      <c r="O80" s="455">
        <f t="shared" si="53"/>
        <v>226.8</v>
      </c>
      <c r="P80" s="455">
        <f t="shared" si="54"/>
        <v>99.911894273127757</v>
      </c>
      <c r="Q80" s="451">
        <f t="shared" si="51"/>
        <v>0.19999999999998863</v>
      </c>
      <c r="R80" s="455" t="s">
        <v>326</v>
      </c>
      <c r="S80" s="297" t="s">
        <v>344</v>
      </c>
      <c r="T80" s="282" t="s">
        <v>69</v>
      </c>
    </row>
    <row r="81" spans="1:20" x14ac:dyDescent="0.2">
      <c r="A81" s="129"/>
      <c r="B81" s="31">
        <v>3639</v>
      </c>
      <c r="C81" s="31">
        <v>319.20999999999998</v>
      </c>
      <c r="D81" s="394" t="s">
        <v>280</v>
      </c>
      <c r="E81" s="444">
        <f>14+58</f>
        <v>72</v>
      </c>
      <c r="F81" s="454"/>
      <c r="G81" s="455">
        <f t="shared" si="52"/>
        <v>72</v>
      </c>
      <c r="H81" s="374"/>
      <c r="I81" s="175"/>
      <c r="J81" s="55">
        <f t="shared" si="49"/>
        <v>72</v>
      </c>
      <c r="K81" s="58"/>
      <c r="L81" s="57">
        <f t="shared" si="50"/>
        <v>72</v>
      </c>
      <c r="M81" s="444">
        <f>21.84</f>
        <v>21.84</v>
      </c>
      <c r="N81" s="454"/>
      <c r="O81" s="455">
        <f t="shared" si="53"/>
        <v>21.84</v>
      </c>
      <c r="P81" s="57">
        <f t="shared" si="54"/>
        <v>30.333333333333336</v>
      </c>
      <c r="Q81" s="451">
        <f t="shared" si="51"/>
        <v>50.16</v>
      </c>
      <c r="R81" s="57"/>
      <c r="S81" s="397" t="s">
        <v>344</v>
      </c>
      <c r="T81" s="284" t="s">
        <v>69</v>
      </c>
    </row>
    <row r="82" spans="1:20" x14ac:dyDescent="0.2">
      <c r="A82" s="128">
        <v>37</v>
      </c>
      <c r="B82" s="20"/>
      <c r="C82" s="20"/>
      <c r="D82" s="393" t="s">
        <v>118</v>
      </c>
      <c r="E82" s="52">
        <f t="shared" ref="E82:O82" si="55">SUM(E83:E91)</f>
        <v>12392</v>
      </c>
      <c r="F82" s="53">
        <f t="shared" si="55"/>
        <v>0</v>
      </c>
      <c r="G82" s="54">
        <f t="shared" si="55"/>
        <v>12392</v>
      </c>
      <c r="H82" s="171">
        <f t="shared" si="55"/>
        <v>-450</v>
      </c>
      <c r="I82" s="172">
        <f t="shared" si="55"/>
        <v>850</v>
      </c>
      <c r="J82" s="52">
        <f t="shared" si="55"/>
        <v>11942</v>
      </c>
      <c r="K82" s="53">
        <f t="shared" si="55"/>
        <v>850</v>
      </c>
      <c r="L82" s="54">
        <f t="shared" si="55"/>
        <v>12792</v>
      </c>
      <c r="M82" s="52">
        <f t="shared" si="55"/>
        <v>10334.20059</v>
      </c>
      <c r="N82" s="53">
        <f t="shared" si="55"/>
        <v>847.17908</v>
      </c>
      <c r="O82" s="54">
        <f t="shared" si="55"/>
        <v>11181.37967</v>
      </c>
      <c r="P82" s="54">
        <f t="shared" si="54"/>
        <v>87.409159396497813</v>
      </c>
      <c r="Q82" s="367">
        <f>SUM(Q83:Q91)</f>
        <v>1610.62033</v>
      </c>
      <c r="R82" s="54"/>
      <c r="S82" s="49"/>
      <c r="T82" s="69"/>
    </row>
    <row r="83" spans="1:20" x14ac:dyDescent="0.2">
      <c r="A83" s="446"/>
      <c r="B83" s="452">
        <v>3722</v>
      </c>
      <c r="C83" s="452">
        <v>240</v>
      </c>
      <c r="D83" s="453" t="s">
        <v>78</v>
      </c>
      <c r="E83" s="444">
        <v>5500</v>
      </c>
      <c r="F83" s="454"/>
      <c r="G83" s="455">
        <f t="shared" ref="G83:G91" si="56">E83+F83</f>
        <v>5500</v>
      </c>
      <c r="H83" s="447"/>
      <c r="I83" s="448"/>
      <c r="J83" s="444">
        <f t="shared" ref="J83:J91" si="57">E83+H83</f>
        <v>5500</v>
      </c>
      <c r="K83" s="454"/>
      <c r="L83" s="455">
        <f t="shared" ref="L83:L91" si="58">SUM(J83:K83)</f>
        <v>5500</v>
      </c>
      <c r="M83" s="444">
        <v>5630.0169800000003</v>
      </c>
      <c r="N83" s="454"/>
      <c r="O83" s="455">
        <f t="shared" ref="O83:O91" si="59">M83+N83</f>
        <v>5630.0169800000003</v>
      </c>
      <c r="P83" s="455">
        <f t="shared" si="54"/>
        <v>102.3639450909091</v>
      </c>
      <c r="Q83" s="451">
        <f t="shared" ref="Q83:Q91" si="60">L83-O83</f>
        <v>-130.01698000000033</v>
      </c>
      <c r="R83" s="455"/>
      <c r="S83" s="295" t="s">
        <v>350</v>
      </c>
      <c r="T83" s="282" t="s">
        <v>209</v>
      </c>
    </row>
    <row r="84" spans="1:20" x14ac:dyDescent="0.2">
      <c r="A84" s="446"/>
      <c r="B84" s="452">
        <v>3722</v>
      </c>
      <c r="C84" s="452">
        <v>5110</v>
      </c>
      <c r="D84" s="453" t="s">
        <v>296</v>
      </c>
      <c r="E84" s="444">
        <v>500</v>
      </c>
      <c r="F84" s="454"/>
      <c r="G84" s="455">
        <f t="shared" si="56"/>
        <v>500</v>
      </c>
      <c r="H84" s="173"/>
      <c r="I84" s="448"/>
      <c r="J84" s="444">
        <f t="shared" si="57"/>
        <v>500</v>
      </c>
      <c r="K84" s="454"/>
      <c r="L84" s="455">
        <f t="shared" si="58"/>
        <v>500</v>
      </c>
      <c r="M84" s="444">
        <v>350.23567000000003</v>
      </c>
      <c r="N84" s="454"/>
      <c r="O84" s="455">
        <f t="shared" si="59"/>
        <v>350.23567000000003</v>
      </c>
      <c r="P84" s="455">
        <f t="shared" si="54"/>
        <v>70.047134000000014</v>
      </c>
      <c r="Q84" s="451">
        <f t="shared" si="60"/>
        <v>149.76432999999997</v>
      </c>
      <c r="R84" s="455"/>
      <c r="S84" s="295" t="s">
        <v>350</v>
      </c>
      <c r="T84" s="282" t="s">
        <v>209</v>
      </c>
    </row>
    <row r="85" spans="1:20" x14ac:dyDescent="0.2">
      <c r="A85" s="446"/>
      <c r="B85" s="452">
        <v>3722</v>
      </c>
      <c r="C85" s="452">
        <v>250</v>
      </c>
      <c r="D85" s="395" t="s">
        <v>388</v>
      </c>
      <c r="E85" s="444"/>
      <c r="F85" s="454"/>
      <c r="G85" s="455"/>
      <c r="H85" s="447">
        <f>1200-150</f>
        <v>1050</v>
      </c>
      <c r="I85" s="448">
        <f>700+150</f>
        <v>850</v>
      </c>
      <c r="J85" s="444">
        <f t="shared" si="57"/>
        <v>1050</v>
      </c>
      <c r="K85" s="454">
        <f>F85+I85</f>
        <v>850</v>
      </c>
      <c r="L85" s="455">
        <f t="shared" si="58"/>
        <v>1900</v>
      </c>
      <c r="M85" s="444">
        <f>1479.83242-N85</f>
        <v>632.65333999999996</v>
      </c>
      <c r="N85" s="454">
        <v>847.17908</v>
      </c>
      <c r="O85" s="455">
        <f t="shared" ref="O85" si="61">M85+N85</f>
        <v>1479.83242</v>
      </c>
      <c r="P85" s="455">
        <f t="shared" ref="P85" si="62">O85/$L85*100</f>
        <v>77.88591684210526</v>
      </c>
      <c r="Q85" s="451">
        <f t="shared" si="60"/>
        <v>420.16758000000004</v>
      </c>
      <c r="R85" s="373" t="s">
        <v>439</v>
      </c>
      <c r="S85" s="295" t="s">
        <v>350</v>
      </c>
      <c r="T85" s="282" t="s">
        <v>329</v>
      </c>
    </row>
    <row r="86" spans="1:20" x14ac:dyDescent="0.2">
      <c r="A86" s="446"/>
      <c r="B86" s="452">
        <v>3745</v>
      </c>
      <c r="C86" s="452">
        <v>241</v>
      </c>
      <c r="D86" s="453" t="s">
        <v>79</v>
      </c>
      <c r="E86" s="444">
        <f>2026+1516</f>
        <v>3542</v>
      </c>
      <c r="F86" s="454"/>
      <c r="G86" s="455">
        <f t="shared" si="56"/>
        <v>3542</v>
      </c>
      <c r="H86" s="173"/>
      <c r="I86" s="448"/>
      <c r="J86" s="444">
        <f t="shared" si="57"/>
        <v>3542</v>
      </c>
      <c r="K86" s="454"/>
      <c r="L86" s="455">
        <f t="shared" si="58"/>
        <v>3542</v>
      </c>
      <c r="M86" s="444">
        <v>2801.8031000000001</v>
      </c>
      <c r="N86" s="454"/>
      <c r="O86" s="455">
        <f t="shared" si="59"/>
        <v>2801.8031000000001</v>
      </c>
      <c r="P86" s="455">
        <f>O86/$L86*100</f>
        <v>79.102289666854887</v>
      </c>
      <c r="Q86" s="451">
        <f t="shared" si="60"/>
        <v>740.19689999999991</v>
      </c>
      <c r="R86" s="455"/>
      <c r="S86" s="295" t="s">
        <v>302</v>
      </c>
      <c r="T86" s="282" t="s">
        <v>209</v>
      </c>
    </row>
    <row r="87" spans="1:20" x14ac:dyDescent="0.2">
      <c r="A87" s="446"/>
      <c r="B87" s="452">
        <v>3745</v>
      </c>
      <c r="C87" s="452">
        <v>242</v>
      </c>
      <c r="D87" s="453" t="s">
        <v>254</v>
      </c>
      <c r="E87" s="444">
        <f>450+500</f>
        <v>950</v>
      </c>
      <c r="F87" s="454"/>
      <c r="G87" s="455">
        <f t="shared" si="56"/>
        <v>950</v>
      </c>
      <c r="H87" s="449"/>
      <c r="I87" s="448"/>
      <c r="J87" s="444">
        <f t="shared" si="57"/>
        <v>950</v>
      </c>
      <c r="K87" s="454"/>
      <c r="L87" s="455">
        <f t="shared" si="58"/>
        <v>950</v>
      </c>
      <c r="M87" s="444">
        <v>677.08083999999997</v>
      </c>
      <c r="N87" s="454"/>
      <c r="O87" s="455">
        <f t="shared" si="59"/>
        <v>677.08083999999997</v>
      </c>
      <c r="P87" s="455">
        <f>O87/$L87*100</f>
        <v>71.271667368421049</v>
      </c>
      <c r="Q87" s="451">
        <f t="shared" si="60"/>
        <v>272.91916000000003</v>
      </c>
      <c r="R87" s="455"/>
      <c r="S87" s="295" t="s">
        <v>302</v>
      </c>
      <c r="T87" s="282" t="s">
        <v>209</v>
      </c>
    </row>
    <row r="88" spans="1:20" x14ac:dyDescent="0.2">
      <c r="A88" s="446"/>
      <c r="B88" s="452">
        <v>3745</v>
      </c>
      <c r="C88" s="452">
        <v>244</v>
      </c>
      <c r="D88" s="395" t="s">
        <v>314</v>
      </c>
      <c r="E88" s="444">
        <v>40</v>
      </c>
      <c r="F88" s="454"/>
      <c r="G88" s="455">
        <f t="shared" si="56"/>
        <v>40</v>
      </c>
      <c r="H88" s="173"/>
      <c r="I88" s="448"/>
      <c r="J88" s="444">
        <f t="shared" si="57"/>
        <v>40</v>
      </c>
      <c r="K88" s="454"/>
      <c r="L88" s="455">
        <f t="shared" si="58"/>
        <v>40</v>
      </c>
      <c r="M88" s="444">
        <v>20.225149999999999</v>
      </c>
      <c r="N88" s="454"/>
      <c r="O88" s="455">
        <f t="shared" si="59"/>
        <v>20.225149999999999</v>
      </c>
      <c r="P88" s="455">
        <f>O88/$L88*100</f>
        <v>50.562874999999998</v>
      </c>
      <c r="Q88" s="451">
        <f t="shared" si="60"/>
        <v>19.774850000000001</v>
      </c>
      <c r="R88" s="373" t="s">
        <v>478</v>
      </c>
      <c r="S88" s="295" t="s">
        <v>302</v>
      </c>
      <c r="T88" s="282" t="s">
        <v>329</v>
      </c>
    </row>
    <row r="89" spans="1:20" x14ac:dyDescent="0.2">
      <c r="A89" s="446"/>
      <c r="B89" s="452">
        <v>3745</v>
      </c>
      <c r="C89" s="452">
        <v>246</v>
      </c>
      <c r="D89" s="453" t="s">
        <v>298</v>
      </c>
      <c r="E89" s="444">
        <v>1800</v>
      </c>
      <c r="F89" s="454"/>
      <c r="G89" s="455">
        <f t="shared" si="56"/>
        <v>1800</v>
      </c>
      <c r="H89" s="173">
        <f>-386-1114</f>
        <v>-1500</v>
      </c>
      <c r="I89" s="448"/>
      <c r="J89" s="444">
        <f t="shared" si="57"/>
        <v>300</v>
      </c>
      <c r="K89" s="454"/>
      <c r="L89" s="455">
        <f t="shared" si="58"/>
        <v>300</v>
      </c>
      <c r="M89" s="444">
        <v>150.166</v>
      </c>
      <c r="N89" s="454"/>
      <c r="O89" s="455">
        <f t="shared" si="59"/>
        <v>150.166</v>
      </c>
      <c r="P89" s="455">
        <f>O89/$L89*100</f>
        <v>50.05533333333333</v>
      </c>
      <c r="Q89" s="451">
        <f t="shared" si="60"/>
        <v>149.834</v>
      </c>
      <c r="R89" s="455" t="s">
        <v>346</v>
      </c>
      <c r="S89" s="297" t="s">
        <v>410</v>
      </c>
      <c r="T89" s="282" t="s">
        <v>329</v>
      </c>
    </row>
    <row r="90" spans="1:20" x14ac:dyDescent="0.2">
      <c r="A90" s="446"/>
      <c r="B90" s="452">
        <v>3745</v>
      </c>
      <c r="C90" s="452">
        <v>1544</v>
      </c>
      <c r="D90" s="453" t="s">
        <v>305</v>
      </c>
      <c r="E90" s="444"/>
      <c r="F90" s="454"/>
      <c r="G90" s="455">
        <f t="shared" si="56"/>
        <v>0</v>
      </c>
      <c r="H90" s="447"/>
      <c r="I90" s="448"/>
      <c r="J90" s="444">
        <f t="shared" si="57"/>
        <v>0</v>
      </c>
      <c r="K90" s="454"/>
      <c r="L90" s="455">
        <f t="shared" si="58"/>
        <v>0</v>
      </c>
      <c r="M90" s="444">
        <v>16.843509999999998</v>
      </c>
      <c r="N90" s="454"/>
      <c r="O90" s="455">
        <f t="shared" si="59"/>
        <v>16.843509999999998</v>
      </c>
      <c r="P90" s="455"/>
      <c r="Q90" s="451">
        <f t="shared" si="60"/>
        <v>-16.843509999999998</v>
      </c>
      <c r="R90" s="455"/>
      <c r="S90" s="56"/>
      <c r="T90" s="51"/>
    </row>
    <row r="91" spans="1:20" x14ac:dyDescent="0.2">
      <c r="A91" s="129"/>
      <c r="B91" s="31">
        <v>3792</v>
      </c>
      <c r="C91" s="31">
        <v>234</v>
      </c>
      <c r="D91" s="394" t="s">
        <v>291</v>
      </c>
      <c r="E91" s="444">
        <v>60</v>
      </c>
      <c r="F91" s="454"/>
      <c r="G91" s="455">
        <f t="shared" si="56"/>
        <v>60</v>
      </c>
      <c r="H91" s="323"/>
      <c r="I91" s="175"/>
      <c r="J91" s="55">
        <f t="shared" si="57"/>
        <v>60</v>
      </c>
      <c r="K91" s="58"/>
      <c r="L91" s="57">
        <f t="shared" si="58"/>
        <v>60</v>
      </c>
      <c r="M91" s="444">
        <v>55.176000000000002</v>
      </c>
      <c r="N91" s="454"/>
      <c r="O91" s="455">
        <f t="shared" si="59"/>
        <v>55.176000000000002</v>
      </c>
      <c r="P91" s="57">
        <f>O91/$L91*100</f>
        <v>91.960000000000008</v>
      </c>
      <c r="Q91" s="451">
        <f t="shared" si="60"/>
        <v>4.8239999999999981</v>
      </c>
      <c r="R91" s="57" t="s">
        <v>398</v>
      </c>
      <c r="S91" s="295" t="s">
        <v>350</v>
      </c>
      <c r="T91" s="282" t="s">
        <v>329</v>
      </c>
    </row>
    <row r="92" spans="1:20" x14ac:dyDescent="0.2">
      <c r="A92" s="128">
        <v>43</v>
      </c>
      <c r="B92" s="20">
        <v>4300</v>
      </c>
      <c r="C92" s="20"/>
      <c r="D92" s="393" t="s">
        <v>80</v>
      </c>
      <c r="E92" s="52">
        <f>SUM(E93:E96)</f>
        <v>5333</v>
      </c>
      <c r="F92" s="53">
        <f>SUM(F93:F96)</f>
        <v>3800</v>
      </c>
      <c r="G92" s="54">
        <f>SUM(G93:G96)</f>
        <v>9133</v>
      </c>
      <c r="H92" s="176">
        <f t="shared" ref="H92:L92" si="63">SUM(H93:H96)</f>
        <v>6938.6270000000004</v>
      </c>
      <c r="I92" s="177">
        <f t="shared" si="63"/>
        <v>-3800</v>
      </c>
      <c r="J92" s="49">
        <f t="shared" si="63"/>
        <v>12271.627</v>
      </c>
      <c r="K92" s="16">
        <f t="shared" si="63"/>
        <v>0</v>
      </c>
      <c r="L92" s="50">
        <f t="shared" si="63"/>
        <v>12271.627</v>
      </c>
      <c r="M92" s="52">
        <f t="shared" ref="M92:O92" si="64">SUM(M93:M96)</f>
        <v>11682.94253</v>
      </c>
      <c r="N92" s="53">
        <f t="shared" si="64"/>
        <v>0</v>
      </c>
      <c r="O92" s="54">
        <f t="shared" si="64"/>
        <v>11682.94253</v>
      </c>
      <c r="P92" s="50">
        <f t="shared" ref="P92" si="65">O92/$L92*100</f>
        <v>95.202881655382782</v>
      </c>
      <c r="Q92" s="367">
        <f>SUM(Q93:Q96)</f>
        <v>588.68447000000037</v>
      </c>
      <c r="R92" s="50"/>
      <c r="S92" s="52"/>
      <c r="T92" s="287"/>
    </row>
    <row r="93" spans="1:20" x14ac:dyDescent="0.2">
      <c r="A93" s="446"/>
      <c r="B93" s="452">
        <v>4349</v>
      </c>
      <c r="C93" s="452">
        <v>228</v>
      </c>
      <c r="D93" s="453" t="s">
        <v>219</v>
      </c>
      <c r="E93" s="444">
        <v>370</v>
      </c>
      <c r="F93" s="454"/>
      <c r="G93" s="455">
        <f>E93+F93</f>
        <v>370</v>
      </c>
      <c r="H93" s="345"/>
      <c r="I93" s="448"/>
      <c r="J93" s="444">
        <f>E93+H93</f>
        <v>370</v>
      </c>
      <c r="K93" s="454"/>
      <c r="L93" s="455">
        <f>SUM(J93:K93)</f>
        <v>370</v>
      </c>
      <c r="M93" s="444">
        <v>169.04349999999999</v>
      </c>
      <c r="N93" s="454"/>
      <c r="O93" s="455">
        <f>M93+N93</f>
        <v>169.04349999999999</v>
      </c>
      <c r="P93" s="455">
        <f>O93/$L93*100</f>
        <v>45.687432432432431</v>
      </c>
      <c r="Q93" s="451">
        <f>L93-O93</f>
        <v>200.95650000000001</v>
      </c>
      <c r="R93" s="455"/>
      <c r="S93" s="56" t="s">
        <v>300</v>
      </c>
      <c r="T93" s="51" t="s">
        <v>319</v>
      </c>
    </row>
    <row r="94" spans="1:20" x14ac:dyDescent="0.2">
      <c r="A94" s="446"/>
      <c r="B94" s="452">
        <v>4351</v>
      </c>
      <c r="C94" s="452">
        <v>227</v>
      </c>
      <c r="D94" s="453" t="s">
        <v>40</v>
      </c>
      <c r="E94" s="444">
        <f>385+2925</f>
        <v>3310</v>
      </c>
      <c r="F94" s="454"/>
      <c r="G94" s="455">
        <f>E94+F94</f>
        <v>3310</v>
      </c>
      <c r="H94" s="345">
        <f>53+160+70+55+131.251</f>
        <v>469.25099999999998</v>
      </c>
      <c r="I94" s="448"/>
      <c r="J94" s="444">
        <f>E94+H94</f>
        <v>3779.2510000000002</v>
      </c>
      <c r="K94" s="454"/>
      <c r="L94" s="455">
        <f>SUM(J94:K94)</f>
        <v>3779.2510000000002</v>
      </c>
      <c r="M94" s="444">
        <v>3491.5230299999998</v>
      </c>
      <c r="N94" s="454"/>
      <c r="O94" s="455">
        <f>M94+N94</f>
        <v>3491.5230299999998</v>
      </c>
      <c r="P94" s="455">
        <f>O94/$L94*100</f>
        <v>92.386640368686798</v>
      </c>
      <c r="Q94" s="451">
        <f>L94-O94</f>
        <v>287.72797000000037</v>
      </c>
      <c r="R94" s="455"/>
      <c r="S94" s="299" t="s">
        <v>172</v>
      </c>
      <c r="T94" s="170" t="s">
        <v>81</v>
      </c>
    </row>
    <row r="95" spans="1:20" x14ac:dyDescent="0.2">
      <c r="A95" s="446"/>
      <c r="B95" s="452">
        <v>4355</v>
      </c>
      <c r="C95" s="452">
        <v>307</v>
      </c>
      <c r="D95" s="453" t="s">
        <v>256</v>
      </c>
      <c r="E95" s="444">
        <f>741+712</f>
        <v>1453</v>
      </c>
      <c r="F95" s="454"/>
      <c r="G95" s="455">
        <f>E95+F95</f>
        <v>1453</v>
      </c>
      <c r="H95" s="345">
        <f>3129+2086+979+375.376</f>
        <v>6569.3760000000002</v>
      </c>
      <c r="I95" s="448"/>
      <c r="J95" s="444">
        <f>E95+H95</f>
        <v>8022.3760000000002</v>
      </c>
      <c r="K95" s="454"/>
      <c r="L95" s="455">
        <f>SUM(J95:K95)</f>
        <v>8022.3760000000002</v>
      </c>
      <c r="M95" s="444">
        <v>8022.3760000000002</v>
      </c>
      <c r="N95" s="454"/>
      <c r="O95" s="455">
        <f>M95+N95</f>
        <v>8022.3760000000002</v>
      </c>
      <c r="P95" s="455">
        <f>O95/$L95*100</f>
        <v>100</v>
      </c>
      <c r="Q95" s="451">
        <f>L95-O95</f>
        <v>0</v>
      </c>
      <c r="R95" s="455"/>
      <c r="S95" s="294" t="s">
        <v>211</v>
      </c>
      <c r="T95" s="280" t="s">
        <v>71</v>
      </c>
    </row>
    <row r="96" spans="1:20" ht="12.75" customHeight="1" x14ac:dyDescent="0.2">
      <c r="A96" s="446"/>
      <c r="B96" s="452">
        <v>4359</v>
      </c>
      <c r="C96" s="452">
        <v>226</v>
      </c>
      <c r="D96" s="395" t="s">
        <v>348</v>
      </c>
      <c r="E96" s="444">
        <v>200</v>
      </c>
      <c r="F96" s="454">
        <v>3800</v>
      </c>
      <c r="G96" s="455">
        <f>E96+F96</f>
        <v>4000</v>
      </c>
      <c r="H96" s="345">
        <v>-100</v>
      </c>
      <c r="I96" s="448">
        <v>-3800</v>
      </c>
      <c r="J96" s="444">
        <f>E96+H96</f>
        <v>100</v>
      </c>
      <c r="K96" s="454">
        <f>F96+I96</f>
        <v>0</v>
      </c>
      <c r="L96" s="455">
        <f>SUM(J96:K96)</f>
        <v>100</v>
      </c>
      <c r="M96" s="444"/>
      <c r="N96" s="454"/>
      <c r="O96" s="455">
        <f>M96+N96</f>
        <v>0</v>
      </c>
      <c r="P96" s="455">
        <f>O96/$L96*100</f>
        <v>0</v>
      </c>
      <c r="Q96" s="451">
        <f>L96-O96</f>
        <v>100</v>
      </c>
      <c r="R96" s="373" t="s">
        <v>404</v>
      </c>
      <c r="S96" s="295" t="s">
        <v>329</v>
      </c>
      <c r="T96" s="284" t="s">
        <v>120</v>
      </c>
    </row>
    <row r="97" spans="1:20" x14ac:dyDescent="0.2">
      <c r="A97" s="128">
        <v>53</v>
      </c>
      <c r="B97" s="20">
        <v>5300</v>
      </c>
      <c r="C97" s="20"/>
      <c r="D97" s="393" t="s">
        <v>105</v>
      </c>
      <c r="E97" s="52">
        <f>SUM(E98:E101)</f>
        <v>3235</v>
      </c>
      <c r="F97" s="53">
        <f>SUM(F98:F101)</f>
        <v>6350</v>
      </c>
      <c r="G97" s="54">
        <f>SUM(G98:G101)</f>
        <v>9585</v>
      </c>
      <c r="H97" s="174">
        <f t="shared" ref="H97:L97" si="66">SUM(H98:H101)</f>
        <v>282.16156000000001</v>
      </c>
      <c r="I97" s="172">
        <f t="shared" si="66"/>
        <v>-6000</v>
      </c>
      <c r="J97" s="52">
        <f t="shared" si="66"/>
        <v>3517.16156</v>
      </c>
      <c r="K97" s="53">
        <f t="shared" si="66"/>
        <v>350</v>
      </c>
      <c r="L97" s="54">
        <f t="shared" si="66"/>
        <v>3867.16156</v>
      </c>
      <c r="M97" s="52">
        <f t="shared" ref="M97:O97" si="67">SUM(M98:M101)</f>
        <v>3161.8304199999998</v>
      </c>
      <c r="N97" s="53">
        <f t="shared" si="67"/>
        <v>349.56200000000001</v>
      </c>
      <c r="O97" s="54">
        <f t="shared" si="67"/>
        <v>3511.3924199999997</v>
      </c>
      <c r="P97" s="54">
        <f t="shared" ref="P97" si="68">O97/$L97*100</f>
        <v>90.800251438163343</v>
      </c>
      <c r="Q97" s="367">
        <f>SUM(Q98:Q101)</f>
        <v>355.76914000000016</v>
      </c>
      <c r="R97" s="54"/>
      <c r="S97" s="52"/>
      <c r="T97" s="69"/>
    </row>
    <row r="98" spans="1:20" x14ac:dyDescent="0.2">
      <c r="A98" s="82"/>
      <c r="B98" s="452">
        <v>5272</v>
      </c>
      <c r="C98" s="29">
        <v>320</v>
      </c>
      <c r="D98" s="453" t="s">
        <v>145</v>
      </c>
      <c r="E98" s="444">
        <f>243+138</f>
        <v>381</v>
      </c>
      <c r="F98" s="454"/>
      <c r="G98" s="455">
        <f>E98+F98</f>
        <v>381</v>
      </c>
      <c r="H98" s="449"/>
      <c r="I98" s="177"/>
      <c r="J98" s="444">
        <f>E98+H98</f>
        <v>381</v>
      </c>
      <c r="K98" s="454">
        <f>F98+I98</f>
        <v>0</v>
      </c>
      <c r="L98" s="455">
        <f>SUM(J98:K98)</f>
        <v>381</v>
      </c>
      <c r="M98" s="444">
        <v>281.37153999999998</v>
      </c>
      <c r="N98" s="454"/>
      <c r="O98" s="455">
        <f>M98+N98</f>
        <v>281.37153999999998</v>
      </c>
      <c r="P98" s="455">
        <f>O98/$L98*100</f>
        <v>73.850797900262464</v>
      </c>
      <c r="Q98" s="451">
        <f>L98-O98</f>
        <v>99.628460000000018</v>
      </c>
      <c r="R98" s="455"/>
      <c r="S98" s="321" t="s">
        <v>220</v>
      </c>
      <c r="T98" s="283" t="s">
        <v>212</v>
      </c>
    </row>
    <row r="99" spans="1:20" ht="13.5" customHeight="1" x14ac:dyDescent="0.2">
      <c r="A99" s="446"/>
      <c r="B99" s="452">
        <v>5311</v>
      </c>
      <c r="C99" s="452">
        <v>321</v>
      </c>
      <c r="D99" s="453" t="s">
        <v>82</v>
      </c>
      <c r="E99" s="444">
        <f>375+1896</f>
        <v>2271</v>
      </c>
      <c r="F99" s="454">
        <v>350</v>
      </c>
      <c r="G99" s="455">
        <f>E99+F99</f>
        <v>2621</v>
      </c>
      <c r="H99" s="173">
        <f>37+33</f>
        <v>70</v>
      </c>
      <c r="I99" s="448"/>
      <c r="J99" s="444">
        <f t="shared" ref="J99:K101" si="69">E99+H99</f>
        <v>2341</v>
      </c>
      <c r="K99" s="454">
        <f t="shared" si="69"/>
        <v>350</v>
      </c>
      <c r="L99" s="455">
        <f>SUM(J99:K99)</f>
        <v>2691</v>
      </c>
      <c r="M99" s="444">
        <f>2533.76491-N99</f>
        <v>2184.20291</v>
      </c>
      <c r="N99" s="454">
        <v>349.56200000000001</v>
      </c>
      <c r="O99" s="455">
        <f>M99+N99</f>
        <v>2533.7649099999999</v>
      </c>
      <c r="P99" s="455">
        <f t="shared" ref="P99:P119" si="70">O99/$L99*100</f>
        <v>94.157001486436258</v>
      </c>
      <c r="Q99" s="451">
        <f>L99-O99</f>
        <v>157.23509000000013</v>
      </c>
      <c r="R99" s="455" t="s">
        <v>479</v>
      </c>
      <c r="S99" s="300" t="s">
        <v>165</v>
      </c>
      <c r="T99" s="283" t="s">
        <v>309</v>
      </c>
    </row>
    <row r="100" spans="1:20" ht="13.5" customHeight="1" x14ac:dyDescent="0.2">
      <c r="A100" s="446"/>
      <c r="B100" s="452">
        <v>5512</v>
      </c>
      <c r="C100" s="452">
        <v>224</v>
      </c>
      <c r="D100" s="453" t="s">
        <v>297</v>
      </c>
      <c r="E100" s="444">
        <v>200</v>
      </c>
      <c r="F100" s="454"/>
      <c r="G100" s="455">
        <f>E100+F100</f>
        <v>200</v>
      </c>
      <c r="H100" s="447"/>
      <c r="I100" s="448"/>
      <c r="J100" s="444">
        <f>E100+H100</f>
        <v>200</v>
      </c>
      <c r="K100" s="454"/>
      <c r="L100" s="455">
        <f>SUM(J100:K100)</f>
        <v>200</v>
      </c>
      <c r="M100" s="444">
        <v>96.9255</v>
      </c>
      <c r="N100" s="454"/>
      <c r="O100" s="455">
        <f>M100+N100</f>
        <v>96.9255</v>
      </c>
      <c r="P100" s="455">
        <f t="shared" si="70"/>
        <v>48.46275</v>
      </c>
      <c r="Q100" s="451">
        <f>L100-O100</f>
        <v>103.0745</v>
      </c>
      <c r="R100" s="455"/>
      <c r="S100" s="295" t="s">
        <v>166</v>
      </c>
      <c r="T100" s="282" t="s">
        <v>120</v>
      </c>
    </row>
    <row r="101" spans="1:20" x14ac:dyDescent="0.2">
      <c r="A101" s="446"/>
      <c r="B101" s="452">
        <v>5512</v>
      </c>
      <c r="C101" s="452">
        <v>223</v>
      </c>
      <c r="D101" s="453" t="s">
        <v>202</v>
      </c>
      <c r="E101" s="444">
        <f>333+50</f>
        <v>383</v>
      </c>
      <c r="F101" s="454">
        <v>6000</v>
      </c>
      <c r="G101" s="455">
        <f>E101+F101</f>
        <v>6383</v>
      </c>
      <c r="H101" s="173">
        <f>150+24.5-0.85444+38.516</f>
        <v>212.16155999999998</v>
      </c>
      <c r="I101" s="448">
        <v>-6000</v>
      </c>
      <c r="J101" s="444">
        <f t="shared" si="69"/>
        <v>595.16156000000001</v>
      </c>
      <c r="K101" s="454">
        <f t="shared" si="69"/>
        <v>0</v>
      </c>
      <c r="L101" s="455">
        <f>SUM(J101:K101)</f>
        <v>595.16156000000001</v>
      </c>
      <c r="M101" s="444">
        <v>599.33046999999999</v>
      </c>
      <c r="N101" s="454"/>
      <c r="O101" s="455">
        <f>M101+N101</f>
        <v>599.33046999999999</v>
      </c>
      <c r="P101" s="455">
        <f t="shared" si="70"/>
        <v>100.70046694547948</v>
      </c>
      <c r="Q101" s="451">
        <f>L101-O101</f>
        <v>-4.1689099999999826</v>
      </c>
      <c r="R101" s="455" t="s">
        <v>440</v>
      </c>
      <c r="S101" s="59" t="s">
        <v>168</v>
      </c>
      <c r="T101" s="398" t="s">
        <v>309</v>
      </c>
    </row>
    <row r="102" spans="1:20" x14ac:dyDescent="0.2">
      <c r="A102" s="128">
        <v>61</v>
      </c>
      <c r="B102" s="20">
        <v>6100</v>
      </c>
      <c r="C102" s="20"/>
      <c r="D102" s="393" t="s">
        <v>83</v>
      </c>
      <c r="E102" s="52">
        <f t="shared" ref="E102:L102" si="71">SUM(E103:E110)</f>
        <v>49253</v>
      </c>
      <c r="F102" s="53">
        <f t="shared" si="71"/>
        <v>2771</v>
      </c>
      <c r="G102" s="54">
        <f t="shared" si="71"/>
        <v>52024</v>
      </c>
      <c r="H102" s="171">
        <f t="shared" si="71"/>
        <v>1472.3329999999996</v>
      </c>
      <c r="I102" s="172">
        <f t="shared" si="71"/>
        <v>251</v>
      </c>
      <c r="J102" s="52">
        <f t="shared" si="71"/>
        <v>50725.332999999999</v>
      </c>
      <c r="K102" s="53">
        <f t="shared" si="71"/>
        <v>3022</v>
      </c>
      <c r="L102" s="54">
        <f t="shared" si="71"/>
        <v>53747.332999999999</v>
      </c>
      <c r="M102" s="52">
        <f>SUM(M103:M110)</f>
        <v>48736.978530000008</v>
      </c>
      <c r="N102" s="53">
        <f>SUM(N103:N110)</f>
        <v>2112.5011799999997</v>
      </c>
      <c r="O102" s="54">
        <f>SUM(O103:O110)</f>
        <v>50849.479710000007</v>
      </c>
      <c r="P102" s="54">
        <f t="shared" si="70"/>
        <v>94.608377517076065</v>
      </c>
      <c r="Q102" s="367">
        <f>SUM(Q103:Q110)</f>
        <v>2897.8532899999955</v>
      </c>
      <c r="R102" s="54"/>
      <c r="S102" s="296"/>
      <c r="T102" s="69"/>
    </row>
    <row r="103" spans="1:20" x14ac:dyDescent="0.2">
      <c r="A103" s="446"/>
      <c r="B103" s="452">
        <v>6112</v>
      </c>
      <c r="C103" s="452">
        <v>314</v>
      </c>
      <c r="D103" s="453" t="s">
        <v>84</v>
      </c>
      <c r="E103" s="444">
        <f>60+2128</f>
        <v>2188</v>
      </c>
      <c r="F103" s="454"/>
      <c r="G103" s="455">
        <f t="shared" ref="G103:G110" si="72">E103+F103</f>
        <v>2188</v>
      </c>
      <c r="H103" s="173"/>
      <c r="I103" s="448"/>
      <c r="J103" s="444">
        <f>E103+H103</f>
        <v>2188</v>
      </c>
      <c r="K103" s="454"/>
      <c r="L103" s="455">
        <f>SUM(J103:K103)</f>
        <v>2188</v>
      </c>
      <c r="M103" s="444">
        <v>2029.9355800000001</v>
      </c>
      <c r="N103" s="454"/>
      <c r="O103" s="455">
        <f>M103+N103</f>
        <v>2029.9355800000001</v>
      </c>
      <c r="P103" s="455">
        <f t="shared" si="70"/>
        <v>92.775849177330912</v>
      </c>
      <c r="Q103" s="451">
        <f t="shared" ref="Q103:Q110" si="73">L103-O103</f>
        <v>158.06441999999993</v>
      </c>
      <c r="R103" s="455"/>
      <c r="S103" s="292" t="s">
        <v>309</v>
      </c>
      <c r="T103" s="283" t="s">
        <v>212</v>
      </c>
    </row>
    <row r="104" spans="1:20" x14ac:dyDescent="0.2">
      <c r="A104" s="446"/>
      <c r="B104" s="452">
        <v>6114</v>
      </c>
      <c r="C104" s="452">
        <v>110</v>
      </c>
      <c r="D104" s="453" t="s">
        <v>395</v>
      </c>
      <c r="E104" s="444"/>
      <c r="F104" s="454"/>
      <c r="G104" s="455"/>
      <c r="H104" s="173">
        <v>200</v>
      </c>
      <c r="I104" s="448"/>
      <c r="J104" s="444">
        <f>E104+H104</f>
        <v>200</v>
      </c>
      <c r="K104" s="454"/>
      <c r="L104" s="455">
        <f>SUM(J104:K104)</f>
        <v>200</v>
      </c>
      <c r="M104" s="444">
        <f>196.491+4</f>
        <v>200.49100000000001</v>
      </c>
      <c r="N104" s="454"/>
      <c r="O104" s="455">
        <f>M104+N104</f>
        <v>200.49100000000001</v>
      </c>
      <c r="P104" s="455">
        <f t="shared" si="70"/>
        <v>100.24550000000001</v>
      </c>
      <c r="Q104" s="451">
        <f t="shared" si="73"/>
        <v>-0.49100000000001387</v>
      </c>
      <c r="R104" s="455"/>
      <c r="S104" s="292"/>
      <c r="T104" s="283" t="s">
        <v>413</v>
      </c>
    </row>
    <row r="105" spans="1:20" x14ac:dyDescent="0.2">
      <c r="A105" s="446"/>
      <c r="B105" s="452">
        <v>6118</v>
      </c>
      <c r="C105" s="452">
        <v>110</v>
      </c>
      <c r="D105" s="453" t="s">
        <v>393</v>
      </c>
      <c r="E105" s="444"/>
      <c r="F105" s="454"/>
      <c r="G105" s="455"/>
      <c r="H105" s="173">
        <v>30</v>
      </c>
      <c r="I105" s="448"/>
      <c r="J105" s="444">
        <f>E105+H105</f>
        <v>30</v>
      </c>
      <c r="K105" s="454"/>
      <c r="L105" s="455">
        <f>SUM(J105:K105)</f>
        <v>30</v>
      </c>
      <c r="M105" s="444">
        <v>29.96</v>
      </c>
      <c r="N105" s="454"/>
      <c r="O105" s="455">
        <f t="shared" ref="O105:O106" si="74">M105+N105</f>
        <v>29.96</v>
      </c>
      <c r="P105" s="455">
        <f t="shared" ref="P105:P106" si="75">O105/$L105*100</f>
        <v>99.866666666666674</v>
      </c>
      <c r="Q105" s="451">
        <f t="shared" si="73"/>
        <v>3.9999999999999147E-2</v>
      </c>
      <c r="R105" s="455"/>
      <c r="S105" s="292"/>
      <c r="T105" s="283" t="s">
        <v>413</v>
      </c>
    </row>
    <row r="106" spans="1:20" x14ac:dyDescent="0.2">
      <c r="A106" s="446"/>
      <c r="B106" s="452">
        <v>6173</v>
      </c>
      <c r="C106" s="452">
        <v>314</v>
      </c>
      <c r="D106" s="453" t="s">
        <v>382</v>
      </c>
      <c r="E106" s="444"/>
      <c r="F106" s="454"/>
      <c r="G106" s="455"/>
      <c r="H106" s="173">
        <v>95</v>
      </c>
      <c r="I106" s="448"/>
      <c r="J106" s="444">
        <f>E106+H106</f>
        <v>95</v>
      </c>
      <c r="K106" s="454"/>
      <c r="L106" s="455">
        <f>SUM(J106:K106)</f>
        <v>95</v>
      </c>
      <c r="M106" s="444">
        <v>81.647000000000006</v>
      </c>
      <c r="N106" s="454"/>
      <c r="O106" s="455">
        <f t="shared" si="74"/>
        <v>81.647000000000006</v>
      </c>
      <c r="P106" s="455">
        <f t="shared" si="75"/>
        <v>85.9442105263158</v>
      </c>
      <c r="Q106" s="451">
        <f t="shared" si="73"/>
        <v>13.352999999999994</v>
      </c>
      <c r="R106" s="455"/>
      <c r="S106" s="292"/>
      <c r="T106" s="283" t="s">
        <v>413</v>
      </c>
    </row>
    <row r="107" spans="1:20" x14ac:dyDescent="0.2">
      <c r="A107" s="446"/>
      <c r="B107" s="452">
        <v>6171</v>
      </c>
      <c r="C107" s="452">
        <v>314</v>
      </c>
      <c r="D107" s="453" t="s">
        <v>98</v>
      </c>
      <c r="E107" s="444">
        <v>43737</v>
      </c>
      <c r="F107" s="454">
        <v>2471</v>
      </c>
      <c r="G107" s="455">
        <v>46208</v>
      </c>
      <c r="H107" s="449">
        <f>39.717+848.116+24.45+533+163+40.05+280-161</f>
        <v>1767.3329999999999</v>
      </c>
      <c r="I107" s="450">
        <f>-280+161</f>
        <v>-119</v>
      </c>
      <c r="J107" s="444">
        <f t="shared" ref="J107:K110" si="76">E107+H107</f>
        <v>45504.332999999999</v>
      </c>
      <c r="K107" s="454">
        <f t="shared" si="76"/>
        <v>2352</v>
      </c>
      <c r="L107" s="455">
        <f>SUM(J107:K107)</f>
        <v>47856.332999999999</v>
      </c>
      <c r="M107" s="444">
        <f>45862.83484-N107</f>
        <v>44310.886660000004</v>
      </c>
      <c r="N107" s="454">
        <f>539.962+160.91018+851.076</f>
        <v>1551.9481799999999</v>
      </c>
      <c r="O107" s="455">
        <f t="shared" ref="O107:O109" si="77">M107+N107</f>
        <v>45862.834840000003</v>
      </c>
      <c r="P107" s="455">
        <f t="shared" si="70"/>
        <v>95.834410965002277</v>
      </c>
      <c r="Q107" s="451">
        <f t="shared" si="73"/>
        <v>1993.4981599999956</v>
      </c>
      <c r="R107" s="455"/>
      <c r="S107" s="301" t="s">
        <v>193</v>
      </c>
      <c r="T107" s="69"/>
    </row>
    <row r="108" spans="1:20" x14ac:dyDescent="0.2">
      <c r="A108" s="446"/>
      <c r="B108" s="452">
        <v>6171</v>
      </c>
      <c r="C108" s="452">
        <v>3005</v>
      </c>
      <c r="D108" s="395" t="s">
        <v>354</v>
      </c>
      <c r="E108" s="444">
        <v>1577</v>
      </c>
      <c r="F108" s="454"/>
      <c r="G108" s="455">
        <f t="shared" si="72"/>
        <v>1577</v>
      </c>
      <c r="H108" s="449">
        <v>-595</v>
      </c>
      <c r="I108" s="450"/>
      <c r="J108" s="444">
        <f t="shared" ref="J108:J109" si="78">E108+H108</f>
        <v>982</v>
      </c>
      <c r="K108" s="454"/>
      <c r="L108" s="455">
        <f t="shared" ref="L108:L109" si="79">SUM(J108:K108)</f>
        <v>982</v>
      </c>
      <c r="M108" s="444">
        <v>1138.83662</v>
      </c>
      <c r="N108" s="454"/>
      <c r="O108" s="455">
        <f t="shared" si="77"/>
        <v>1138.83662</v>
      </c>
      <c r="P108" s="455">
        <f t="shared" si="70"/>
        <v>115.97114256619146</v>
      </c>
      <c r="Q108" s="451">
        <f t="shared" si="73"/>
        <v>-156.83662000000004</v>
      </c>
      <c r="R108" s="373" t="s">
        <v>357</v>
      </c>
      <c r="S108" s="56" t="s">
        <v>300</v>
      </c>
      <c r="T108" s="282" t="s">
        <v>120</v>
      </c>
    </row>
    <row r="109" spans="1:20" x14ac:dyDescent="0.2">
      <c r="A109" s="446"/>
      <c r="B109" s="452">
        <v>6171</v>
      </c>
      <c r="C109" s="452">
        <v>6206</v>
      </c>
      <c r="D109" s="395" t="s">
        <v>356</v>
      </c>
      <c r="E109" s="444">
        <v>1396</v>
      </c>
      <c r="F109" s="454"/>
      <c r="G109" s="455">
        <f t="shared" si="72"/>
        <v>1396</v>
      </c>
      <c r="H109" s="449">
        <v>-25</v>
      </c>
      <c r="I109" s="450"/>
      <c r="J109" s="444">
        <f t="shared" si="78"/>
        <v>1371</v>
      </c>
      <c r="K109" s="454"/>
      <c r="L109" s="455">
        <f t="shared" si="79"/>
        <v>1371</v>
      </c>
      <c r="M109" s="444">
        <v>837.80166999999994</v>
      </c>
      <c r="N109" s="454"/>
      <c r="O109" s="455">
        <f t="shared" si="77"/>
        <v>837.80166999999994</v>
      </c>
      <c r="P109" s="455">
        <f t="shared" si="70"/>
        <v>61.108801604668116</v>
      </c>
      <c r="Q109" s="451">
        <f t="shared" si="73"/>
        <v>533.19833000000006</v>
      </c>
      <c r="R109" s="373" t="s">
        <v>357</v>
      </c>
      <c r="S109" s="56" t="s">
        <v>300</v>
      </c>
      <c r="T109" s="51" t="s">
        <v>319</v>
      </c>
    </row>
    <row r="110" spans="1:20" x14ac:dyDescent="0.2">
      <c r="A110" s="446"/>
      <c r="B110" s="452">
        <v>6171</v>
      </c>
      <c r="C110" s="452">
        <v>318</v>
      </c>
      <c r="D110" s="453" t="s">
        <v>252</v>
      </c>
      <c r="E110" s="444">
        <v>355</v>
      </c>
      <c r="F110" s="454">
        <v>300</v>
      </c>
      <c r="G110" s="455">
        <f t="shared" si="72"/>
        <v>655</v>
      </c>
      <c r="H110" s="449"/>
      <c r="I110" s="450">
        <v>370</v>
      </c>
      <c r="J110" s="444">
        <f t="shared" si="76"/>
        <v>355</v>
      </c>
      <c r="K110" s="454">
        <f t="shared" si="76"/>
        <v>670</v>
      </c>
      <c r="L110" s="455">
        <f>SUM(J110:K110)</f>
        <v>1025</v>
      </c>
      <c r="M110" s="444">
        <f>667.973-N110</f>
        <v>107.41999999999996</v>
      </c>
      <c r="N110" s="454">
        <v>560.553</v>
      </c>
      <c r="O110" s="455">
        <f>M110+N110</f>
        <v>667.97299999999996</v>
      </c>
      <c r="P110" s="455">
        <f t="shared" si="70"/>
        <v>65.168097560975596</v>
      </c>
      <c r="Q110" s="451">
        <f t="shared" si="73"/>
        <v>357.02700000000004</v>
      </c>
      <c r="R110" s="455"/>
      <c r="S110" s="293" t="s">
        <v>166</v>
      </c>
      <c r="T110" s="284" t="s">
        <v>69</v>
      </c>
    </row>
    <row r="111" spans="1:20" x14ac:dyDescent="0.2">
      <c r="A111" s="128" t="s">
        <v>85</v>
      </c>
      <c r="B111" s="20">
        <v>6300</v>
      </c>
      <c r="C111" s="20"/>
      <c r="D111" s="393" t="s">
        <v>86</v>
      </c>
      <c r="E111" s="52">
        <f>SUM(E112:E118)</f>
        <v>5279</v>
      </c>
      <c r="F111" s="53">
        <f>SUM(F112:F118)</f>
        <v>3900</v>
      </c>
      <c r="G111" s="54">
        <f>SUM(G112:G118)</f>
        <v>9179</v>
      </c>
      <c r="H111" s="171">
        <f t="shared" ref="H111:L111" si="80">SUM(H112:H118)</f>
        <v>-337.47514999999999</v>
      </c>
      <c r="I111" s="172">
        <f t="shared" si="80"/>
        <v>-1227.864</v>
      </c>
      <c r="J111" s="52">
        <f t="shared" si="80"/>
        <v>4941.5248499999998</v>
      </c>
      <c r="K111" s="53">
        <f t="shared" si="80"/>
        <v>2672.136</v>
      </c>
      <c r="L111" s="54">
        <f t="shared" si="80"/>
        <v>7613.6608500000002</v>
      </c>
      <c r="M111" s="52">
        <f t="shared" ref="M111:O111" si="81">SUM(M112:M118)</f>
        <v>4718.10898</v>
      </c>
      <c r="N111" s="53">
        <f t="shared" si="81"/>
        <v>0</v>
      </c>
      <c r="O111" s="54">
        <f t="shared" si="81"/>
        <v>4718.10898</v>
      </c>
      <c r="P111" s="54">
        <f t="shared" si="70"/>
        <v>61.968993273452675</v>
      </c>
      <c r="Q111" s="367">
        <f>SUM(Q112:Q118)</f>
        <v>2895.5518700000002</v>
      </c>
      <c r="R111" s="54"/>
      <c r="S111" s="296"/>
      <c r="T111" s="69"/>
    </row>
    <row r="112" spans="1:20" x14ac:dyDescent="0.2">
      <c r="A112" s="446"/>
      <c r="B112" s="452">
        <v>6320</v>
      </c>
      <c r="C112" s="452">
        <v>314</v>
      </c>
      <c r="D112" s="453" t="s">
        <v>203</v>
      </c>
      <c r="E112" s="444">
        <v>255</v>
      </c>
      <c r="F112" s="454"/>
      <c r="G112" s="455">
        <f t="shared" ref="G112:G118" si="82">E112+F112</f>
        <v>255</v>
      </c>
      <c r="H112" s="449"/>
      <c r="I112" s="448"/>
      <c r="J112" s="444">
        <f t="shared" ref="J112:J118" si="83">E112+H112</f>
        <v>255</v>
      </c>
      <c r="K112" s="454"/>
      <c r="L112" s="455">
        <f t="shared" ref="L112:L118" si="84">SUM(J112:K112)</f>
        <v>255</v>
      </c>
      <c r="M112" s="444">
        <v>235.274</v>
      </c>
      <c r="N112" s="454"/>
      <c r="O112" s="455">
        <f t="shared" ref="O112:O118" si="85">M112+N112</f>
        <v>235.274</v>
      </c>
      <c r="P112" s="455">
        <f t="shared" si="70"/>
        <v>92.264313725490197</v>
      </c>
      <c r="Q112" s="451">
        <f t="shared" ref="Q112:Q118" si="86">L112-O112</f>
        <v>19.725999999999999</v>
      </c>
      <c r="R112" s="455"/>
      <c r="S112" s="297" t="s">
        <v>167</v>
      </c>
      <c r="T112" s="282" t="s">
        <v>69</v>
      </c>
    </row>
    <row r="113" spans="1:20" x14ac:dyDescent="0.2">
      <c r="A113" s="446"/>
      <c r="B113" s="452">
        <v>6399</v>
      </c>
      <c r="C113" s="452">
        <v>314</v>
      </c>
      <c r="D113" s="453" t="s">
        <v>253</v>
      </c>
      <c r="E113" s="444">
        <f>150-30</f>
        <v>120</v>
      </c>
      <c r="F113" s="454"/>
      <c r="G113" s="455">
        <f t="shared" si="82"/>
        <v>120</v>
      </c>
      <c r="H113" s="449"/>
      <c r="I113" s="448"/>
      <c r="J113" s="444">
        <f t="shared" si="83"/>
        <v>120</v>
      </c>
      <c r="K113" s="454"/>
      <c r="L113" s="455">
        <f t="shared" si="84"/>
        <v>120</v>
      </c>
      <c r="M113" s="444">
        <v>38.646999999999998</v>
      </c>
      <c r="N113" s="454"/>
      <c r="O113" s="455">
        <f t="shared" si="85"/>
        <v>38.646999999999998</v>
      </c>
      <c r="P113" s="455">
        <f t="shared" si="70"/>
        <v>32.205833333333331</v>
      </c>
      <c r="Q113" s="451">
        <f t="shared" si="86"/>
        <v>81.353000000000009</v>
      </c>
      <c r="R113" s="455"/>
      <c r="S113" s="302" t="s">
        <v>71</v>
      </c>
      <c r="T113" s="283" t="s">
        <v>212</v>
      </c>
    </row>
    <row r="114" spans="1:20" x14ac:dyDescent="0.2">
      <c r="A114" s="446"/>
      <c r="B114" s="452">
        <v>6399</v>
      </c>
      <c r="C114" s="452">
        <v>315</v>
      </c>
      <c r="D114" s="453" t="s">
        <v>87</v>
      </c>
      <c r="E114" s="444">
        <v>3100</v>
      </c>
      <c r="F114" s="454"/>
      <c r="G114" s="455">
        <f t="shared" si="82"/>
        <v>3100</v>
      </c>
      <c r="H114" s="449"/>
      <c r="I114" s="448"/>
      <c r="J114" s="444">
        <f t="shared" si="83"/>
        <v>3100</v>
      </c>
      <c r="K114" s="454"/>
      <c r="L114" s="455">
        <f t="shared" si="84"/>
        <v>3100</v>
      </c>
      <c r="M114" s="444">
        <v>3098.14</v>
      </c>
      <c r="N114" s="454"/>
      <c r="O114" s="455">
        <f t="shared" si="85"/>
        <v>3098.14</v>
      </c>
      <c r="P114" s="455">
        <f t="shared" si="70"/>
        <v>99.94</v>
      </c>
      <c r="Q114" s="451">
        <f t="shared" si="86"/>
        <v>1.8600000000001273</v>
      </c>
      <c r="R114" s="455" t="s">
        <v>204</v>
      </c>
      <c r="S114" s="294" t="s">
        <v>211</v>
      </c>
      <c r="T114" s="280" t="s">
        <v>71</v>
      </c>
    </row>
    <row r="115" spans="1:20" x14ac:dyDescent="0.2">
      <c r="A115" s="446"/>
      <c r="B115" s="452">
        <v>6399</v>
      </c>
      <c r="C115" s="452">
        <v>665</v>
      </c>
      <c r="D115" s="453" t="s">
        <v>260</v>
      </c>
      <c r="E115" s="444">
        <v>826</v>
      </c>
      <c r="F115" s="454"/>
      <c r="G115" s="455">
        <f t="shared" si="82"/>
        <v>826</v>
      </c>
      <c r="H115" s="449"/>
      <c r="I115" s="448"/>
      <c r="J115" s="444">
        <f t="shared" si="83"/>
        <v>826</v>
      </c>
      <c r="K115" s="454"/>
      <c r="L115" s="455">
        <f t="shared" si="84"/>
        <v>826</v>
      </c>
      <c r="M115" s="444">
        <v>968.12923999999998</v>
      </c>
      <c r="N115" s="454"/>
      <c r="O115" s="455">
        <f t="shared" si="85"/>
        <v>968.12923999999998</v>
      </c>
      <c r="P115" s="455">
        <f t="shared" si="70"/>
        <v>117.20692978208231</v>
      </c>
      <c r="Q115" s="451">
        <f t="shared" si="86"/>
        <v>-142.12923999999998</v>
      </c>
      <c r="R115" s="455" t="s">
        <v>402</v>
      </c>
      <c r="S115" s="294" t="s">
        <v>211</v>
      </c>
      <c r="T115" s="280" t="s">
        <v>71</v>
      </c>
    </row>
    <row r="116" spans="1:20" x14ac:dyDescent="0.2">
      <c r="A116" s="446"/>
      <c r="B116" s="452">
        <v>6402</v>
      </c>
      <c r="C116" s="452"/>
      <c r="D116" s="453" t="s">
        <v>375</v>
      </c>
      <c r="E116" s="444"/>
      <c r="F116" s="454"/>
      <c r="G116" s="455"/>
      <c r="H116" s="449">
        <v>0.85443999999999998</v>
      </c>
      <c r="I116" s="448"/>
      <c r="J116" s="444">
        <f t="shared" ref="J116" si="87">E116+H116</f>
        <v>0.85443999999999998</v>
      </c>
      <c r="K116" s="454"/>
      <c r="L116" s="455">
        <f t="shared" ref="L116" si="88">SUM(J116:K116)</f>
        <v>0.85443999999999998</v>
      </c>
      <c r="M116" s="444">
        <v>0.85443999999999998</v>
      </c>
      <c r="N116" s="454"/>
      <c r="O116" s="455">
        <f t="shared" si="85"/>
        <v>0.85443999999999998</v>
      </c>
      <c r="P116" s="455">
        <f t="shared" si="70"/>
        <v>100</v>
      </c>
      <c r="Q116" s="451">
        <f t="shared" si="86"/>
        <v>0</v>
      </c>
      <c r="R116" s="455"/>
      <c r="S116" s="294" t="s">
        <v>211</v>
      </c>
      <c r="T116" s="280" t="s">
        <v>71</v>
      </c>
    </row>
    <row r="117" spans="1:20" x14ac:dyDescent="0.2">
      <c r="A117" s="446"/>
      <c r="B117" s="452">
        <v>6409</v>
      </c>
      <c r="C117" s="452">
        <v>100</v>
      </c>
      <c r="D117" s="453" t="s">
        <v>169</v>
      </c>
      <c r="E117" s="444">
        <f>349+30</f>
        <v>379</v>
      </c>
      <c r="F117" s="454"/>
      <c r="G117" s="455">
        <f t="shared" si="82"/>
        <v>379</v>
      </c>
      <c r="H117" s="449"/>
      <c r="I117" s="448"/>
      <c r="J117" s="444">
        <f t="shared" si="83"/>
        <v>379</v>
      </c>
      <c r="K117" s="454"/>
      <c r="L117" s="455">
        <f t="shared" si="84"/>
        <v>379</v>
      </c>
      <c r="M117" s="444">
        <v>377.0643</v>
      </c>
      <c r="N117" s="454"/>
      <c r="O117" s="455">
        <f t="shared" si="85"/>
        <v>377.0643</v>
      </c>
      <c r="P117" s="455">
        <f t="shared" si="70"/>
        <v>99.489261213720312</v>
      </c>
      <c r="Q117" s="451">
        <f t="shared" si="86"/>
        <v>1.9356999999999971</v>
      </c>
      <c r="R117" s="455"/>
      <c r="S117" s="294" t="s">
        <v>211</v>
      </c>
      <c r="T117" s="283" t="s">
        <v>309</v>
      </c>
    </row>
    <row r="118" spans="1:20" x14ac:dyDescent="0.2">
      <c r="A118" s="446"/>
      <c r="B118" s="452">
        <v>6409</v>
      </c>
      <c r="C118" s="452"/>
      <c r="D118" s="396" t="s">
        <v>149</v>
      </c>
      <c r="E118" s="444">
        <v>599</v>
      </c>
      <c r="F118" s="454">
        <v>3900</v>
      </c>
      <c r="G118" s="455">
        <f t="shared" si="82"/>
        <v>4499</v>
      </c>
      <c r="H118" s="449">
        <f>0.67041-30-95-164-50</f>
        <v>-338.32959</v>
      </c>
      <c r="I118" s="450">
        <v>-1227.864</v>
      </c>
      <c r="J118" s="444">
        <f t="shared" si="83"/>
        <v>260.67041</v>
      </c>
      <c r="K118" s="454">
        <f>F118+I118</f>
        <v>2672.136</v>
      </c>
      <c r="L118" s="455">
        <f t="shared" si="84"/>
        <v>2932.8064100000001</v>
      </c>
      <c r="M118" s="444"/>
      <c r="N118" s="454"/>
      <c r="O118" s="455">
        <f t="shared" si="85"/>
        <v>0</v>
      </c>
      <c r="P118" s="455">
        <f t="shared" si="70"/>
        <v>0</v>
      </c>
      <c r="Q118" s="451">
        <f t="shared" si="86"/>
        <v>2932.8064100000001</v>
      </c>
      <c r="R118" s="455"/>
      <c r="S118" s="303" t="s">
        <v>71</v>
      </c>
      <c r="T118" s="280" t="s">
        <v>320</v>
      </c>
    </row>
    <row r="119" spans="1:20" ht="13.5" thickBot="1" x14ac:dyDescent="0.25">
      <c r="A119" s="130"/>
      <c r="B119" s="91"/>
      <c r="C119" s="91"/>
      <c r="D119" s="92" t="s">
        <v>88</v>
      </c>
      <c r="E119" s="164">
        <f t="shared" ref="E119:O119" si="89">SUM(E5+E9+E15+E27+E39+E50+E60+E63+E82+E92+E97+E102+E111)</f>
        <v>125246</v>
      </c>
      <c r="F119" s="340">
        <f t="shared" si="89"/>
        <v>91312</v>
      </c>
      <c r="G119" s="340">
        <f t="shared" si="89"/>
        <v>216558</v>
      </c>
      <c r="H119" s="179">
        <f t="shared" si="89"/>
        <v>10980.567270000001</v>
      </c>
      <c r="I119" s="179">
        <f t="shared" si="89"/>
        <v>17887.482</v>
      </c>
      <c r="J119" s="164">
        <f t="shared" si="89"/>
        <v>136226.56726999997</v>
      </c>
      <c r="K119" s="340">
        <f t="shared" si="89"/>
        <v>109199.482</v>
      </c>
      <c r="L119" s="340">
        <f t="shared" si="89"/>
        <v>245426.04926999996</v>
      </c>
      <c r="M119" s="164">
        <f t="shared" si="89"/>
        <v>124945.80324000002</v>
      </c>
      <c r="N119" s="340">
        <f t="shared" si="89"/>
        <v>73404.285790000009</v>
      </c>
      <c r="O119" s="340">
        <f t="shared" si="89"/>
        <v>198350.08902999997</v>
      </c>
      <c r="P119" s="340">
        <f t="shared" si="70"/>
        <v>80.818678220986058</v>
      </c>
      <c r="Q119" s="368">
        <f>SUM(Q5+Q9+Q15+Q27+Q39+Q50+Q60+Q63+Q82+Q92+Q97+Q102+Q111)</f>
        <v>47075.960239999993</v>
      </c>
      <c r="R119" s="340"/>
      <c r="S119" s="164"/>
      <c r="T119" s="290"/>
    </row>
    <row r="120" spans="1:20" ht="13.5" thickBot="1" x14ac:dyDescent="0.25">
      <c r="A120" s="131"/>
      <c r="B120" s="31"/>
      <c r="C120" s="31"/>
      <c r="D120" s="31"/>
      <c r="E120" s="59" t="s">
        <v>89</v>
      </c>
      <c r="F120" s="31"/>
      <c r="G120" s="57">
        <f>SUM(E119:F119)</f>
        <v>216558</v>
      </c>
      <c r="H120" s="178"/>
      <c r="I120" s="175"/>
      <c r="J120" s="59"/>
      <c r="K120" s="31"/>
      <c r="L120" s="57">
        <f>+G119+H119+I119</f>
        <v>245426.04926999999</v>
      </c>
      <c r="M120" s="59" t="s">
        <v>89</v>
      </c>
      <c r="N120" s="31"/>
      <c r="O120" s="57">
        <f>SUM(M119:N119)</f>
        <v>198350.08903000003</v>
      </c>
      <c r="P120" s="57"/>
      <c r="Q120" s="369"/>
      <c r="R120" s="57"/>
      <c r="S120" s="404"/>
      <c r="T120" s="80"/>
    </row>
    <row r="121" spans="1:20" x14ac:dyDescent="0.2">
      <c r="A121" s="39"/>
      <c r="B121" s="19"/>
      <c r="C121" s="19"/>
      <c r="D121" s="441"/>
      <c r="E121" s="19"/>
      <c r="F121" s="19"/>
      <c r="G121" s="133"/>
      <c r="H121" s="180"/>
      <c r="I121" s="180"/>
      <c r="J121" s="19"/>
      <c r="K121" s="19"/>
      <c r="L121" s="133"/>
      <c r="M121" s="19"/>
      <c r="N121" s="19"/>
      <c r="O121" s="133"/>
      <c r="P121" s="133"/>
      <c r="Q121" s="19"/>
      <c r="R121" s="133"/>
      <c r="S121" s="19"/>
    </row>
    <row r="122" spans="1:20" x14ac:dyDescent="0.2">
      <c r="D122" s="203"/>
      <c r="E122" s="308"/>
      <c r="F122" s="308"/>
      <c r="G122" s="140"/>
      <c r="H122" s="180"/>
      <c r="I122" s="180"/>
      <c r="L122" s="140"/>
      <c r="M122" s="308"/>
      <c r="N122" s="308"/>
      <c r="O122" s="140"/>
      <c r="P122" s="140"/>
      <c r="Q122" s="19"/>
      <c r="R122" s="406"/>
      <c r="S122" s="19"/>
    </row>
    <row r="123" spans="1:20" x14ac:dyDescent="0.2">
      <c r="D123" s="204"/>
      <c r="E123" s="19"/>
      <c r="F123" s="308"/>
      <c r="G123" s="140"/>
      <c r="H123" s="180"/>
      <c r="I123" s="180"/>
      <c r="L123" s="140"/>
      <c r="M123" s="308"/>
      <c r="N123" s="308"/>
      <c r="O123" s="140"/>
      <c r="P123" s="140"/>
      <c r="Q123" s="19"/>
      <c r="R123" s="361"/>
      <c r="S123" s="19"/>
      <c r="T123" s="108"/>
    </row>
    <row r="124" spans="1:20" x14ac:dyDescent="0.2">
      <c r="D124" s="204"/>
      <c r="H124" s="180"/>
      <c r="I124" s="180"/>
      <c r="Q124" s="19"/>
      <c r="R124" s="361"/>
      <c r="S124" s="19"/>
      <c r="T124" s="108"/>
    </row>
    <row r="125" spans="1:20" x14ac:dyDescent="0.2">
      <c r="D125" s="203"/>
      <c r="H125" s="180"/>
      <c r="I125" s="180"/>
      <c r="Q125" s="19"/>
      <c r="R125" s="117"/>
      <c r="S125" s="19"/>
    </row>
    <row r="126" spans="1:20" x14ac:dyDescent="0.2">
      <c r="D126" s="203"/>
      <c r="H126" s="180"/>
      <c r="I126" s="180"/>
      <c r="Q126" s="19"/>
      <c r="R126" s="361"/>
    </row>
    <row r="127" spans="1:20" x14ac:dyDescent="0.2">
      <c r="D127" s="203"/>
      <c r="E127" s="19"/>
      <c r="H127" s="180"/>
      <c r="I127" s="180"/>
      <c r="Q127" s="19"/>
      <c r="S127" s="62"/>
    </row>
    <row r="128" spans="1:20" x14ac:dyDescent="0.2">
      <c r="D128" s="203"/>
      <c r="H128" s="180"/>
      <c r="I128" s="180"/>
      <c r="Q128" s="19"/>
      <c r="R128" s="117"/>
      <c r="S128" s="61"/>
    </row>
    <row r="129" spans="4:19" x14ac:dyDescent="0.2">
      <c r="D129" s="203"/>
      <c r="H129" s="180"/>
      <c r="I129" s="180"/>
      <c r="Q129" s="19"/>
      <c r="R129" s="117"/>
      <c r="S129" s="61"/>
    </row>
    <row r="130" spans="4:19" x14ac:dyDescent="0.2">
      <c r="D130" s="203"/>
      <c r="H130" s="180"/>
      <c r="I130" s="180"/>
      <c r="Q130" s="19"/>
      <c r="R130" s="410"/>
    </row>
    <row r="131" spans="4:19" x14ac:dyDescent="0.2">
      <c r="D131" s="203"/>
      <c r="H131" s="180"/>
      <c r="I131" s="180"/>
      <c r="Q131" s="19"/>
    </row>
    <row r="132" spans="4:19" x14ac:dyDescent="0.2">
      <c r="H132" s="180"/>
      <c r="I132" s="180"/>
      <c r="Q132" s="19"/>
    </row>
    <row r="133" spans="4:19" x14ac:dyDescent="0.2">
      <c r="D133" s="203"/>
      <c r="H133" s="180"/>
      <c r="I133" s="180"/>
      <c r="Q133" s="19"/>
    </row>
    <row r="134" spans="4:19" x14ac:dyDescent="0.2">
      <c r="D134" s="203"/>
      <c r="H134" s="180"/>
      <c r="I134" s="180"/>
      <c r="Q134" s="19"/>
    </row>
    <row r="135" spans="4:19" x14ac:dyDescent="0.2">
      <c r="D135" s="203"/>
      <c r="H135" s="180"/>
      <c r="I135" s="180"/>
      <c r="Q135" s="19"/>
    </row>
    <row r="136" spans="4:19" x14ac:dyDescent="0.2">
      <c r="D136" s="203"/>
      <c r="H136" s="180"/>
      <c r="I136" s="180"/>
      <c r="Q136" s="19"/>
    </row>
    <row r="137" spans="4:19" x14ac:dyDescent="0.2">
      <c r="H137" s="180"/>
      <c r="I137" s="180"/>
      <c r="Q137" s="19"/>
    </row>
    <row r="138" spans="4:19" x14ac:dyDescent="0.2">
      <c r="H138" s="180"/>
      <c r="I138" s="180"/>
      <c r="Q138" s="19"/>
    </row>
    <row r="139" spans="4:19" x14ac:dyDescent="0.2">
      <c r="D139" s="203"/>
      <c r="H139" s="180"/>
      <c r="I139" s="180"/>
      <c r="Q139" s="19"/>
    </row>
    <row r="140" spans="4:19" x14ac:dyDescent="0.2">
      <c r="H140" s="180"/>
      <c r="I140" s="180"/>
      <c r="Q140" s="19"/>
    </row>
    <row r="141" spans="4:19" x14ac:dyDescent="0.2">
      <c r="H141" s="180"/>
      <c r="I141" s="180"/>
      <c r="Q141" s="19"/>
    </row>
    <row r="142" spans="4:19" x14ac:dyDescent="0.2">
      <c r="D142" s="204"/>
      <c r="H142" s="180"/>
      <c r="I142" s="180"/>
      <c r="Q142" s="19"/>
    </row>
    <row r="143" spans="4:19" x14ac:dyDescent="0.2">
      <c r="D143" s="204"/>
    </row>
    <row r="144" spans="4:19" x14ac:dyDescent="0.2">
      <c r="D144" s="204"/>
    </row>
    <row r="145" spans="4:4" x14ac:dyDescent="0.2">
      <c r="D145" s="204"/>
    </row>
  </sheetData>
  <sortState ref="A90:HH93">
    <sortCondition ref="B90:B93"/>
  </sortState>
  <mergeCells count="1">
    <mergeCell ref="H2:I2"/>
  </mergeCells>
  <phoneticPr fontId="6" type="noConversion"/>
  <pageMargins left="0.15748031496062992" right="0.19685039370078741" top="0.23622047244094491" bottom="0.23622047244094491" header="0.24" footer="0.23622047244094491"/>
  <pageSetup paperSize="9" orientation="landscape" verticalDpi="300" r:id="rId1"/>
  <headerFooter alignWithMargins="0">
    <oddHeader xml:space="preserve">&amp;R&amp;P+4. strana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P36"/>
  <sheetViews>
    <sheetView topLeftCell="A5" workbookViewId="0">
      <selection activeCell="A38" sqref="A38"/>
    </sheetView>
  </sheetViews>
  <sheetFormatPr defaultRowHeight="12.75" x14ac:dyDescent="0.2"/>
  <cols>
    <col min="1" max="1" width="25.7109375" style="443" customWidth="1"/>
    <col min="2" max="2" width="11" style="443" customWidth="1"/>
    <col min="3" max="3" width="11.28515625" style="443" customWidth="1"/>
    <col min="4" max="4" width="10.5703125" style="443" customWidth="1"/>
    <col min="5" max="5" width="10.140625" style="443" customWidth="1"/>
    <col min="6" max="6" width="9.42578125" style="443" customWidth="1"/>
    <col min="7" max="7" width="10" style="443" customWidth="1"/>
    <col min="8" max="8" width="10.140625" style="443" customWidth="1"/>
    <col min="9" max="9" width="11" style="443" customWidth="1"/>
    <col min="10" max="10" width="10.140625" style="443" bestFit="1" customWidth="1"/>
    <col min="11" max="11" width="10.5703125" style="443" customWidth="1"/>
    <col min="12" max="12" width="8.85546875" style="443" customWidth="1"/>
    <col min="13" max="13" width="9.7109375" style="443" customWidth="1"/>
    <col min="14" max="14" width="8.5703125" style="443" customWidth="1"/>
    <col min="15" max="15" width="15.42578125" style="210" customWidth="1"/>
    <col min="16" max="256" width="9.140625" style="443"/>
    <col min="257" max="257" width="22.7109375" style="443" customWidth="1"/>
    <col min="258" max="258" width="11.28515625" style="443" customWidth="1"/>
    <col min="259" max="259" width="11.5703125" style="443" customWidth="1"/>
    <col min="260" max="260" width="10.5703125" style="443" customWidth="1"/>
    <col min="261" max="261" width="9.28515625" style="443" customWidth="1"/>
    <col min="262" max="262" width="9.42578125" style="443" customWidth="1"/>
    <col min="263" max="263" width="8.42578125" style="443" customWidth="1"/>
    <col min="264" max="264" width="9.5703125" style="443" customWidth="1"/>
    <col min="265" max="265" width="11" style="443" customWidth="1"/>
    <col min="266" max="266" width="9.140625" style="443"/>
    <col min="267" max="267" width="9.28515625" style="443" customWidth="1"/>
    <col min="268" max="268" width="8.7109375" style="443" customWidth="1"/>
    <col min="269" max="269" width="7.42578125" style="443" customWidth="1"/>
    <col min="270" max="270" width="8.5703125" style="443" customWidth="1"/>
    <col min="271" max="271" width="16.140625" style="443" customWidth="1"/>
    <col min="272" max="512" width="9.140625" style="443"/>
    <col min="513" max="513" width="22.7109375" style="443" customWidth="1"/>
    <col min="514" max="514" width="11.28515625" style="443" customWidth="1"/>
    <col min="515" max="515" width="11.5703125" style="443" customWidth="1"/>
    <col min="516" max="516" width="10.5703125" style="443" customWidth="1"/>
    <col min="517" max="517" width="9.28515625" style="443" customWidth="1"/>
    <col min="518" max="518" width="9.42578125" style="443" customWidth="1"/>
    <col min="519" max="519" width="8.42578125" style="443" customWidth="1"/>
    <col min="520" max="520" width="9.5703125" style="443" customWidth="1"/>
    <col min="521" max="521" width="11" style="443" customWidth="1"/>
    <col min="522" max="522" width="9.140625" style="443"/>
    <col min="523" max="523" width="9.28515625" style="443" customWidth="1"/>
    <col min="524" max="524" width="8.7109375" style="443" customWidth="1"/>
    <col min="525" max="525" width="7.42578125" style="443" customWidth="1"/>
    <col min="526" max="526" width="8.5703125" style="443" customWidth="1"/>
    <col min="527" max="527" width="16.140625" style="443" customWidth="1"/>
    <col min="528" max="768" width="9.140625" style="443"/>
    <col min="769" max="769" width="22.7109375" style="443" customWidth="1"/>
    <col min="770" max="770" width="11.28515625" style="443" customWidth="1"/>
    <col min="771" max="771" width="11.5703125" style="443" customWidth="1"/>
    <col min="772" max="772" width="10.5703125" style="443" customWidth="1"/>
    <col min="773" max="773" width="9.28515625" style="443" customWidth="1"/>
    <col min="774" max="774" width="9.42578125" style="443" customWidth="1"/>
    <col min="775" max="775" width="8.42578125" style="443" customWidth="1"/>
    <col min="776" max="776" width="9.5703125" style="443" customWidth="1"/>
    <col min="777" max="777" width="11" style="443" customWidth="1"/>
    <col min="778" max="778" width="9.140625" style="443"/>
    <col min="779" max="779" width="9.28515625" style="443" customWidth="1"/>
    <col min="780" max="780" width="8.7109375" style="443" customWidth="1"/>
    <col min="781" max="781" width="7.42578125" style="443" customWidth="1"/>
    <col min="782" max="782" width="8.5703125" style="443" customWidth="1"/>
    <col min="783" max="783" width="16.140625" style="443" customWidth="1"/>
    <col min="784" max="1024" width="9.140625" style="443"/>
    <col min="1025" max="1025" width="22.7109375" style="443" customWidth="1"/>
    <col min="1026" max="1026" width="11.28515625" style="443" customWidth="1"/>
    <col min="1027" max="1027" width="11.5703125" style="443" customWidth="1"/>
    <col min="1028" max="1028" width="10.5703125" style="443" customWidth="1"/>
    <col min="1029" max="1029" width="9.28515625" style="443" customWidth="1"/>
    <col min="1030" max="1030" width="9.42578125" style="443" customWidth="1"/>
    <col min="1031" max="1031" width="8.42578125" style="443" customWidth="1"/>
    <col min="1032" max="1032" width="9.5703125" style="443" customWidth="1"/>
    <col min="1033" max="1033" width="11" style="443" customWidth="1"/>
    <col min="1034" max="1034" width="9.140625" style="443"/>
    <col min="1035" max="1035" width="9.28515625" style="443" customWidth="1"/>
    <col min="1036" max="1036" width="8.7109375" style="443" customWidth="1"/>
    <col min="1037" max="1037" width="7.42578125" style="443" customWidth="1"/>
    <col min="1038" max="1038" width="8.5703125" style="443" customWidth="1"/>
    <col min="1039" max="1039" width="16.140625" style="443" customWidth="1"/>
    <col min="1040" max="1280" width="9.140625" style="443"/>
    <col min="1281" max="1281" width="22.7109375" style="443" customWidth="1"/>
    <col min="1282" max="1282" width="11.28515625" style="443" customWidth="1"/>
    <col min="1283" max="1283" width="11.5703125" style="443" customWidth="1"/>
    <col min="1284" max="1284" width="10.5703125" style="443" customWidth="1"/>
    <col min="1285" max="1285" width="9.28515625" style="443" customWidth="1"/>
    <col min="1286" max="1286" width="9.42578125" style="443" customWidth="1"/>
    <col min="1287" max="1287" width="8.42578125" style="443" customWidth="1"/>
    <col min="1288" max="1288" width="9.5703125" style="443" customWidth="1"/>
    <col min="1289" max="1289" width="11" style="443" customWidth="1"/>
    <col min="1290" max="1290" width="9.140625" style="443"/>
    <col min="1291" max="1291" width="9.28515625" style="443" customWidth="1"/>
    <col min="1292" max="1292" width="8.7109375" style="443" customWidth="1"/>
    <col min="1293" max="1293" width="7.42578125" style="443" customWidth="1"/>
    <col min="1294" max="1294" width="8.5703125" style="443" customWidth="1"/>
    <col min="1295" max="1295" width="16.140625" style="443" customWidth="1"/>
    <col min="1296" max="1536" width="9.140625" style="443"/>
    <col min="1537" max="1537" width="22.7109375" style="443" customWidth="1"/>
    <col min="1538" max="1538" width="11.28515625" style="443" customWidth="1"/>
    <col min="1539" max="1539" width="11.5703125" style="443" customWidth="1"/>
    <col min="1540" max="1540" width="10.5703125" style="443" customWidth="1"/>
    <col min="1541" max="1541" width="9.28515625" style="443" customWidth="1"/>
    <col min="1542" max="1542" width="9.42578125" style="443" customWidth="1"/>
    <col min="1543" max="1543" width="8.42578125" style="443" customWidth="1"/>
    <col min="1544" max="1544" width="9.5703125" style="443" customWidth="1"/>
    <col min="1545" max="1545" width="11" style="443" customWidth="1"/>
    <col min="1546" max="1546" width="9.140625" style="443"/>
    <col min="1547" max="1547" width="9.28515625" style="443" customWidth="1"/>
    <col min="1548" max="1548" width="8.7109375" style="443" customWidth="1"/>
    <col min="1549" max="1549" width="7.42578125" style="443" customWidth="1"/>
    <col min="1550" max="1550" width="8.5703125" style="443" customWidth="1"/>
    <col min="1551" max="1551" width="16.140625" style="443" customWidth="1"/>
    <col min="1552" max="1792" width="9.140625" style="443"/>
    <col min="1793" max="1793" width="22.7109375" style="443" customWidth="1"/>
    <col min="1794" max="1794" width="11.28515625" style="443" customWidth="1"/>
    <col min="1795" max="1795" width="11.5703125" style="443" customWidth="1"/>
    <col min="1796" max="1796" width="10.5703125" style="443" customWidth="1"/>
    <col min="1797" max="1797" width="9.28515625" style="443" customWidth="1"/>
    <col min="1798" max="1798" width="9.42578125" style="443" customWidth="1"/>
    <col min="1799" max="1799" width="8.42578125" style="443" customWidth="1"/>
    <col min="1800" max="1800" width="9.5703125" style="443" customWidth="1"/>
    <col min="1801" max="1801" width="11" style="443" customWidth="1"/>
    <col min="1802" max="1802" width="9.140625" style="443"/>
    <col min="1803" max="1803" width="9.28515625" style="443" customWidth="1"/>
    <col min="1804" max="1804" width="8.7109375" style="443" customWidth="1"/>
    <col min="1805" max="1805" width="7.42578125" style="443" customWidth="1"/>
    <col min="1806" max="1806" width="8.5703125" style="443" customWidth="1"/>
    <col min="1807" max="1807" width="16.140625" style="443" customWidth="1"/>
    <col min="1808" max="2048" width="9.140625" style="443"/>
    <col min="2049" max="2049" width="22.7109375" style="443" customWidth="1"/>
    <col min="2050" max="2050" width="11.28515625" style="443" customWidth="1"/>
    <col min="2051" max="2051" width="11.5703125" style="443" customWidth="1"/>
    <col min="2052" max="2052" width="10.5703125" style="443" customWidth="1"/>
    <col min="2053" max="2053" width="9.28515625" style="443" customWidth="1"/>
    <col min="2054" max="2054" width="9.42578125" style="443" customWidth="1"/>
    <col min="2055" max="2055" width="8.42578125" style="443" customWidth="1"/>
    <col min="2056" max="2056" width="9.5703125" style="443" customWidth="1"/>
    <col min="2057" max="2057" width="11" style="443" customWidth="1"/>
    <col min="2058" max="2058" width="9.140625" style="443"/>
    <col min="2059" max="2059" width="9.28515625" style="443" customWidth="1"/>
    <col min="2060" max="2060" width="8.7109375" style="443" customWidth="1"/>
    <col min="2061" max="2061" width="7.42578125" style="443" customWidth="1"/>
    <col min="2062" max="2062" width="8.5703125" style="443" customWidth="1"/>
    <col min="2063" max="2063" width="16.140625" style="443" customWidth="1"/>
    <col min="2064" max="2304" width="9.140625" style="443"/>
    <col min="2305" max="2305" width="22.7109375" style="443" customWidth="1"/>
    <col min="2306" max="2306" width="11.28515625" style="443" customWidth="1"/>
    <col min="2307" max="2307" width="11.5703125" style="443" customWidth="1"/>
    <col min="2308" max="2308" width="10.5703125" style="443" customWidth="1"/>
    <col min="2309" max="2309" width="9.28515625" style="443" customWidth="1"/>
    <col min="2310" max="2310" width="9.42578125" style="443" customWidth="1"/>
    <col min="2311" max="2311" width="8.42578125" style="443" customWidth="1"/>
    <col min="2312" max="2312" width="9.5703125" style="443" customWidth="1"/>
    <col min="2313" max="2313" width="11" style="443" customWidth="1"/>
    <col min="2314" max="2314" width="9.140625" style="443"/>
    <col min="2315" max="2315" width="9.28515625" style="443" customWidth="1"/>
    <col min="2316" max="2316" width="8.7109375" style="443" customWidth="1"/>
    <col min="2317" max="2317" width="7.42578125" style="443" customWidth="1"/>
    <col min="2318" max="2318" width="8.5703125" style="443" customWidth="1"/>
    <col min="2319" max="2319" width="16.140625" style="443" customWidth="1"/>
    <col min="2320" max="2560" width="9.140625" style="443"/>
    <col min="2561" max="2561" width="22.7109375" style="443" customWidth="1"/>
    <col min="2562" max="2562" width="11.28515625" style="443" customWidth="1"/>
    <col min="2563" max="2563" width="11.5703125" style="443" customWidth="1"/>
    <col min="2564" max="2564" width="10.5703125" style="443" customWidth="1"/>
    <col min="2565" max="2565" width="9.28515625" style="443" customWidth="1"/>
    <col min="2566" max="2566" width="9.42578125" style="443" customWidth="1"/>
    <col min="2567" max="2567" width="8.42578125" style="443" customWidth="1"/>
    <col min="2568" max="2568" width="9.5703125" style="443" customWidth="1"/>
    <col min="2569" max="2569" width="11" style="443" customWidth="1"/>
    <col min="2570" max="2570" width="9.140625" style="443"/>
    <col min="2571" max="2571" width="9.28515625" style="443" customWidth="1"/>
    <col min="2572" max="2572" width="8.7109375" style="443" customWidth="1"/>
    <col min="2573" max="2573" width="7.42578125" style="443" customWidth="1"/>
    <col min="2574" max="2574" width="8.5703125" style="443" customWidth="1"/>
    <col min="2575" max="2575" width="16.140625" style="443" customWidth="1"/>
    <col min="2576" max="2816" width="9.140625" style="443"/>
    <col min="2817" max="2817" width="22.7109375" style="443" customWidth="1"/>
    <col min="2818" max="2818" width="11.28515625" style="443" customWidth="1"/>
    <col min="2819" max="2819" width="11.5703125" style="443" customWidth="1"/>
    <col min="2820" max="2820" width="10.5703125" style="443" customWidth="1"/>
    <col min="2821" max="2821" width="9.28515625" style="443" customWidth="1"/>
    <col min="2822" max="2822" width="9.42578125" style="443" customWidth="1"/>
    <col min="2823" max="2823" width="8.42578125" style="443" customWidth="1"/>
    <col min="2824" max="2824" width="9.5703125" style="443" customWidth="1"/>
    <col min="2825" max="2825" width="11" style="443" customWidth="1"/>
    <col min="2826" max="2826" width="9.140625" style="443"/>
    <col min="2827" max="2827" width="9.28515625" style="443" customWidth="1"/>
    <col min="2828" max="2828" width="8.7109375" style="443" customWidth="1"/>
    <col min="2829" max="2829" width="7.42578125" style="443" customWidth="1"/>
    <col min="2830" max="2830" width="8.5703125" style="443" customWidth="1"/>
    <col min="2831" max="2831" width="16.140625" style="443" customWidth="1"/>
    <col min="2832" max="3072" width="9.140625" style="443"/>
    <col min="3073" max="3073" width="22.7109375" style="443" customWidth="1"/>
    <col min="3074" max="3074" width="11.28515625" style="443" customWidth="1"/>
    <col min="3075" max="3075" width="11.5703125" style="443" customWidth="1"/>
    <col min="3076" max="3076" width="10.5703125" style="443" customWidth="1"/>
    <col min="3077" max="3077" width="9.28515625" style="443" customWidth="1"/>
    <col min="3078" max="3078" width="9.42578125" style="443" customWidth="1"/>
    <col min="3079" max="3079" width="8.42578125" style="443" customWidth="1"/>
    <col min="3080" max="3080" width="9.5703125" style="443" customWidth="1"/>
    <col min="3081" max="3081" width="11" style="443" customWidth="1"/>
    <col min="3082" max="3082" width="9.140625" style="443"/>
    <col min="3083" max="3083" width="9.28515625" style="443" customWidth="1"/>
    <col min="3084" max="3084" width="8.7109375" style="443" customWidth="1"/>
    <col min="3085" max="3085" width="7.42578125" style="443" customWidth="1"/>
    <col min="3086" max="3086" width="8.5703125" style="443" customWidth="1"/>
    <col min="3087" max="3087" width="16.140625" style="443" customWidth="1"/>
    <col min="3088" max="3328" width="9.140625" style="443"/>
    <col min="3329" max="3329" width="22.7109375" style="443" customWidth="1"/>
    <col min="3330" max="3330" width="11.28515625" style="443" customWidth="1"/>
    <col min="3331" max="3331" width="11.5703125" style="443" customWidth="1"/>
    <col min="3332" max="3332" width="10.5703125" style="443" customWidth="1"/>
    <col min="3333" max="3333" width="9.28515625" style="443" customWidth="1"/>
    <col min="3334" max="3334" width="9.42578125" style="443" customWidth="1"/>
    <col min="3335" max="3335" width="8.42578125" style="443" customWidth="1"/>
    <col min="3336" max="3336" width="9.5703125" style="443" customWidth="1"/>
    <col min="3337" max="3337" width="11" style="443" customWidth="1"/>
    <col min="3338" max="3338" width="9.140625" style="443"/>
    <col min="3339" max="3339" width="9.28515625" style="443" customWidth="1"/>
    <col min="3340" max="3340" width="8.7109375" style="443" customWidth="1"/>
    <col min="3341" max="3341" width="7.42578125" style="443" customWidth="1"/>
    <col min="3342" max="3342" width="8.5703125" style="443" customWidth="1"/>
    <col min="3343" max="3343" width="16.140625" style="443" customWidth="1"/>
    <col min="3344" max="3584" width="9.140625" style="443"/>
    <col min="3585" max="3585" width="22.7109375" style="443" customWidth="1"/>
    <col min="3586" max="3586" width="11.28515625" style="443" customWidth="1"/>
    <col min="3587" max="3587" width="11.5703125" style="443" customWidth="1"/>
    <col min="3588" max="3588" width="10.5703125" style="443" customWidth="1"/>
    <col min="3589" max="3589" width="9.28515625" style="443" customWidth="1"/>
    <col min="3590" max="3590" width="9.42578125" style="443" customWidth="1"/>
    <col min="3591" max="3591" width="8.42578125" style="443" customWidth="1"/>
    <col min="3592" max="3592" width="9.5703125" style="443" customWidth="1"/>
    <col min="3593" max="3593" width="11" style="443" customWidth="1"/>
    <col min="3594" max="3594" width="9.140625" style="443"/>
    <col min="3595" max="3595" width="9.28515625" style="443" customWidth="1"/>
    <col min="3596" max="3596" width="8.7109375" style="443" customWidth="1"/>
    <col min="3597" max="3597" width="7.42578125" style="443" customWidth="1"/>
    <col min="3598" max="3598" width="8.5703125" style="443" customWidth="1"/>
    <col min="3599" max="3599" width="16.140625" style="443" customWidth="1"/>
    <col min="3600" max="3840" width="9.140625" style="443"/>
    <col min="3841" max="3841" width="22.7109375" style="443" customWidth="1"/>
    <col min="3842" max="3842" width="11.28515625" style="443" customWidth="1"/>
    <col min="3843" max="3843" width="11.5703125" style="443" customWidth="1"/>
    <col min="3844" max="3844" width="10.5703125" style="443" customWidth="1"/>
    <col min="3845" max="3845" width="9.28515625" style="443" customWidth="1"/>
    <col min="3846" max="3846" width="9.42578125" style="443" customWidth="1"/>
    <col min="3847" max="3847" width="8.42578125" style="443" customWidth="1"/>
    <col min="3848" max="3848" width="9.5703125" style="443" customWidth="1"/>
    <col min="3849" max="3849" width="11" style="443" customWidth="1"/>
    <col min="3850" max="3850" width="9.140625" style="443"/>
    <col min="3851" max="3851" width="9.28515625" style="443" customWidth="1"/>
    <col min="3852" max="3852" width="8.7109375" style="443" customWidth="1"/>
    <col min="3853" max="3853" width="7.42578125" style="443" customWidth="1"/>
    <col min="3854" max="3854" width="8.5703125" style="443" customWidth="1"/>
    <col min="3855" max="3855" width="16.140625" style="443" customWidth="1"/>
    <col min="3856" max="4096" width="9.140625" style="443"/>
    <col min="4097" max="4097" width="22.7109375" style="443" customWidth="1"/>
    <col min="4098" max="4098" width="11.28515625" style="443" customWidth="1"/>
    <col min="4099" max="4099" width="11.5703125" style="443" customWidth="1"/>
    <col min="4100" max="4100" width="10.5703125" style="443" customWidth="1"/>
    <col min="4101" max="4101" width="9.28515625" style="443" customWidth="1"/>
    <col min="4102" max="4102" width="9.42578125" style="443" customWidth="1"/>
    <col min="4103" max="4103" width="8.42578125" style="443" customWidth="1"/>
    <col min="4104" max="4104" width="9.5703125" style="443" customWidth="1"/>
    <col min="4105" max="4105" width="11" style="443" customWidth="1"/>
    <col min="4106" max="4106" width="9.140625" style="443"/>
    <col min="4107" max="4107" width="9.28515625" style="443" customWidth="1"/>
    <col min="4108" max="4108" width="8.7109375" style="443" customWidth="1"/>
    <col min="4109" max="4109" width="7.42578125" style="443" customWidth="1"/>
    <col min="4110" max="4110" width="8.5703125" style="443" customWidth="1"/>
    <col min="4111" max="4111" width="16.140625" style="443" customWidth="1"/>
    <col min="4112" max="4352" width="9.140625" style="443"/>
    <col min="4353" max="4353" width="22.7109375" style="443" customWidth="1"/>
    <col min="4354" max="4354" width="11.28515625" style="443" customWidth="1"/>
    <col min="4355" max="4355" width="11.5703125" style="443" customWidth="1"/>
    <col min="4356" max="4356" width="10.5703125" style="443" customWidth="1"/>
    <col min="4357" max="4357" width="9.28515625" style="443" customWidth="1"/>
    <col min="4358" max="4358" width="9.42578125" style="443" customWidth="1"/>
    <col min="4359" max="4359" width="8.42578125" style="443" customWidth="1"/>
    <col min="4360" max="4360" width="9.5703125" style="443" customWidth="1"/>
    <col min="4361" max="4361" width="11" style="443" customWidth="1"/>
    <col min="4362" max="4362" width="9.140625" style="443"/>
    <col min="4363" max="4363" width="9.28515625" style="443" customWidth="1"/>
    <col min="4364" max="4364" width="8.7109375" style="443" customWidth="1"/>
    <col min="4365" max="4365" width="7.42578125" style="443" customWidth="1"/>
    <col min="4366" max="4366" width="8.5703125" style="443" customWidth="1"/>
    <col min="4367" max="4367" width="16.140625" style="443" customWidth="1"/>
    <col min="4368" max="4608" width="9.140625" style="443"/>
    <col min="4609" max="4609" width="22.7109375" style="443" customWidth="1"/>
    <col min="4610" max="4610" width="11.28515625" style="443" customWidth="1"/>
    <col min="4611" max="4611" width="11.5703125" style="443" customWidth="1"/>
    <col min="4612" max="4612" width="10.5703125" style="443" customWidth="1"/>
    <col min="4613" max="4613" width="9.28515625" style="443" customWidth="1"/>
    <col min="4614" max="4614" width="9.42578125" style="443" customWidth="1"/>
    <col min="4615" max="4615" width="8.42578125" style="443" customWidth="1"/>
    <col min="4616" max="4616" width="9.5703125" style="443" customWidth="1"/>
    <col min="4617" max="4617" width="11" style="443" customWidth="1"/>
    <col min="4618" max="4618" width="9.140625" style="443"/>
    <col min="4619" max="4619" width="9.28515625" style="443" customWidth="1"/>
    <col min="4620" max="4620" width="8.7109375" style="443" customWidth="1"/>
    <col min="4621" max="4621" width="7.42578125" style="443" customWidth="1"/>
    <col min="4622" max="4622" width="8.5703125" style="443" customWidth="1"/>
    <col min="4623" max="4623" width="16.140625" style="443" customWidth="1"/>
    <col min="4624" max="4864" width="9.140625" style="443"/>
    <col min="4865" max="4865" width="22.7109375" style="443" customWidth="1"/>
    <col min="4866" max="4866" width="11.28515625" style="443" customWidth="1"/>
    <col min="4867" max="4867" width="11.5703125" style="443" customWidth="1"/>
    <col min="4868" max="4868" width="10.5703125" style="443" customWidth="1"/>
    <col min="4869" max="4869" width="9.28515625" style="443" customWidth="1"/>
    <col min="4870" max="4870" width="9.42578125" style="443" customWidth="1"/>
    <col min="4871" max="4871" width="8.42578125" style="443" customWidth="1"/>
    <col min="4872" max="4872" width="9.5703125" style="443" customWidth="1"/>
    <col min="4873" max="4873" width="11" style="443" customWidth="1"/>
    <col min="4874" max="4874" width="9.140625" style="443"/>
    <col min="4875" max="4875" width="9.28515625" style="443" customWidth="1"/>
    <col min="4876" max="4876" width="8.7109375" style="443" customWidth="1"/>
    <col min="4877" max="4877" width="7.42578125" style="443" customWidth="1"/>
    <col min="4878" max="4878" width="8.5703125" style="443" customWidth="1"/>
    <col min="4879" max="4879" width="16.140625" style="443" customWidth="1"/>
    <col min="4880" max="5120" width="9.140625" style="443"/>
    <col min="5121" max="5121" width="22.7109375" style="443" customWidth="1"/>
    <col min="5122" max="5122" width="11.28515625" style="443" customWidth="1"/>
    <col min="5123" max="5123" width="11.5703125" style="443" customWidth="1"/>
    <col min="5124" max="5124" width="10.5703125" style="443" customWidth="1"/>
    <col min="5125" max="5125" width="9.28515625" style="443" customWidth="1"/>
    <col min="5126" max="5126" width="9.42578125" style="443" customWidth="1"/>
    <col min="5127" max="5127" width="8.42578125" style="443" customWidth="1"/>
    <col min="5128" max="5128" width="9.5703125" style="443" customWidth="1"/>
    <col min="5129" max="5129" width="11" style="443" customWidth="1"/>
    <col min="5130" max="5130" width="9.140625" style="443"/>
    <col min="5131" max="5131" width="9.28515625" style="443" customWidth="1"/>
    <col min="5132" max="5132" width="8.7109375" style="443" customWidth="1"/>
    <col min="5133" max="5133" width="7.42578125" style="443" customWidth="1"/>
    <col min="5134" max="5134" width="8.5703125" style="443" customWidth="1"/>
    <col min="5135" max="5135" width="16.140625" style="443" customWidth="1"/>
    <col min="5136" max="5376" width="9.140625" style="443"/>
    <col min="5377" max="5377" width="22.7109375" style="443" customWidth="1"/>
    <col min="5378" max="5378" width="11.28515625" style="443" customWidth="1"/>
    <col min="5379" max="5379" width="11.5703125" style="443" customWidth="1"/>
    <col min="5380" max="5380" width="10.5703125" style="443" customWidth="1"/>
    <col min="5381" max="5381" width="9.28515625" style="443" customWidth="1"/>
    <col min="5382" max="5382" width="9.42578125" style="443" customWidth="1"/>
    <col min="5383" max="5383" width="8.42578125" style="443" customWidth="1"/>
    <col min="5384" max="5384" width="9.5703125" style="443" customWidth="1"/>
    <col min="5385" max="5385" width="11" style="443" customWidth="1"/>
    <col min="5386" max="5386" width="9.140625" style="443"/>
    <col min="5387" max="5387" width="9.28515625" style="443" customWidth="1"/>
    <col min="5388" max="5388" width="8.7109375" style="443" customWidth="1"/>
    <col min="5389" max="5389" width="7.42578125" style="443" customWidth="1"/>
    <col min="5390" max="5390" width="8.5703125" style="443" customWidth="1"/>
    <col min="5391" max="5391" width="16.140625" style="443" customWidth="1"/>
    <col min="5392" max="5632" width="9.140625" style="443"/>
    <col min="5633" max="5633" width="22.7109375" style="443" customWidth="1"/>
    <col min="5634" max="5634" width="11.28515625" style="443" customWidth="1"/>
    <col min="5635" max="5635" width="11.5703125" style="443" customWidth="1"/>
    <col min="5636" max="5636" width="10.5703125" style="443" customWidth="1"/>
    <col min="5637" max="5637" width="9.28515625" style="443" customWidth="1"/>
    <col min="5638" max="5638" width="9.42578125" style="443" customWidth="1"/>
    <col min="5639" max="5639" width="8.42578125" style="443" customWidth="1"/>
    <col min="5640" max="5640" width="9.5703125" style="443" customWidth="1"/>
    <col min="5641" max="5641" width="11" style="443" customWidth="1"/>
    <col min="5642" max="5642" width="9.140625" style="443"/>
    <col min="5643" max="5643" width="9.28515625" style="443" customWidth="1"/>
    <col min="5644" max="5644" width="8.7109375" style="443" customWidth="1"/>
    <col min="5645" max="5645" width="7.42578125" style="443" customWidth="1"/>
    <col min="5646" max="5646" width="8.5703125" style="443" customWidth="1"/>
    <col min="5647" max="5647" width="16.140625" style="443" customWidth="1"/>
    <col min="5648" max="5888" width="9.140625" style="443"/>
    <col min="5889" max="5889" width="22.7109375" style="443" customWidth="1"/>
    <col min="5890" max="5890" width="11.28515625" style="443" customWidth="1"/>
    <col min="5891" max="5891" width="11.5703125" style="443" customWidth="1"/>
    <col min="5892" max="5892" width="10.5703125" style="443" customWidth="1"/>
    <col min="5893" max="5893" width="9.28515625" style="443" customWidth="1"/>
    <col min="5894" max="5894" width="9.42578125" style="443" customWidth="1"/>
    <col min="5895" max="5895" width="8.42578125" style="443" customWidth="1"/>
    <col min="5896" max="5896" width="9.5703125" style="443" customWidth="1"/>
    <col min="5897" max="5897" width="11" style="443" customWidth="1"/>
    <col min="5898" max="5898" width="9.140625" style="443"/>
    <col min="5899" max="5899" width="9.28515625" style="443" customWidth="1"/>
    <col min="5900" max="5900" width="8.7109375" style="443" customWidth="1"/>
    <col min="5901" max="5901" width="7.42578125" style="443" customWidth="1"/>
    <col min="5902" max="5902" width="8.5703125" style="443" customWidth="1"/>
    <col min="5903" max="5903" width="16.140625" style="443" customWidth="1"/>
    <col min="5904" max="6144" width="9.140625" style="443"/>
    <col min="6145" max="6145" width="22.7109375" style="443" customWidth="1"/>
    <col min="6146" max="6146" width="11.28515625" style="443" customWidth="1"/>
    <col min="6147" max="6147" width="11.5703125" style="443" customWidth="1"/>
    <col min="6148" max="6148" width="10.5703125" style="443" customWidth="1"/>
    <col min="6149" max="6149" width="9.28515625" style="443" customWidth="1"/>
    <col min="6150" max="6150" width="9.42578125" style="443" customWidth="1"/>
    <col min="6151" max="6151" width="8.42578125" style="443" customWidth="1"/>
    <col min="6152" max="6152" width="9.5703125" style="443" customWidth="1"/>
    <col min="6153" max="6153" width="11" style="443" customWidth="1"/>
    <col min="6154" max="6154" width="9.140625" style="443"/>
    <col min="6155" max="6155" width="9.28515625" style="443" customWidth="1"/>
    <col min="6156" max="6156" width="8.7109375" style="443" customWidth="1"/>
    <col min="6157" max="6157" width="7.42578125" style="443" customWidth="1"/>
    <col min="6158" max="6158" width="8.5703125" style="443" customWidth="1"/>
    <col min="6159" max="6159" width="16.140625" style="443" customWidth="1"/>
    <col min="6160" max="6400" width="9.140625" style="443"/>
    <col min="6401" max="6401" width="22.7109375" style="443" customWidth="1"/>
    <col min="6402" max="6402" width="11.28515625" style="443" customWidth="1"/>
    <col min="6403" max="6403" width="11.5703125" style="443" customWidth="1"/>
    <col min="6404" max="6404" width="10.5703125" style="443" customWidth="1"/>
    <col min="6405" max="6405" width="9.28515625" style="443" customWidth="1"/>
    <col min="6406" max="6406" width="9.42578125" style="443" customWidth="1"/>
    <col min="6407" max="6407" width="8.42578125" style="443" customWidth="1"/>
    <col min="6408" max="6408" width="9.5703125" style="443" customWidth="1"/>
    <col min="6409" max="6409" width="11" style="443" customWidth="1"/>
    <col min="6410" max="6410" width="9.140625" style="443"/>
    <col min="6411" max="6411" width="9.28515625" style="443" customWidth="1"/>
    <col min="6412" max="6412" width="8.7109375" style="443" customWidth="1"/>
    <col min="6413" max="6413" width="7.42578125" style="443" customWidth="1"/>
    <col min="6414" max="6414" width="8.5703125" style="443" customWidth="1"/>
    <col min="6415" max="6415" width="16.140625" style="443" customWidth="1"/>
    <col min="6416" max="6656" width="9.140625" style="443"/>
    <col min="6657" max="6657" width="22.7109375" style="443" customWidth="1"/>
    <col min="6658" max="6658" width="11.28515625" style="443" customWidth="1"/>
    <col min="6659" max="6659" width="11.5703125" style="443" customWidth="1"/>
    <col min="6660" max="6660" width="10.5703125" style="443" customWidth="1"/>
    <col min="6661" max="6661" width="9.28515625" style="443" customWidth="1"/>
    <col min="6662" max="6662" width="9.42578125" style="443" customWidth="1"/>
    <col min="6663" max="6663" width="8.42578125" style="443" customWidth="1"/>
    <col min="6664" max="6664" width="9.5703125" style="443" customWidth="1"/>
    <col min="6665" max="6665" width="11" style="443" customWidth="1"/>
    <col min="6666" max="6666" width="9.140625" style="443"/>
    <col min="6667" max="6667" width="9.28515625" style="443" customWidth="1"/>
    <col min="6668" max="6668" width="8.7109375" style="443" customWidth="1"/>
    <col min="6669" max="6669" width="7.42578125" style="443" customWidth="1"/>
    <col min="6670" max="6670" width="8.5703125" style="443" customWidth="1"/>
    <col min="6671" max="6671" width="16.140625" style="443" customWidth="1"/>
    <col min="6672" max="6912" width="9.140625" style="443"/>
    <col min="6913" max="6913" width="22.7109375" style="443" customWidth="1"/>
    <col min="6914" max="6914" width="11.28515625" style="443" customWidth="1"/>
    <col min="6915" max="6915" width="11.5703125" style="443" customWidth="1"/>
    <col min="6916" max="6916" width="10.5703125" style="443" customWidth="1"/>
    <col min="6917" max="6917" width="9.28515625" style="443" customWidth="1"/>
    <col min="6918" max="6918" width="9.42578125" style="443" customWidth="1"/>
    <col min="6919" max="6919" width="8.42578125" style="443" customWidth="1"/>
    <col min="6920" max="6920" width="9.5703125" style="443" customWidth="1"/>
    <col min="6921" max="6921" width="11" style="443" customWidth="1"/>
    <col min="6922" max="6922" width="9.140625" style="443"/>
    <col min="6923" max="6923" width="9.28515625" style="443" customWidth="1"/>
    <col min="6924" max="6924" width="8.7109375" style="443" customWidth="1"/>
    <col min="6925" max="6925" width="7.42578125" style="443" customWidth="1"/>
    <col min="6926" max="6926" width="8.5703125" style="443" customWidth="1"/>
    <col min="6927" max="6927" width="16.140625" style="443" customWidth="1"/>
    <col min="6928" max="7168" width="9.140625" style="443"/>
    <col min="7169" max="7169" width="22.7109375" style="443" customWidth="1"/>
    <col min="7170" max="7170" width="11.28515625" style="443" customWidth="1"/>
    <col min="7171" max="7171" width="11.5703125" style="443" customWidth="1"/>
    <col min="7172" max="7172" width="10.5703125" style="443" customWidth="1"/>
    <col min="7173" max="7173" width="9.28515625" style="443" customWidth="1"/>
    <col min="7174" max="7174" width="9.42578125" style="443" customWidth="1"/>
    <col min="7175" max="7175" width="8.42578125" style="443" customWidth="1"/>
    <col min="7176" max="7176" width="9.5703125" style="443" customWidth="1"/>
    <col min="7177" max="7177" width="11" style="443" customWidth="1"/>
    <col min="7178" max="7178" width="9.140625" style="443"/>
    <col min="7179" max="7179" width="9.28515625" style="443" customWidth="1"/>
    <col min="7180" max="7180" width="8.7109375" style="443" customWidth="1"/>
    <col min="7181" max="7181" width="7.42578125" style="443" customWidth="1"/>
    <col min="7182" max="7182" width="8.5703125" style="443" customWidth="1"/>
    <col min="7183" max="7183" width="16.140625" style="443" customWidth="1"/>
    <col min="7184" max="7424" width="9.140625" style="443"/>
    <col min="7425" max="7425" width="22.7109375" style="443" customWidth="1"/>
    <col min="7426" max="7426" width="11.28515625" style="443" customWidth="1"/>
    <col min="7427" max="7427" width="11.5703125" style="443" customWidth="1"/>
    <col min="7428" max="7428" width="10.5703125" style="443" customWidth="1"/>
    <col min="7429" max="7429" width="9.28515625" style="443" customWidth="1"/>
    <col min="7430" max="7430" width="9.42578125" style="443" customWidth="1"/>
    <col min="7431" max="7431" width="8.42578125" style="443" customWidth="1"/>
    <col min="7432" max="7432" width="9.5703125" style="443" customWidth="1"/>
    <col min="7433" max="7433" width="11" style="443" customWidth="1"/>
    <col min="7434" max="7434" width="9.140625" style="443"/>
    <col min="7435" max="7435" width="9.28515625" style="443" customWidth="1"/>
    <col min="7436" max="7436" width="8.7109375" style="443" customWidth="1"/>
    <col min="7437" max="7437" width="7.42578125" style="443" customWidth="1"/>
    <col min="7438" max="7438" width="8.5703125" style="443" customWidth="1"/>
    <col min="7439" max="7439" width="16.140625" style="443" customWidth="1"/>
    <col min="7440" max="7680" width="9.140625" style="443"/>
    <col min="7681" max="7681" width="22.7109375" style="443" customWidth="1"/>
    <col min="7682" max="7682" width="11.28515625" style="443" customWidth="1"/>
    <col min="7683" max="7683" width="11.5703125" style="443" customWidth="1"/>
    <col min="7684" max="7684" width="10.5703125" style="443" customWidth="1"/>
    <col min="7685" max="7685" width="9.28515625" style="443" customWidth="1"/>
    <col min="7686" max="7686" width="9.42578125" style="443" customWidth="1"/>
    <col min="7687" max="7687" width="8.42578125" style="443" customWidth="1"/>
    <col min="7688" max="7688" width="9.5703125" style="443" customWidth="1"/>
    <col min="7689" max="7689" width="11" style="443" customWidth="1"/>
    <col min="7690" max="7690" width="9.140625" style="443"/>
    <col min="7691" max="7691" width="9.28515625" style="443" customWidth="1"/>
    <col min="7692" max="7692" width="8.7109375" style="443" customWidth="1"/>
    <col min="7693" max="7693" width="7.42578125" style="443" customWidth="1"/>
    <col min="7694" max="7694" width="8.5703125" style="443" customWidth="1"/>
    <col min="7695" max="7695" width="16.140625" style="443" customWidth="1"/>
    <col min="7696" max="7936" width="9.140625" style="443"/>
    <col min="7937" max="7937" width="22.7109375" style="443" customWidth="1"/>
    <col min="7938" max="7938" width="11.28515625" style="443" customWidth="1"/>
    <col min="7939" max="7939" width="11.5703125" style="443" customWidth="1"/>
    <col min="7940" max="7940" width="10.5703125" style="443" customWidth="1"/>
    <col min="7941" max="7941" width="9.28515625" style="443" customWidth="1"/>
    <col min="7942" max="7942" width="9.42578125" style="443" customWidth="1"/>
    <col min="7943" max="7943" width="8.42578125" style="443" customWidth="1"/>
    <col min="7944" max="7944" width="9.5703125" style="443" customWidth="1"/>
    <col min="7945" max="7945" width="11" style="443" customWidth="1"/>
    <col min="7946" max="7946" width="9.140625" style="443"/>
    <col min="7947" max="7947" width="9.28515625" style="443" customWidth="1"/>
    <col min="7948" max="7948" width="8.7109375" style="443" customWidth="1"/>
    <col min="7949" max="7949" width="7.42578125" style="443" customWidth="1"/>
    <col min="7950" max="7950" width="8.5703125" style="443" customWidth="1"/>
    <col min="7951" max="7951" width="16.140625" style="443" customWidth="1"/>
    <col min="7952" max="8192" width="9.140625" style="443"/>
    <col min="8193" max="8193" width="22.7109375" style="443" customWidth="1"/>
    <col min="8194" max="8194" width="11.28515625" style="443" customWidth="1"/>
    <col min="8195" max="8195" width="11.5703125" style="443" customWidth="1"/>
    <col min="8196" max="8196" width="10.5703125" style="443" customWidth="1"/>
    <col min="8197" max="8197" width="9.28515625" style="443" customWidth="1"/>
    <col min="8198" max="8198" width="9.42578125" style="443" customWidth="1"/>
    <col min="8199" max="8199" width="8.42578125" style="443" customWidth="1"/>
    <col min="8200" max="8200" width="9.5703125" style="443" customWidth="1"/>
    <col min="8201" max="8201" width="11" style="443" customWidth="1"/>
    <col min="8202" max="8202" width="9.140625" style="443"/>
    <col min="8203" max="8203" width="9.28515625" style="443" customWidth="1"/>
    <col min="8204" max="8204" width="8.7109375" style="443" customWidth="1"/>
    <col min="8205" max="8205" width="7.42578125" style="443" customWidth="1"/>
    <col min="8206" max="8206" width="8.5703125" style="443" customWidth="1"/>
    <col min="8207" max="8207" width="16.140625" style="443" customWidth="1"/>
    <col min="8208" max="8448" width="9.140625" style="443"/>
    <col min="8449" max="8449" width="22.7109375" style="443" customWidth="1"/>
    <col min="8450" max="8450" width="11.28515625" style="443" customWidth="1"/>
    <col min="8451" max="8451" width="11.5703125" style="443" customWidth="1"/>
    <col min="8452" max="8452" width="10.5703125" style="443" customWidth="1"/>
    <col min="8453" max="8453" width="9.28515625" style="443" customWidth="1"/>
    <col min="8454" max="8454" width="9.42578125" style="443" customWidth="1"/>
    <col min="8455" max="8455" width="8.42578125" style="443" customWidth="1"/>
    <col min="8456" max="8456" width="9.5703125" style="443" customWidth="1"/>
    <col min="8457" max="8457" width="11" style="443" customWidth="1"/>
    <col min="8458" max="8458" width="9.140625" style="443"/>
    <col min="8459" max="8459" width="9.28515625" style="443" customWidth="1"/>
    <col min="8460" max="8460" width="8.7109375" style="443" customWidth="1"/>
    <col min="8461" max="8461" width="7.42578125" style="443" customWidth="1"/>
    <col min="8462" max="8462" width="8.5703125" style="443" customWidth="1"/>
    <col min="8463" max="8463" width="16.140625" style="443" customWidth="1"/>
    <col min="8464" max="8704" width="9.140625" style="443"/>
    <col min="8705" max="8705" width="22.7109375" style="443" customWidth="1"/>
    <col min="8706" max="8706" width="11.28515625" style="443" customWidth="1"/>
    <col min="8707" max="8707" width="11.5703125" style="443" customWidth="1"/>
    <col min="8708" max="8708" width="10.5703125" style="443" customWidth="1"/>
    <col min="8709" max="8709" width="9.28515625" style="443" customWidth="1"/>
    <col min="8710" max="8710" width="9.42578125" style="443" customWidth="1"/>
    <col min="8711" max="8711" width="8.42578125" style="443" customWidth="1"/>
    <col min="8712" max="8712" width="9.5703125" style="443" customWidth="1"/>
    <col min="8713" max="8713" width="11" style="443" customWidth="1"/>
    <col min="8714" max="8714" width="9.140625" style="443"/>
    <col min="8715" max="8715" width="9.28515625" style="443" customWidth="1"/>
    <col min="8716" max="8716" width="8.7109375" style="443" customWidth="1"/>
    <col min="8717" max="8717" width="7.42578125" style="443" customWidth="1"/>
    <col min="8718" max="8718" width="8.5703125" style="443" customWidth="1"/>
    <col min="8719" max="8719" width="16.140625" style="443" customWidth="1"/>
    <col min="8720" max="8960" width="9.140625" style="443"/>
    <col min="8961" max="8961" width="22.7109375" style="443" customWidth="1"/>
    <col min="8962" max="8962" width="11.28515625" style="443" customWidth="1"/>
    <col min="8963" max="8963" width="11.5703125" style="443" customWidth="1"/>
    <col min="8964" max="8964" width="10.5703125" style="443" customWidth="1"/>
    <col min="8965" max="8965" width="9.28515625" style="443" customWidth="1"/>
    <col min="8966" max="8966" width="9.42578125" style="443" customWidth="1"/>
    <col min="8967" max="8967" width="8.42578125" style="443" customWidth="1"/>
    <col min="8968" max="8968" width="9.5703125" style="443" customWidth="1"/>
    <col min="8969" max="8969" width="11" style="443" customWidth="1"/>
    <col min="8970" max="8970" width="9.140625" style="443"/>
    <col min="8971" max="8971" width="9.28515625" style="443" customWidth="1"/>
    <col min="8972" max="8972" width="8.7109375" style="443" customWidth="1"/>
    <col min="8973" max="8973" width="7.42578125" style="443" customWidth="1"/>
    <col min="8974" max="8974" width="8.5703125" style="443" customWidth="1"/>
    <col min="8975" max="8975" width="16.140625" style="443" customWidth="1"/>
    <col min="8976" max="9216" width="9.140625" style="443"/>
    <col min="9217" max="9217" width="22.7109375" style="443" customWidth="1"/>
    <col min="9218" max="9218" width="11.28515625" style="443" customWidth="1"/>
    <col min="9219" max="9219" width="11.5703125" style="443" customWidth="1"/>
    <col min="9220" max="9220" width="10.5703125" style="443" customWidth="1"/>
    <col min="9221" max="9221" width="9.28515625" style="443" customWidth="1"/>
    <col min="9222" max="9222" width="9.42578125" style="443" customWidth="1"/>
    <col min="9223" max="9223" width="8.42578125" style="443" customWidth="1"/>
    <col min="9224" max="9224" width="9.5703125" style="443" customWidth="1"/>
    <col min="9225" max="9225" width="11" style="443" customWidth="1"/>
    <col min="9226" max="9226" width="9.140625" style="443"/>
    <col min="9227" max="9227" width="9.28515625" style="443" customWidth="1"/>
    <col min="9228" max="9228" width="8.7109375" style="443" customWidth="1"/>
    <col min="9229" max="9229" width="7.42578125" style="443" customWidth="1"/>
    <col min="9230" max="9230" width="8.5703125" style="443" customWidth="1"/>
    <col min="9231" max="9231" width="16.140625" style="443" customWidth="1"/>
    <col min="9232" max="9472" width="9.140625" style="443"/>
    <col min="9473" max="9473" width="22.7109375" style="443" customWidth="1"/>
    <col min="9474" max="9474" width="11.28515625" style="443" customWidth="1"/>
    <col min="9475" max="9475" width="11.5703125" style="443" customWidth="1"/>
    <col min="9476" max="9476" width="10.5703125" style="443" customWidth="1"/>
    <col min="9477" max="9477" width="9.28515625" style="443" customWidth="1"/>
    <col min="9478" max="9478" width="9.42578125" style="443" customWidth="1"/>
    <col min="9479" max="9479" width="8.42578125" style="443" customWidth="1"/>
    <col min="9480" max="9480" width="9.5703125" style="443" customWidth="1"/>
    <col min="9481" max="9481" width="11" style="443" customWidth="1"/>
    <col min="9482" max="9482" width="9.140625" style="443"/>
    <col min="9483" max="9483" width="9.28515625" style="443" customWidth="1"/>
    <col min="9484" max="9484" width="8.7109375" style="443" customWidth="1"/>
    <col min="9485" max="9485" width="7.42578125" style="443" customWidth="1"/>
    <col min="9486" max="9486" width="8.5703125" style="443" customWidth="1"/>
    <col min="9487" max="9487" width="16.140625" style="443" customWidth="1"/>
    <col min="9488" max="9728" width="9.140625" style="443"/>
    <col min="9729" max="9729" width="22.7109375" style="443" customWidth="1"/>
    <col min="9730" max="9730" width="11.28515625" style="443" customWidth="1"/>
    <col min="9731" max="9731" width="11.5703125" style="443" customWidth="1"/>
    <col min="9732" max="9732" width="10.5703125" style="443" customWidth="1"/>
    <col min="9733" max="9733" width="9.28515625" style="443" customWidth="1"/>
    <col min="9734" max="9734" width="9.42578125" style="443" customWidth="1"/>
    <col min="9735" max="9735" width="8.42578125" style="443" customWidth="1"/>
    <col min="9736" max="9736" width="9.5703125" style="443" customWidth="1"/>
    <col min="9737" max="9737" width="11" style="443" customWidth="1"/>
    <col min="9738" max="9738" width="9.140625" style="443"/>
    <col min="9739" max="9739" width="9.28515625" style="443" customWidth="1"/>
    <col min="9740" max="9740" width="8.7109375" style="443" customWidth="1"/>
    <col min="9741" max="9741" width="7.42578125" style="443" customWidth="1"/>
    <col min="9742" max="9742" width="8.5703125" style="443" customWidth="1"/>
    <col min="9743" max="9743" width="16.140625" style="443" customWidth="1"/>
    <col min="9744" max="9984" width="9.140625" style="443"/>
    <col min="9985" max="9985" width="22.7109375" style="443" customWidth="1"/>
    <col min="9986" max="9986" width="11.28515625" style="443" customWidth="1"/>
    <col min="9987" max="9987" width="11.5703125" style="443" customWidth="1"/>
    <col min="9988" max="9988" width="10.5703125" style="443" customWidth="1"/>
    <col min="9989" max="9989" width="9.28515625" style="443" customWidth="1"/>
    <col min="9990" max="9990" width="9.42578125" style="443" customWidth="1"/>
    <col min="9991" max="9991" width="8.42578125" style="443" customWidth="1"/>
    <col min="9992" max="9992" width="9.5703125" style="443" customWidth="1"/>
    <col min="9993" max="9993" width="11" style="443" customWidth="1"/>
    <col min="9994" max="9994" width="9.140625" style="443"/>
    <col min="9995" max="9995" width="9.28515625" style="443" customWidth="1"/>
    <col min="9996" max="9996" width="8.7109375" style="443" customWidth="1"/>
    <col min="9997" max="9997" width="7.42578125" style="443" customWidth="1"/>
    <col min="9998" max="9998" width="8.5703125" style="443" customWidth="1"/>
    <col min="9999" max="9999" width="16.140625" style="443" customWidth="1"/>
    <col min="10000" max="10240" width="9.140625" style="443"/>
    <col min="10241" max="10241" width="22.7109375" style="443" customWidth="1"/>
    <col min="10242" max="10242" width="11.28515625" style="443" customWidth="1"/>
    <col min="10243" max="10243" width="11.5703125" style="443" customWidth="1"/>
    <col min="10244" max="10244" width="10.5703125" style="443" customWidth="1"/>
    <col min="10245" max="10245" width="9.28515625" style="443" customWidth="1"/>
    <col min="10246" max="10246" width="9.42578125" style="443" customWidth="1"/>
    <col min="10247" max="10247" width="8.42578125" style="443" customWidth="1"/>
    <col min="10248" max="10248" width="9.5703125" style="443" customWidth="1"/>
    <col min="10249" max="10249" width="11" style="443" customWidth="1"/>
    <col min="10250" max="10250" width="9.140625" style="443"/>
    <col min="10251" max="10251" width="9.28515625" style="443" customWidth="1"/>
    <col min="10252" max="10252" width="8.7109375" style="443" customWidth="1"/>
    <col min="10253" max="10253" width="7.42578125" style="443" customWidth="1"/>
    <col min="10254" max="10254" width="8.5703125" style="443" customWidth="1"/>
    <col min="10255" max="10255" width="16.140625" style="443" customWidth="1"/>
    <col min="10256" max="10496" width="9.140625" style="443"/>
    <col min="10497" max="10497" width="22.7109375" style="443" customWidth="1"/>
    <col min="10498" max="10498" width="11.28515625" style="443" customWidth="1"/>
    <col min="10499" max="10499" width="11.5703125" style="443" customWidth="1"/>
    <col min="10500" max="10500" width="10.5703125" style="443" customWidth="1"/>
    <col min="10501" max="10501" width="9.28515625" style="443" customWidth="1"/>
    <col min="10502" max="10502" width="9.42578125" style="443" customWidth="1"/>
    <col min="10503" max="10503" width="8.42578125" style="443" customWidth="1"/>
    <col min="10504" max="10504" width="9.5703125" style="443" customWidth="1"/>
    <col min="10505" max="10505" width="11" style="443" customWidth="1"/>
    <col min="10506" max="10506" width="9.140625" style="443"/>
    <col min="10507" max="10507" width="9.28515625" style="443" customWidth="1"/>
    <col min="10508" max="10508" width="8.7109375" style="443" customWidth="1"/>
    <col min="10509" max="10509" width="7.42578125" style="443" customWidth="1"/>
    <col min="10510" max="10510" width="8.5703125" style="443" customWidth="1"/>
    <col min="10511" max="10511" width="16.140625" style="443" customWidth="1"/>
    <col min="10512" max="10752" width="9.140625" style="443"/>
    <col min="10753" max="10753" width="22.7109375" style="443" customWidth="1"/>
    <col min="10754" max="10754" width="11.28515625" style="443" customWidth="1"/>
    <col min="10755" max="10755" width="11.5703125" style="443" customWidth="1"/>
    <col min="10756" max="10756" width="10.5703125" style="443" customWidth="1"/>
    <col min="10757" max="10757" width="9.28515625" style="443" customWidth="1"/>
    <col min="10758" max="10758" width="9.42578125" style="443" customWidth="1"/>
    <col min="10759" max="10759" width="8.42578125" style="443" customWidth="1"/>
    <col min="10760" max="10760" width="9.5703125" style="443" customWidth="1"/>
    <col min="10761" max="10761" width="11" style="443" customWidth="1"/>
    <col min="10762" max="10762" width="9.140625" style="443"/>
    <col min="10763" max="10763" width="9.28515625" style="443" customWidth="1"/>
    <col min="10764" max="10764" width="8.7109375" style="443" customWidth="1"/>
    <col min="10765" max="10765" width="7.42578125" style="443" customWidth="1"/>
    <col min="10766" max="10766" width="8.5703125" style="443" customWidth="1"/>
    <col min="10767" max="10767" width="16.140625" style="443" customWidth="1"/>
    <col min="10768" max="11008" width="9.140625" style="443"/>
    <col min="11009" max="11009" width="22.7109375" style="443" customWidth="1"/>
    <col min="11010" max="11010" width="11.28515625" style="443" customWidth="1"/>
    <col min="11011" max="11011" width="11.5703125" style="443" customWidth="1"/>
    <col min="11012" max="11012" width="10.5703125" style="443" customWidth="1"/>
    <col min="11013" max="11013" width="9.28515625" style="443" customWidth="1"/>
    <col min="11014" max="11014" width="9.42578125" style="443" customWidth="1"/>
    <col min="11015" max="11015" width="8.42578125" style="443" customWidth="1"/>
    <col min="11016" max="11016" width="9.5703125" style="443" customWidth="1"/>
    <col min="11017" max="11017" width="11" style="443" customWidth="1"/>
    <col min="11018" max="11018" width="9.140625" style="443"/>
    <col min="11019" max="11019" width="9.28515625" style="443" customWidth="1"/>
    <col min="11020" max="11020" width="8.7109375" style="443" customWidth="1"/>
    <col min="11021" max="11021" width="7.42578125" style="443" customWidth="1"/>
    <col min="11022" max="11022" width="8.5703125" style="443" customWidth="1"/>
    <col min="11023" max="11023" width="16.140625" style="443" customWidth="1"/>
    <col min="11024" max="11264" width="9.140625" style="443"/>
    <col min="11265" max="11265" width="22.7109375" style="443" customWidth="1"/>
    <col min="11266" max="11266" width="11.28515625" style="443" customWidth="1"/>
    <col min="11267" max="11267" width="11.5703125" style="443" customWidth="1"/>
    <col min="11268" max="11268" width="10.5703125" style="443" customWidth="1"/>
    <col min="11269" max="11269" width="9.28515625" style="443" customWidth="1"/>
    <col min="11270" max="11270" width="9.42578125" style="443" customWidth="1"/>
    <col min="11271" max="11271" width="8.42578125" style="443" customWidth="1"/>
    <col min="11272" max="11272" width="9.5703125" style="443" customWidth="1"/>
    <col min="11273" max="11273" width="11" style="443" customWidth="1"/>
    <col min="11274" max="11274" width="9.140625" style="443"/>
    <col min="11275" max="11275" width="9.28515625" style="443" customWidth="1"/>
    <col min="11276" max="11276" width="8.7109375" style="443" customWidth="1"/>
    <col min="11277" max="11277" width="7.42578125" style="443" customWidth="1"/>
    <col min="11278" max="11278" width="8.5703125" style="443" customWidth="1"/>
    <col min="11279" max="11279" width="16.140625" style="443" customWidth="1"/>
    <col min="11280" max="11520" width="9.140625" style="443"/>
    <col min="11521" max="11521" width="22.7109375" style="443" customWidth="1"/>
    <col min="11522" max="11522" width="11.28515625" style="443" customWidth="1"/>
    <col min="11523" max="11523" width="11.5703125" style="443" customWidth="1"/>
    <col min="11524" max="11524" width="10.5703125" style="443" customWidth="1"/>
    <col min="11525" max="11525" width="9.28515625" style="443" customWidth="1"/>
    <col min="11526" max="11526" width="9.42578125" style="443" customWidth="1"/>
    <col min="11527" max="11527" width="8.42578125" style="443" customWidth="1"/>
    <col min="11528" max="11528" width="9.5703125" style="443" customWidth="1"/>
    <col min="11529" max="11529" width="11" style="443" customWidth="1"/>
    <col min="11530" max="11530" width="9.140625" style="443"/>
    <col min="11531" max="11531" width="9.28515625" style="443" customWidth="1"/>
    <col min="11532" max="11532" width="8.7109375" style="443" customWidth="1"/>
    <col min="11533" max="11533" width="7.42578125" style="443" customWidth="1"/>
    <col min="11534" max="11534" width="8.5703125" style="443" customWidth="1"/>
    <col min="11535" max="11535" width="16.140625" style="443" customWidth="1"/>
    <col min="11536" max="11776" width="9.140625" style="443"/>
    <col min="11777" max="11777" width="22.7109375" style="443" customWidth="1"/>
    <col min="11778" max="11778" width="11.28515625" style="443" customWidth="1"/>
    <col min="11779" max="11779" width="11.5703125" style="443" customWidth="1"/>
    <col min="11780" max="11780" width="10.5703125" style="443" customWidth="1"/>
    <col min="11781" max="11781" width="9.28515625" style="443" customWidth="1"/>
    <col min="11782" max="11782" width="9.42578125" style="443" customWidth="1"/>
    <col min="11783" max="11783" width="8.42578125" style="443" customWidth="1"/>
    <col min="11784" max="11784" width="9.5703125" style="443" customWidth="1"/>
    <col min="11785" max="11785" width="11" style="443" customWidth="1"/>
    <col min="11786" max="11786" width="9.140625" style="443"/>
    <col min="11787" max="11787" width="9.28515625" style="443" customWidth="1"/>
    <col min="11788" max="11788" width="8.7109375" style="443" customWidth="1"/>
    <col min="11789" max="11789" width="7.42578125" style="443" customWidth="1"/>
    <col min="11790" max="11790" width="8.5703125" style="443" customWidth="1"/>
    <col min="11791" max="11791" width="16.140625" style="443" customWidth="1"/>
    <col min="11792" max="12032" width="9.140625" style="443"/>
    <col min="12033" max="12033" width="22.7109375" style="443" customWidth="1"/>
    <col min="12034" max="12034" width="11.28515625" style="443" customWidth="1"/>
    <col min="12035" max="12035" width="11.5703125" style="443" customWidth="1"/>
    <col min="12036" max="12036" width="10.5703125" style="443" customWidth="1"/>
    <col min="12037" max="12037" width="9.28515625" style="443" customWidth="1"/>
    <col min="12038" max="12038" width="9.42578125" style="443" customWidth="1"/>
    <col min="12039" max="12039" width="8.42578125" style="443" customWidth="1"/>
    <col min="12040" max="12040" width="9.5703125" style="443" customWidth="1"/>
    <col min="12041" max="12041" width="11" style="443" customWidth="1"/>
    <col min="12042" max="12042" width="9.140625" style="443"/>
    <col min="12043" max="12043" width="9.28515625" style="443" customWidth="1"/>
    <col min="12044" max="12044" width="8.7109375" style="443" customWidth="1"/>
    <col min="12045" max="12045" width="7.42578125" style="443" customWidth="1"/>
    <col min="12046" max="12046" width="8.5703125" style="443" customWidth="1"/>
    <col min="12047" max="12047" width="16.140625" style="443" customWidth="1"/>
    <col min="12048" max="12288" width="9.140625" style="443"/>
    <col min="12289" max="12289" width="22.7109375" style="443" customWidth="1"/>
    <col min="12290" max="12290" width="11.28515625" style="443" customWidth="1"/>
    <col min="12291" max="12291" width="11.5703125" style="443" customWidth="1"/>
    <col min="12292" max="12292" width="10.5703125" style="443" customWidth="1"/>
    <col min="12293" max="12293" width="9.28515625" style="443" customWidth="1"/>
    <col min="12294" max="12294" width="9.42578125" style="443" customWidth="1"/>
    <col min="12295" max="12295" width="8.42578125" style="443" customWidth="1"/>
    <col min="12296" max="12296" width="9.5703125" style="443" customWidth="1"/>
    <col min="12297" max="12297" width="11" style="443" customWidth="1"/>
    <col min="12298" max="12298" width="9.140625" style="443"/>
    <col min="12299" max="12299" width="9.28515625" style="443" customWidth="1"/>
    <col min="12300" max="12300" width="8.7109375" style="443" customWidth="1"/>
    <col min="12301" max="12301" width="7.42578125" style="443" customWidth="1"/>
    <col min="12302" max="12302" width="8.5703125" style="443" customWidth="1"/>
    <col min="12303" max="12303" width="16.140625" style="443" customWidth="1"/>
    <col min="12304" max="12544" width="9.140625" style="443"/>
    <col min="12545" max="12545" width="22.7109375" style="443" customWidth="1"/>
    <col min="12546" max="12546" width="11.28515625" style="443" customWidth="1"/>
    <col min="12547" max="12547" width="11.5703125" style="443" customWidth="1"/>
    <col min="12548" max="12548" width="10.5703125" style="443" customWidth="1"/>
    <col min="12549" max="12549" width="9.28515625" style="443" customWidth="1"/>
    <col min="12550" max="12550" width="9.42578125" style="443" customWidth="1"/>
    <col min="12551" max="12551" width="8.42578125" style="443" customWidth="1"/>
    <col min="12552" max="12552" width="9.5703125" style="443" customWidth="1"/>
    <col min="12553" max="12553" width="11" style="443" customWidth="1"/>
    <col min="12554" max="12554" width="9.140625" style="443"/>
    <col min="12555" max="12555" width="9.28515625" style="443" customWidth="1"/>
    <col min="12556" max="12556" width="8.7109375" style="443" customWidth="1"/>
    <col min="12557" max="12557" width="7.42578125" style="443" customWidth="1"/>
    <col min="12558" max="12558" width="8.5703125" style="443" customWidth="1"/>
    <col min="12559" max="12559" width="16.140625" style="443" customWidth="1"/>
    <col min="12560" max="12800" width="9.140625" style="443"/>
    <col min="12801" max="12801" width="22.7109375" style="443" customWidth="1"/>
    <col min="12802" max="12802" width="11.28515625" style="443" customWidth="1"/>
    <col min="12803" max="12803" width="11.5703125" style="443" customWidth="1"/>
    <col min="12804" max="12804" width="10.5703125" style="443" customWidth="1"/>
    <col min="12805" max="12805" width="9.28515625" style="443" customWidth="1"/>
    <col min="12806" max="12806" width="9.42578125" style="443" customWidth="1"/>
    <col min="12807" max="12807" width="8.42578125" style="443" customWidth="1"/>
    <col min="12808" max="12808" width="9.5703125" style="443" customWidth="1"/>
    <col min="12809" max="12809" width="11" style="443" customWidth="1"/>
    <col min="12810" max="12810" width="9.140625" style="443"/>
    <col min="12811" max="12811" width="9.28515625" style="443" customWidth="1"/>
    <col min="12812" max="12812" width="8.7109375" style="443" customWidth="1"/>
    <col min="12813" max="12813" width="7.42578125" style="443" customWidth="1"/>
    <col min="12814" max="12814" width="8.5703125" style="443" customWidth="1"/>
    <col min="12815" max="12815" width="16.140625" style="443" customWidth="1"/>
    <col min="12816" max="13056" width="9.140625" style="443"/>
    <col min="13057" max="13057" width="22.7109375" style="443" customWidth="1"/>
    <col min="13058" max="13058" width="11.28515625" style="443" customWidth="1"/>
    <col min="13059" max="13059" width="11.5703125" style="443" customWidth="1"/>
    <col min="13060" max="13060" width="10.5703125" style="443" customWidth="1"/>
    <col min="13061" max="13061" width="9.28515625" style="443" customWidth="1"/>
    <col min="13062" max="13062" width="9.42578125" style="443" customWidth="1"/>
    <col min="13063" max="13063" width="8.42578125" style="443" customWidth="1"/>
    <col min="13064" max="13064" width="9.5703125" style="443" customWidth="1"/>
    <col min="13065" max="13065" width="11" style="443" customWidth="1"/>
    <col min="13066" max="13066" width="9.140625" style="443"/>
    <col min="13067" max="13067" width="9.28515625" style="443" customWidth="1"/>
    <col min="13068" max="13068" width="8.7109375" style="443" customWidth="1"/>
    <col min="13069" max="13069" width="7.42578125" style="443" customWidth="1"/>
    <col min="13070" max="13070" width="8.5703125" style="443" customWidth="1"/>
    <col min="13071" max="13071" width="16.140625" style="443" customWidth="1"/>
    <col min="13072" max="13312" width="9.140625" style="443"/>
    <col min="13313" max="13313" width="22.7109375" style="443" customWidth="1"/>
    <col min="13314" max="13314" width="11.28515625" style="443" customWidth="1"/>
    <col min="13315" max="13315" width="11.5703125" style="443" customWidth="1"/>
    <col min="13316" max="13316" width="10.5703125" style="443" customWidth="1"/>
    <col min="13317" max="13317" width="9.28515625" style="443" customWidth="1"/>
    <col min="13318" max="13318" width="9.42578125" style="443" customWidth="1"/>
    <col min="13319" max="13319" width="8.42578125" style="443" customWidth="1"/>
    <col min="13320" max="13320" width="9.5703125" style="443" customWidth="1"/>
    <col min="13321" max="13321" width="11" style="443" customWidth="1"/>
    <col min="13322" max="13322" width="9.140625" style="443"/>
    <col min="13323" max="13323" width="9.28515625" style="443" customWidth="1"/>
    <col min="13324" max="13324" width="8.7109375" style="443" customWidth="1"/>
    <col min="13325" max="13325" width="7.42578125" style="443" customWidth="1"/>
    <col min="13326" max="13326" width="8.5703125" style="443" customWidth="1"/>
    <col min="13327" max="13327" width="16.140625" style="443" customWidth="1"/>
    <col min="13328" max="13568" width="9.140625" style="443"/>
    <col min="13569" max="13569" width="22.7109375" style="443" customWidth="1"/>
    <col min="13570" max="13570" width="11.28515625" style="443" customWidth="1"/>
    <col min="13571" max="13571" width="11.5703125" style="443" customWidth="1"/>
    <col min="13572" max="13572" width="10.5703125" style="443" customWidth="1"/>
    <col min="13573" max="13573" width="9.28515625" style="443" customWidth="1"/>
    <col min="13574" max="13574" width="9.42578125" style="443" customWidth="1"/>
    <col min="13575" max="13575" width="8.42578125" style="443" customWidth="1"/>
    <col min="13576" max="13576" width="9.5703125" style="443" customWidth="1"/>
    <col min="13577" max="13577" width="11" style="443" customWidth="1"/>
    <col min="13578" max="13578" width="9.140625" style="443"/>
    <col min="13579" max="13579" width="9.28515625" style="443" customWidth="1"/>
    <col min="13580" max="13580" width="8.7109375" style="443" customWidth="1"/>
    <col min="13581" max="13581" width="7.42578125" style="443" customWidth="1"/>
    <col min="13582" max="13582" width="8.5703125" style="443" customWidth="1"/>
    <col min="13583" max="13583" width="16.140625" style="443" customWidth="1"/>
    <col min="13584" max="13824" width="9.140625" style="443"/>
    <col min="13825" max="13825" width="22.7109375" style="443" customWidth="1"/>
    <col min="13826" max="13826" width="11.28515625" style="443" customWidth="1"/>
    <col min="13827" max="13827" width="11.5703125" style="443" customWidth="1"/>
    <col min="13828" max="13828" width="10.5703125" style="443" customWidth="1"/>
    <col min="13829" max="13829" width="9.28515625" style="443" customWidth="1"/>
    <col min="13830" max="13830" width="9.42578125" style="443" customWidth="1"/>
    <col min="13831" max="13831" width="8.42578125" style="443" customWidth="1"/>
    <col min="13832" max="13832" width="9.5703125" style="443" customWidth="1"/>
    <col min="13833" max="13833" width="11" style="443" customWidth="1"/>
    <col min="13834" max="13834" width="9.140625" style="443"/>
    <col min="13835" max="13835" width="9.28515625" style="443" customWidth="1"/>
    <col min="13836" max="13836" width="8.7109375" style="443" customWidth="1"/>
    <col min="13837" max="13837" width="7.42578125" style="443" customWidth="1"/>
    <col min="13838" max="13838" width="8.5703125" style="443" customWidth="1"/>
    <col min="13839" max="13839" width="16.140625" style="443" customWidth="1"/>
    <col min="13840" max="14080" width="9.140625" style="443"/>
    <col min="14081" max="14081" width="22.7109375" style="443" customWidth="1"/>
    <col min="14082" max="14082" width="11.28515625" style="443" customWidth="1"/>
    <col min="14083" max="14083" width="11.5703125" style="443" customWidth="1"/>
    <col min="14084" max="14084" width="10.5703125" style="443" customWidth="1"/>
    <col min="14085" max="14085" width="9.28515625" style="443" customWidth="1"/>
    <col min="14086" max="14086" width="9.42578125" style="443" customWidth="1"/>
    <col min="14087" max="14087" width="8.42578125" style="443" customWidth="1"/>
    <col min="14088" max="14088" width="9.5703125" style="443" customWidth="1"/>
    <col min="14089" max="14089" width="11" style="443" customWidth="1"/>
    <col min="14090" max="14090" width="9.140625" style="443"/>
    <col min="14091" max="14091" width="9.28515625" style="443" customWidth="1"/>
    <col min="14092" max="14092" width="8.7109375" style="443" customWidth="1"/>
    <col min="14093" max="14093" width="7.42578125" style="443" customWidth="1"/>
    <col min="14094" max="14094" width="8.5703125" style="443" customWidth="1"/>
    <col min="14095" max="14095" width="16.140625" style="443" customWidth="1"/>
    <col min="14096" max="14336" width="9.140625" style="443"/>
    <col min="14337" max="14337" width="22.7109375" style="443" customWidth="1"/>
    <col min="14338" max="14338" width="11.28515625" style="443" customWidth="1"/>
    <col min="14339" max="14339" width="11.5703125" style="443" customWidth="1"/>
    <col min="14340" max="14340" width="10.5703125" style="443" customWidth="1"/>
    <col min="14341" max="14341" width="9.28515625" style="443" customWidth="1"/>
    <col min="14342" max="14342" width="9.42578125" style="443" customWidth="1"/>
    <col min="14343" max="14343" width="8.42578125" style="443" customWidth="1"/>
    <col min="14344" max="14344" width="9.5703125" style="443" customWidth="1"/>
    <col min="14345" max="14345" width="11" style="443" customWidth="1"/>
    <col min="14346" max="14346" width="9.140625" style="443"/>
    <col min="14347" max="14347" width="9.28515625" style="443" customWidth="1"/>
    <col min="14348" max="14348" width="8.7109375" style="443" customWidth="1"/>
    <col min="14349" max="14349" width="7.42578125" style="443" customWidth="1"/>
    <col min="14350" max="14350" width="8.5703125" style="443" customWidth="1"/>
    <col min="14351" max="14351" width="16.140625" style="443" customWidth="1"/>
    <col min="14352" max="14592" width="9.140625" style="443"/>
    <col min="14593" max="14593" width="22.7109375" style="443" customWidth="1"/>
    <col min="14594" max="14594" width="11.28515625" style="443" customWidth="1"/>
    <col min="14595" max="14595" width="11.5703125" style="443" customWidth="1"/>
    <col min="14596" max="14596" width="10.5703125" style="443" customWidth="1"/>
    <col min="14597" max="14597" width="9.28515625" style="443" customWidth="1"/>
    <col min="14598" max="14598" width="9.42578125" style="443" customWidth="1"/>
    <col min="14599" max="14599" width="8.42578125" style="443" customWidth="1"/>
    <col min="14600" max="14600" width="9.5703125" style="443" customWidth="1"/>
    <col min="14601" max="14601" width="11" style="443" customWidth="1"/>
    <col min="14602" max="14602" width="9.140625" style="443"/>
    <col min="14603" max="14603" width="9.28515625" style="443" customWidth="1"/>
    <col min="14604" max="14604" width="8.7109375" style="443" customWidth="1"/>
    <col min="14605" max="14605" width="7.42578125" style="443" customWidth="1"/>
    <col min="14606" max="14606" width="8.5703125" style="443" customWidth="1"/>
    <col min="14607" max="14607" width="16.140625" style="443" customWidth="1"/>
    <col min="14608" max="14848" width="9.140625" style="443"/>
    <col min="14849" max="14849" width="22.7109375" style="443" customWidth="1"/>
    <col min="14850" max="14850" width="11.28515625" style="443" customWidth="1"/>
    <col min="14851" max="14851" width="11.5703125" style="443" customWidth="1"/>
    <col min="14852" max="14852" width="10.5703125" style="443" customWidth="1"/>
    <col min="14853" max="14853" width="9.28515625" style="443" customWidth="1"/>
    <col min="14854" max="14854" width="9.42578125" style="443" customWidth="1"/>
    <col min="14855" max="14855" width="8.42578125" style="443" customWidth="1"/>
    <col min="14856" max="14856" width="9.5703125" style="443" customWidth="1"/>
    <col min="14857" max="14857" width="11" style="443" customWidth="1"/>
    <col min="14858" max="14858" width="9.140625" style="443"/>
    <col min="14859" max="14859" width="9.28515625" style="443" customWidth="1"/>
    <col min="14860" max="14860" width="8.7109375" style="443" customWidth="1"/>
    <col min="14861" max="14861" width="7.42578125" style="443" customWidth="1"/>
    <col min="14862" max="14862" width="8.5703125" style="443" customWidth="1"/>
    <col min="14863" max="14863" width="16.140625" style="443" customWidth="1"/>
    <col min="14864" max="15104" width="9.140625" style="443"/>
    <col min="15105" max="15105" width="22.7109375" style="443" customWidth="1"/>
    <col min="15106" max="15106" width="11.28515625" style="443" customWidth="1"/>
    <col min="15107" max="15107" width="11.5703125" style="443" customWidth="1"/>
    <col min="15108" max="15108" width="10.5703125" style="443" customWidth="1"/>
    <col min="15109" max="15109" width="9.28515625" style="443" customWidth="1"/>
    <col min="15110" max="15110" width="9.42578125" style="443" customWidth="1"/>
    <col min="15111" max="15111" width="8.42578125" style="443" customWidth="1"/>
    <col min="15112" max="15112" width="9.5703125" style="443" customWidth="1"/>
    <col min="15113" max="15113" width="11" style="443" customWidth="1"/>
    <col min="15114" max="15114" width="9.140625" style="443"/>
    <col min="15115" max="15115" width="9.28515625" style="443" customWidth="1"/>
    <col min="15116" max="15116" width="8.7109375" style="443" customWidth="1"/>
    <col min="15117" max="15117" width="7.42578125" style="443" customWidth="1"/>
    <col min="15118" max="15118" width="8.5703125" style="443" customWidth="1"/>
    <col min="15119" max="15119" width="16.140625" style="443" customWidth="1"/>
    <col min="15120" max="15360" width="9.140625" style="443"/>
    <col min="15361" max="15361" width="22.7109375" style="443" customWidth="1"/>
    <col min="15362" max="15362" width="11.28515625" style="443" customWidth="1"/>
    <col min="15363" max="15363" width="11.5703125" style="443" customWidth="1"/>
    <col min="15364" max="15364" width="10.5703125" style="443" customWidth="1"/>
    <col min="15365" max="15365" width="9.28515625" style="443" customWidth="1"/>
    <col min="15366" max="15366" width="9.42578125" style="443" customWidth="1"/>
    <col min="15367" max="15367" width="8.42578125" style="443" customWidth="1"/>
    <col min="15368" max="15368" width="9.5703125" style="443" customWidth="1"/>
    <col min="15369" max="15369" width="11" style="443" customWidth="1"/>
    <col min="15370" max="15370" width="9.140625" style="443"/>
    <col min="15371" max="15371" width="9.28515625" style="443" customWidth="1"/>
    <col min="15372" max="15372" width="8.7109375" style="443" customWidth="1"/>
    <col min="15373" max="15373" width="7.42578125" style="443" customWidth="1"/>
    <col min="15374" max="15374" width="8.5703125" style="443" customWidth="1"/>
    <col min="15375" max="15375" width="16.140625" style="443" customWidth="1"/>
    <col min="15376" max="15616" width="9.140625" style="443"/>
    <col min="15617" max="15617" width="22.7109375" style="443" customWidth="1"/>
    <col min="15618" max="15618" width="11.28515625" style="443" customWidth="1"/>
    <col min="15619" max="15619" width="11.5703125" style="443" customWidth="1"/>
    <col min="15620" max="15620" width="10.5703125" style="443" customWidth="1"/>
    <col min="15621" max="15621" width="9.28515625" style="443" customWidth="1"/>
    <col min="15622" max="15622" width="9.42578125" style="443" customWidth="1"/>
    <col min="15623" max="15623" width="8.42578125" style="443" customWidth="1"/>
    <col min="15624" max="15624" width="9.5703125" style="443" customWidth="1"/>
    <col min="15625" max="15625" width="11" style="443" customWidth="1"/>
    <col min="15626" max="15626" width="9.140625" style="443"/>
    <col min="15627" max="15627" width="9.28515625" style="443" customWidth="1"/>
    <col min="15628" max="15628" width="8.7109375" style="443" customWidth="1"/>
    <col min="15629" max="15629" width="7.42578125" style="443" customWidth="1"/>
    <col min="15630" max="15630" width="8.5703125" style="443" customWidth="1"/>
    <col min="15631" max="15631" width="16.140625" style="443" customWidth="1"/>
    <col min="15632" max="15872" width="9.140625" style="443"/>
    <col min="15873" max="15873" width="22.7109375" style="443" customWidth="1"/>
    <col min="15874" max="15874" width="11.28515625" style="443" customWidth="1"/>
    <col min="15875" max="15875" width="11.5703125" style="443" customWidth="1"/>
    <col min="15876" max="15876" width="10.5703125" style="443" customWidth="1"/>
    <col min="15877" max="15877" width="9.28515625" style="443" customWidth="1"/>
    <col min="15878" max="15878" width="9.42578125" style="443" customWidth="1"/>
    <col min="15879" max="15879" width="8.42578125" style="443" customWidth="1"/>
    <col min="15880" max="15880" width="9.5703125" style="443" customWidth="1"/>
    <col min="15881" max="15881" width="11" style="443" customWidth="1"/>
    <col min="15882" max="15882" width="9.140625" style="443"/>
    <col min="15883" max="15883" width="9.28515625" style="443" customWidth="1"/>
    <col min="15884" max="15884" width="8.7109375" style="443" customWidth="1"/>
    <col min="15885" max="15885" width="7.42578125" style="443" customWidth="1"/>
    <col min="15886" max="15886" width="8.5703125" style="443" customWidth="1"/>
    <col min="15887" max="15887" width="16.140625" style="443" customWidth="1"/>
    <col min="15888" max="16128" width="9.140625" style="443"/>
    <col min="16129" max="16129" width="22.7109375" style="443" customWidth="1"/>
    <col min="16130" max="16130" width="11.28515625" style="443" customWidth="1"/>
    <col min="16131" max="16131" width="11.5703125" style="443" customWidth="1"/>
    <col min="16132" max="16132" width="10.5703125" style="443" customWidth="1"/>
    <col min="16133" max="16133" width="9.28515625" style="443" customWidth="1"/>
    <col min="16134" max="16134" width="9.42578125" style="443" customWidth="1"/>
    <col min="16135" max="16135" width="8.42578125" style="443" customWidth="1"/>
    <col min="16136" max="16136" width="9.5703125" style="443" customWidth="1"/>
    <col min="16137" max="16137" width="11" style="443" customWidth="1"/>
    <col min="16138" max="16138" width="9.140625" style="443"/>
    <col min="16139" max="16139" width="9.28515625" style="443" customWidth="1"/>
    <col min="16140" max="16140" width="8.7109375" style="443" customWidth="1"/>
    <col min="16141" max="16141" width="7.42578125" style="443" customWidth="1"/>
    <col min="16142" max="16142" width="8.5703125" style="443" customWidth="1"/>
    <col min="16143" max="16143" width="16.140625" style="443" customWidth="1"/>
    <col min="16144" max="16384" width="9.140625" style="443"/>
  </cols>
  <sheetData>
    <row r="1" spans="1:15" ht="18" x14ac:dyDescent="0.25">
      <c r="A1" s="456" t="s">
        <v>426</v>
      </c>
    </row>
    <row r="2" spans="1:15" ht="20.100000000000001" customHeight="1" thickBot="1" x14ac:dyDescent="0.25">
      <c r="A2" s="423" t="s">
        <v>473</v>
      </c>
    </row>
    <row r="3" spans="1:15" ht="20.100000000000001" customHeight="1" x14ac:dyDescent="0.2">
      <c r="A3" s="242" t="s">
        <v>225</v>
      </c>
      <c r="B3" s="243" t="s">
        <v>226</v>
      </c>
      <c r="C3" s="310" t="s">
        <v>227</v>
      </c>
      <c r="D3" s="245"/>
      <c r="E3" s="276" t="s">
        <v>228</v>
      </c>
      <c r="F3" s="244" t="s">
        <v>227</v>
      </c>
      <c r="G3" s="245"/>
      <c r="H3" s="246" t="s">
        <v>258</v>
      </c>
      <c r="I3" s="242" t="s">
        <v>229</v>
      </c>
      <c r="J3" s="242" t="s">
        <v>229</v>
      </c>
      <c r="K3" s="242" t="s">
        <v>144</v>
      </c>
      <c r="L3" s="242" t="s">
        <v>215</v>
      </c>
      <c r="M3" s="247" t="s">
        <v>269</v>
      </c>
      <c r="N3" s="325" t="s">
        <v>418</v>
      </c>
      <c r="O3" s="248"/>
    </row>
    <row r="4" spans="1:15" ht="20.100000000000001" customHeight="1" thickBot="1" x14ac:dyDescent="0.25">
      <c r="A4" s="249"/>
      <c r="B4" s="250" t="s">
        <v>230</v>
      </c>
      <c r="C4" s="251" t="s">
        <v>231</v>
      </c>
      <c r="D4" s="252" t="s">
        <v>258</v>
      </c>
      <c r="E4" s="250" t="s">
        <v>230</v>
      </c>
      <c r="F4" s="251" t="s">
        <v>231</v>
      </c>
      <c r="G4" s="252" t="s">
        <v>258</v>
      </c>
      <c r="H4" s="253" t="s">
        <v>67</v>
      </c>
      <c r="I4" s="254" t="s">
        <v>232</v>
      </c>
      <c r="J4" s="254" t="s">
        <v>233</v>
      </c>
      <c r="K4" s="254" t="s">
        <v>249</v>
      </c>
      <c r="L4" s="326" t="s">
        <v>427</v>
      </c>
      <c r="M4" s="254" t="s">
        <v>249</v>
      </c>
      <c r="N4" s="326"/>
      <c r="O4" s="255" t="s">
        <v>234</v>
      </c>
    </row>
    <row r="5" spans="1:15" ht="21.75" customHeight="1" x14ac:dyDescent="0.2">
      <c r="A5" s="327" t="s">
        <v>235</v>
      </c>
      <c r="B5" s="414">
        <v>11243739.25</v>
      </c>
      <c r="C5" s="415">
        <v>11263943.390000001</v>
      </c>
      <c r="D5" s="383">
        <f t="shared" ref="D5:D13" si="0">C5-B5</f>
        <v>20204.140000000596</v>
      </c>
      <c r="E5" s="414"/>
      <c r="F5" s="415"/>
      <c r="G5" s="383">
        <f t="shared" ref="G5:G13" si="1">F5-E5</f>
        <v>0</v>
      </c>
      <c r="H5" s="258">
        <f t="shared" ref="H5:H13" si="2">D5+G5</f>
        <v>20204.140000000596</v>
      </c>
      <c r="I5" s="476">
        <v>272937</v>
      </c>
      <c r="J5" s="476">
        <v>248868.57</v>
      </c>
      <c r="K5" s="477">
        <v>258000</v>
      </c>
      <c r="L5" s="477">
        <v>238250</v>
      </c>
      <c r="M5" s="478">
        <f>L5/K5</f>
        <v>0.92344961240310075</v>
      </c>
      <c r="N5" s="479">
        <f>K5-L5</f>
        <v>19750</v>
      </c>
      <c r="O5" s="309"/>
    </row>
    <row r="6" spans="1:15" ht="21.75" customHeight="1" x14ac:dyDescent="0.2">
      <c r="A6" s="327" t="s">
        <v>237</v>
      </c>
      <c r="B6" s="414">
        <v>13683048.529999999</v>
      </c>
      <c r="C6" s="415">
        <v>13819395.93</v>
      </c>
      <c r="D6" s="383">
        <f t="shared" si="0"/>
        <v>136347.40000000037</v>
      </c>
      <c r="E6" s="414">
        <v>349552</v>
      </c>
      <c r="F6" s="415">
        <v>350672</v>
      </c>
      <c r="G6" s="383">
        <f t="shared" si="1"/>
        <v>1120</v>
      </c>
      <c r="H6" s="258">
        <f t="shared" si="2"/>
        <v>137467.40000000037</v>
      </c>
      <c r="I6" s="480">
        <v>58160</v>
      </c>
      <c r="J6" s="480">
        <v>186751.32</v>
      </c>
      <c r="K6" s="259">
        <v>1167000</v>
      </c>
      <c r="L6" s="481">
        <v>1031286.1</v>
      </c>
      <c r="M6" s="320">
        <f t="shared" ref="M6:M12" si="3">L6/K6</f>
        <v>0.88370702656383893</v>
      </c>
      <c r="N6" s="384">
        <f t="shared" ref="N6:N12" si="4">K6-L6</f>
        <v>135713.90000000002</v>
      </c>
      <c r="O6" s="309"/>
    </row>
    <row r="7" spans="1:15" ht="21.75" customHeight="1" x14ac:dyDescent="0.2">
      <c r="A7" s="327" t="s">
        <v>475</v>
      </c>
      <c r="B7" s="414">
        <v>0</v>
      </c>
      <c r="C7" s="415">
        <v>0</v>
      </c>
      <c r="D7" s="383">
        <f t="shared" si="0"/>
        <v>0</v>
      </c>
      <c r="E7" s="414">
        <v>0</v>
      </c>
      <c r="F7" s="415">
        <v>0</v>
      </c>
      <c r="G7" s="383">
        <f t="shared" si="1"/>
        <v>0</v>
      </c>
      <c r="H7" s="258">
        <f t="shared" si="2"/>
        <v>0</v>
      </c>
      <c r="I7" s="480"/>
      <c r="J7" s="480"/>
      <c r="K7" s="259"/>
      <c r="L7" s="481"/>
      <c r="M7" s="320"/>
      <c r="N7" s="384"/>
      <c r="O7" s="309" t="s">
        <v>476</v>
      </c>
    </row>
    <row r="8" spans="1:15" ht="21.75" customHeight="1" x14ac:dyDescent="0.2">
      <c r="A8" s="327" t="s">
        <v>238</v>
      </c>
      <c r="B8" s="414">
        <v>9617523.6799999997</v>
      </c>
      <c r="C8" s="415">
        <v>9584363.4499999993</v>
      </c>
      <c r="D8" s="383">
        <f t="shared" si="0"/>
        <v>-33160.230000000447</v>
      </c>
      <c r="E8" s="414">
        <v>1384133.56</v>
      </c>
      <c r="F8" s="415">
        <v>1480620</v>
      </c>
      <c r="G8" s="383">
        <f t="shared" si="1"/>
        <v>96486.439999999944</v>
      </c>
      <c r="H8" s="258">
        <f t="shared" si="2"/>
        <v>63326.209999999497</v>
      </c>
      <c r="I8" s="416">
        <v>213640</v>
      </c>
      <c r="J8" s="416">
        <v>249846</v>
      </c>
      <c r="K8" s="259">
        <v>1287000</v>
      </c>
      <c r="L8" s="481">
        <v>1271097.52</v>
      </c>
      <c r="M8" s="320">
        <f t="shared" si="3"/>
        <v>0.9876437606837607</v>
      </c>
      <c r="N8" s="384">
        <f t="shared" si="4"/>
        <v>15902.479999999981</v>
      </c>
      <c r="O8" s="309"/>
    </row>
    <row r="9" spans="1:15" ht="36.75" customHeight="1" x14ac:dyDescent="0.2">
      <c r="A9" s="327" t="s">
        <v>239</v>
      </c>
      <c r="B9" s="414">
        <v>10165198.449999999</v>
      </c>
      <c r="C9" s="415">
        <v>9205661.5700000003</v>
      </c>
      <c r="D9" s="383">
        <f t="shared" si="0"/>
        <v>-959536.87999999896</v>
      </c>
      <c r="E9" s="414">
        <v>336447.61</v>
      </c>
      <c r="F9" s="415">
        <v>341996.37</v>
      </c>
      <c r="G9" s="383">
        <f t="shared" si="1"/>
        <v>5548.7600000000093</v>
      </c>
      <c r="H9" s="258">
        <f t="shared" si="2"/>
        <v>-953988.11999999895</v>
      </c>
      <c r="I9" s="416">
        <v>0</v>
      </c>
      <c r="J9" s="416">
        <v>0</v>
      </c>
      <c r="K9" s="259">
        <v>2857000</v>
      </c>
      <c r="L9" s="259">
        <v>1768692</v>
      </c>
      <c r="M9" s="320">
        <f t="shared" si="3"/>
        <v>0.6190731536576829</v>
      </c>
      <c r="N9" s="384">
        <f t="shared" si="4"/>
        <v>1088308</v>
      </c>
      <c r="O9" s="309" t="s">
        <v>472</v>
      </c>
    </row>
    <row r="10" spans="1:15" ht="21.75" customHeight="1" x14ac:dyDescent="0.2">
      <c r="A10" s="327" t="s">
        <v>240</v>
      </c>
      <c r="B10" s="414">
        <v>17261610.309999999</v>
      </c>
      <c r="C10" s="415">
        <v>17358394.91</v>
      </c>
      <c r="D10" s="383">
        <f t="shared" si="0"/>
        <v>96784.60000000149</v>
      </c>
      <c r="E10" s="414">
        <v>52314</v>
      </c>
      <c r="F10" s="415">
        <v>100928</v>
      </c>
      <c r="G10" s="383">
        <f t="shared" si="1"/>
        <v>48614</v>
      </c>
      <c r="H10" s="258">
        <f t="shared" si="2"/>
        <v>145398.60000000149</v>
      </c>
      <c r="I10" s="480">
        <v>205079.6</v>
      </c>
      <c r="J10" s="480">
        <v>422395.53</v>
      </c>
      <c r="K10" s="259">
        <v>470000</v>
      </c>
      <c r="L10" s="480">
        <v>374354.4</v>
      </c>
      <c r="M10" s="320">
        <f t="shared" si="3"/>
        <v>0.79649872340425532</v>
      </c>
      <c r="N10" s="384">
        <f t="shared" si="4"/>
        <v>95645.599999999977</v>
      </c>
      <c r="O10" s="309"/>
    </row>
    <row r="11" spans="1:15" ht="21.75" customHeight="1" x14ac:dyDescent="0.2">
      <c r="A11" s="327" t="s">
        <v>241</v>
      </c>
      <c r="B11" s="414">
        <v>19271120.460000001</v>
      </c>
      <c r="C11" s="415">
        <v>19318946.91</v>
      </c>
      <c r="D11" s="383">
        <f t="shared" si="0"/>
        <v>47826.449999999255</v>
      </c>
      <c r="E11" s="414">
        <v>110500</v>
      </c>
      <c r="F11" s="415">
        <v>217102</v>
      </c>
      <c r="G11" s="383">
        <f t="shared" si="1"/>
        <v>106602</v>
      </c>
      <c r="H11" s="258">
        <f t="shared" si="2"/>
        <v>154428.44999999925</v>
      </c>
      <c r="I11" s="480">
        <v>13706.02</v>
      </c>
      <c r="J11" s="480">
        <v>32215.26</v>
      </c>
      <c r="K11" s="259">
        <v>603000</v>
      </c>
      <c r="L11" s="259">
        <v>651073</v>
      </c>
      <c r="M11" s="320">
        <f t="shared" si="3"/>
        <v>1.0797230514096186</v>
      </c>
      <c r="N11" s="384">
        <f t="shared" si="4"/>
        <v>-48073</v>
      </c>
      <c r="O11" s="309"/>
    </row>
    <row r="12" spans="1:15" ht="21.75" customHeight="1" x14ac:dyDescent="0.2">
      <c r="A12" s="327" t="s">
        <v>242</v>
      </c>
      <c r="B12" s="414">
        <v>8119389.1200000001</v>
      </c>
      <c r="C12" s="415">
        <v>8398199</v>
      </c>
      <c r="D12" s="383">
        <f t="shared" si="0"/>
        <v>278809.87999999989</v>
      </c>
      <c r="E12" s="414">
        <v>246090.52</v>
      </c>
      <c r="F12" s="415">
        <v>255430</v>
      </c>
      <c r="G12" s="383">
        <f t="shared" si="1"/>
        <v>9339.4800000000105</v>
      </c>
      <c r="H12" s="258">
        <f t="shared" si="2"/>
        <v>288149.35999999987</v>
      </c>
      <c r="I12" s="480">
        <v>192416</v>
      </c>
      <c r="J12" s="480">
        <v>611775.37</v>
      </c>
      <c r="K12" s="259">
        <v>196000</v>
      </c>
      <c r="L12" s="481">
        <v>160443.20000000001</v>
      </c>
      <c r="M12" s="320">
        <f t="shared" si="3"/>
        <v>0.81858775510204085</v>
      </c>
      <c r="N12" s="384">
        <f t="shared" si="4"/>
        <v>35556.799999999988</v>
      </c>
      <c r="O12" s="309"/>
    </row>
    <row r="13" spans="1:15" ht="21.75" customHeight="1" thickBot="1" x14ac:dyDescent="0.25">
      <c r="A13" s="327" t="s">
        <v>243</v>
      </c>
      <c r="B13" s="414">
        <v>5389957.7000000002</v>
      </c>
      <c r="C13" s="415">
        <v>5390271.2599999998</v>
      </c>
      <c r="D13" s="383">
        <f t="shared" si="0"/>
        <v>313.55999999959022</v>
      </c>
      <c r="E13" s="414"/>
      <c r="F13" s="415"/>
      <c r="G13" s="383">
        <f t="shared" si="1"/>
        <v>0</v>
      </c>
      <c r="H13" s="258">
        <f t="shared" si="2"/>
        <v>313.55999999959022</v>
      </c>
      <c r="I13" s="482">
        <v>0</v>
      </c>
      <c r="J13" s="482">
        <v>16967.599999999999</v>
      </c>
      <c r="K13" s="483">
        <v>0</v>
      </c>
      <c r="L13" s="483">
        <v>0</v>
      </c>
      <c r="M13" s="484"/>
      <c r="N13" s="485"/>
      <c r="O13" s="309"/>
    </row>
    <row r="14" spans="1:15" x14ac:dyDescent="0.2">
      <c r="A14" s="261"/>
      <c r="B14" s="262"/>
      <c r="C14" s="263"/>
      <c r="D14" s="264"/>
      <c r="E14" s="262"/>
      <c r="F14" s="263"/>
      <c r="G14" s="264"/>
      <c r="H14" s="265"/>
      <c r="I14" s="256"/>
      <c r="J14" s="256"/>
      <c r="K14" s="257"/>
      <c r="L14" s="257"/>
      <c r="M14" s="257"/>
      <c r="N14" s="257"/>
      <c r="O14" s="266"/>
    </row>
    <row r="15" spans="1:15" x14ac:dyDescent="0.2">
      <c r="A15" s="267" t="s">
        <v>244</v>
      </c>
      <c r="B15" s="376">
        <f t="shared" ref="B15:N15" si="5">SUM(B5:B13)</f>
        <v>94751587.500000015</v>
      </c>
      <c r="C15" s="377">
        <f t="shared" si="5"/>
        <v>94339176.420000002</v>
      </c>
      <c r="D15" s="378">
        <f t="shared" si="5"/>
        <v>-412411.07999999821</v>
      </c>
      <c r="E15" s="376">
        <f t="shared" si="5"/>
        <v>2479037.69</v>
      </c>
      <c r="F15" s="377">
        <f t="shared" si="5"/>
        <v>2746748.37</v>
      </c>
      <c r="G15" s="378">
        <f t="shared" si="5"/>
        <v>267710.67999999993</v>
      </c>
      <c r="H15" s="379">
        <f t="shared" si="5"/>
        <v>-144700.39999999828</v>
      </c>
      <c r="I15" s="380">
        <f t="shared" si="5"/>
        <v>955938.62</v>
      </c>
      <c r="J15" s="380">
        <f t="shared" si="5"/>
        <v>1768819.65</v>
      </c>
      <c r="K15" s="274">
        <f t="shared" si="5"/>
        <v>6838000</v>
      </c>
      <c r="L15" s="274">
        <f t="shared" si="5"/>
        <v>5495196.2200000007</v>
      </c>
      <c r="M15" s="328">
        <f>L15/K15</f>
        <v>0.8036262386662768</v>
      </c>
      <c r="N15" s="375">
        <f t="shared" si="5"/>
        <v>1342803.78</v>
      </c>
      <c r="O15" s="268"/>
    </row>
    <row r="16" spans="1:15" ht="13.5" thickBot="1" x14ac:dyDescent="0.25">
      <c r="A16" s="249"/>
      <c r="B16" s="269"/>
      <c r="C16" s="270"/>
      <c r="D16" s="271"/>
      <c r="E16" s="269"/>
      <c r="F16" s="270"/>
      <c r="G16" s="271"/>
      <c r="H16" s="272"/>
      <c r="I16" s="260"/>
      <c r="J16" s="260"/>
      <c r="K16" s="260"/>
      <c r="L16" s="260"/>
      <c r="M16" s="260"/>
      <c r="N16" s="260"/>
      <c r="O16" s="273"/>
    </row>
    <row r="18" spans="1:16" ht="18" x14ac:dyDescent="0.25">
      <c r="A18" s="456" t="s">
        <v>428</v>
      </c>
    </row>
    <row r="19" spans="1:16" ht="13.5" thickBot="1" x14ac:dyDescent="0.25"/>
    <row r="20" spans="1:16" s="423" customFormat="1" x14ac:dyDescent="0.2">
      <c r="A20" s="457" t="s">
        <v>419</v>
      </c>
      <c r="B20" s="501" t="s">
        <v>420</v>
      </c>
      <c r="C20" s="502"/>
      <c r="D20" s="501" t="s">
        <v>421</v>
      </c>
      <c r="E20" s="502"/>
      <c r="F20" s="503" t="s">
        <v>422</v>
      </c>
      <c r="G20" s="502"/>
      <c r="H20" s="501" t="s">
        <v>423</v>
      </c>
      <c r="I20" s="502"/>
      <c r="J20" s="501" t="s">
        <v>424</v>
      </c>
      <c r="K20" s="502"/>
      <c r="L20" s="501" t="s">
        <v>425</v>
      </c>
      <c r="M20" s="502"/>
      <c r="O20" s="458"/>
    </row>
    <row r="21" spans="1:16" s="423" customFormat="1" x14ac:dyDescent="0.2">
      <c r="A21" s="344"/>
      <c r="B21" s="459">
        <v>42736</v>
      </c>
      <c r="C21" s="459">
        <v>43100</v>
      </c>
      <c r="D21" s="459">
        <v>42736</v>
      </c>
      <c r="E21" s="459">
        <v>43100</v>
      </c>
      <c r="F21" s="459">
        <v>42736</v>
      </c>
      <c r="G21" s="459">
        <v>43100</v>
      </c>
      <c r="H21" s="459">
        <v>42736</v>
      </c>
      <c r="I21" s="459">
        <v>43100</v>
      </c>
      <c r="J21" s="459">
        <v>42736</v>
      </c>
      <c r="K21" s="459">
        <v>43100</v>
      </c>
      <c r="L21" s="459">
        <v>42736</v>
      </c>
      <c r="M21" s="459">
        <v>43100</v>
      </c>
      <c r="O21" s="458"/>
    </row>
    <row r="22" spans="1:16" ht="18" customHeight="1" x14ac:dyDescent="0.2">
      <c r="A22" s="460" t="s">
        <v>235</v>
      </c>
      <c r="B22" s="486">
        <v>342735</v>
      </c>
      <c r="C22" s="486">
        <v>313407</v>
      </c>
      <c r="D22" s="383">
        <v>1752994</v>
      </c>
      <c r="E22" s="383">
        <v>1730517.04</v>
      </c>
      <c r="F22" s="383">
        <v>2412638</v>
      </c>
      <c r="G22" s="383">
        <v>3107464.95</v>
      </c>
      <c r="H22" s="383">
        <v>1755248</v>
      </c>
      <c r="I22" s="383">
        <v>1563092.57</v>
      </c>
      <c r="J22" s="383">
        <v>2740609</v>
      </c>
      <c r="K22" s="383">
        <v>3254685.28</v>
      </c>
      <c r="L22" s="383">
        <v>0</v>
      </c>
      <c r="M22" s="383">
        <v>0</v>
      </c>
    </row>
    <row r="23" spans="1:16" ht="18" customHeight="1" x14ac:dyDescent="0.2">
      <c r="A23" s="460" t="s">
        <v>236</v>
      </c>
      <c r="B23" s="487">
        <v>80076339.719999999</v>
      </c>
      <c r="C23" s="487">
        <v>0</v>
      </c>
      <c r="D23" s="487">
        <v>34882470</v>
      </c>
      <c r="E23" s="487">
        <v>258710</v>
      </c>
      <c r="F23" s="488">
        <v>2231841.14</v>
      </c>
      <c r="G23" s="488">
        <v>0</v>
      </c>
      <c r="H23" s="383">
        <v>29406066</v>
      </c>
      <c r="I23" s="383">
        <v>0</v>
      </c>
      <c r="J23" s="383">
        <v>42045296</v>
      </c>
      <c r="K23" s="383">
        <v>0</v>
      </c>
      <c r="L23" s="383">
        <v>3731152</v>
      </c>
      <c r="M23" s="383">
        <v>0</v>
      </c>
    </row>
    <row r="24" spans="1:16" ht="18" customHeight="1" x14ac:dyDescent="0.2">
      <c r="A24" s="460" t="s">
        <v>237</v>
      </c>
      <c r="B24" s="486">
        <v>18851051</v>
      </c>
      <c r="C24" s="486">
        <v>18633619.57</v>
      </c>
      <c r="D24" s="383">
        <v>276048</v>
      </c>
      <c r="E24" s="383">
        <v>255704.15</v>
      </c>
      <c r="F24" s="383">
        <v>1627431</v>
      </c>
      <c r="G24" s="383">
        <v>2450027.2400000002</v>
      </c>
      <c r="H24" s="383">
        <v>338923</v>
      </c>
      <c r="I24" s="383">
        <v>459473.09</v>
      </c>
      <c r="J24" s="383">
        <v>1631378</v>
      </c>
      <c r="K24" s="383">
        <v>2180365.67</v>
      </c>
      <c r="L24" s="383">
        <v>0</v>
      </c>
      <c r="M24" s="383">
        <v>0</v>
      </c>
    </row>
    <row r="25" spans="1:16" ht="18" customHeight="1" x14ac:dyDescent="0.2">
      <c r="A25" s="460" t="s">
        <v>238</v>
      </c>
      <c r="B25" s="486">
        <v>24443787</v>
      </c>
      <c r="C25" s="486">
        <v>24242835.850000001</v>
      </c>
      <c r="D25" s="383">
        <v>306642</v>
      </c>
      <c r="E25" s="383">
        <v>1573680.43</v>
      </c>
      <c r="F25" s="383">
        <v>1393333</v>
      </c>
      <c r="G25" s="383">
        <v>892558.45</v>
      </c>
      <c r="H25" s="383">
        <v>256269</v>
      </c>
      <c r="I25" s="383">
        <v>543390.48</v>
      </c>
      <c r="J25" s="383">
        <v>1504007</v>
      </c>
      <c r="K25" s="383">
        <v>1342393.6</v>
      </c>
      <c r="L25" s="383">
        <v>58750</v>
      </c>
      <c r="M25" s="383">
        <v>936918.7</v>
      </c>
    </row>
    <row r="26" spans="1:16" ht="18" customHeight="1" x14ac:dyDescent="0.2">
      <c r="A26" s="460" t="s">
        <v>239</v>
      </c>
      <c r="B26" s="486">
        <v>52795640</v>
      </c>
      <c r="C26" s="486">
        <v>0</v>
      </c>
      <c r="D26" s="383">
        <v>127879</v>
      </c>
      <c r="E26" s="383">
        <v>0</v>
      </c>
      <c r="F26" s="383">
        <v>1410330</v>
      </c>
      <c r="G26" s="383">
        <v>0</v>
      </c>
      <c r="H26" s="383">
        <v>78614</v>
      </c>
      <c r="I26" s="383">
        <v>0</v>
      </c>
      <c r="J26" s="383">
        <v>656017</v>
      </c>
      <c r="K26" s="383">
        <v>0</v>
      </c>
      <c r="L26" s="383">
        <v>0</v>
      </c>
      <c r="M26" s="383">
        <v>0</v>
      </c>
    </row>
    <row r="27" spans="1:16" ht="18" customHeight="1" x14ac:dyDescent="0.2">
      <c r="A27" s="460" t="s">
        <v>240</v>
      </c>
      <c r="B27" s="486">
        <v>34248312</v>
      </c>
      <c r="C27" s="486">
        <v>33776599.57</v>
      </c>
      <c r="D27" s="383">
        <v>123570</v>
      </c>
      <c r="E27" s="383">
        <v>429738.6</v>
      </c>
      <c r="F27" s="383">
        <v>2256550</v>
      </c>
      <c r="G27" s="383">
        <v>2611760.7400000002</v>
      </c>
      <c r="H27" s="383">
        <v>825970.1</v>
      </c>
      <c r="I27" s="383">
        <v>818026.88</v>
      </c>
      <c r="J27" s="383">
        <v>1524522</v>
      </c>
      <c r="K27" s="383">
        <v>2078100.86</v>
      </c>
      <c r="L27" s="383">
        <v>0</v>
      </c>
      <c r="M27" s="383">
        <v>0</v>
      </c>
    </row>
    <row r="28" spans="1:16" ht="18" customHeight="1" x14ac:dyDescent="0.2">
      <c r="A28" s="460" t="s">
        <v>241</v>
      </c>
      <c r="B28" s="486">
        <v>14019970</v>
      </c>
      <c r="C28" s="486">
        <v>35888329.509999998</v>
      </c>
      <c r="D28" s="383">
        <v>63280</v>
      </c>
      <c r="E28" s="383">
        <v>122123.6</v>
      </c>
      <c r="F28" s="383">
        <v>1848158</v>
      </c>
      <c r="G28" s="383">
        <v>2921571.64</v>
      </c>
      <c r="H28" s="383">
        <v>342254</v>
      </c>
      <c r="I28" s="383">
        <v>214849.41</v>
      </c>
      <c r="J28" s="383">
        <v>1416752</v>
      </c>
      <c r="K28" s="383">
        <v>2674417.38</v>
      </c>
      <c r="L28" s="383">
        <v>0</v>
      </c>
      <c r="M28" s="383">
        <v>0</v>
      </c>
    </row>
    <row r="29" spans="1:16" ht="18" customHeight="1" x14ac:dyDescent="0.2">
      <c r="A29" s="460" t="s">
        <v>242</v>
      </c>
      <c r="B29" s="486">
        <v>613630</v>
      </c>
      <c r="C29" s="486">
        <v>563497</v>
      </c>
      <c r="D29" s="383">
        <v>29213</v>
      </c>
      <c r="E29" s="383">
        <v>58119</v>
      </c>
      <c r="F29" s="383">
        <v>2048420</v>
      </c>
      <c r="G29" s="383">
        <v>2553772.4</v>
      </c>
      <c r="H29" s="383">
        <v>920867</v>
      </c>
      <c r="I29" s="383">
        <v>1113986.6000000001</v>
      </c>
      <c r="J29" s="383">
        <v>878598</v>
      </c>
      <c r="K29" s="383">
        <v>1209705.44</v>
      </c>
      <c r="L29" s="383">
        <v>0</v>
      </c>
      <c r="M29" s="383">
        <v>0</v>
      </c>
    </row>
    <row r="30" spans="1:16" ht="18" customHeight="1" thickBot="1" x14ac:dyDescent="0.25">
      <c r="A30" s="461" t="s">
        <v>243</v>
      </c>
      <c r="B30" s="489">
        <v>0</v>
      </c>
      <c r="C30" s="489">
        <v>0</v>
      </c>
      <c r="D30" s="490">
        <v>35767</v>
      </c>
      <c r="E30" s="490">
        <v>2375</v>
      </c>
      <c r="F30" s="490">
        <v>833404</v>
      </c>
      <c r="G30" s="490">
        <v>917717.41</v>
      </c>
      <c r="H30" s="490">
        <v>105034</v>
      </c>
      <c r="I30" s="490">
        <v>133062.85</v>
      </c>
      <c r="J30" s="490">
        <v>762837</v>
      </c>
      <c r="K30" s="490">
        <v>786726</v>
      </c>
      <c r="L30" s="490"/>
      <c r="M30" s="490"/>
    </row>
    <row r="31" spans="1:16" ht="13.5" customHeight="1" x14ac:dyDescent="0.2">
      <c r="A31" s="462"/>
      <c r="B31" s="463"/>
      <c r="C31" s="463"/>
      <c r="D31" s="464"/>
      <c r="E31" s="464"/>
      <c r="F31" s="464"/>
      <c r="G31" s="464"/>
      <c r="H31" s="464"/>
      <c r="I31" s="464"/>
      <c r="J31" s="464"/>
      <c r="K31" s="464"/>
      <c r="L31" s="464"/>
      <c r="M31" s="464"/>
      <c r="N31" s="465"/>
      <c r="O31" s="466"/>
      <c r="P31" s="465"/>
    </row>
    <row r="32" spans="1:16" x14ac:dyDescent="0.2">
      <c r="A32" s="494" t="s">
        <v>429</v>
      </c>
    </row>
    <row r="33" spans="1:15" ht="28.5" customHeight="1" x14ac:dyDescent="0.2">
      <c r="A33" s="499" t="s">
        <v>431</v>
      </c>
      <c r="B33" s="500"/>
      <c r="C33" s="500"/>
      <c r="D33" s="500"/>
      <c r="E33" s="500"/>
      <c r="F33" s="500"/>
      <c r="G33" s="500"/>
      <c r="H33" s="500"/>
      <c r="I33" s="500"/>
      <c r="J33" s="500"/>
      <c r="K33" s="500"/>
      <c r="L33" s="500"/>
      <c r="M33" s="500"/>
      <c r="N33" s="500"/>
      <c r="O33" s="500"/>
    </row>
    <row r="34" spans="1:15" x14ac:dyDescent="0.2">
      <c r="A34" s="499"/>
      <c r="B34" s="500"/>
      <c r="C34" s="500"/>
      <c r="D34" s="500"/>
      <c r="E34" s="500"/>
      <c r="F34" s="500"/>
      <c r="G34" s="500"/>
      <c r="H34" s="500"/>
      <c r="I34" s="500"/>
      <c r="J34" s="500"/>
      <c r="K34" s="500"/>
      <c r="L34" s="500"/>
      <c r="M34" s="500"/>
      <c r="N34" s="500"/>
      <c r="O34" s="500"/>
    </row>
    <row r="35" spans="1:15" x14ac:dyDescent="0.2">
      <c r="A35" s="494" t="s">
        <v>430</v>
      </c>
    </row>
    <row r="36" spans="1:15" ht="41.25" customHeight="1" x14ac:dyDescent="0.2">
      <c r="A36" s="497" t="s">
        <v>477</v>
      </c>
      <c r="B36" s="498"/>
      <c r="C36" s="498"/>
      <c r="D36" s="498"/>
      <c r="E36" s="498"/>
      <c r="F36" s="498"/>
      <c r="G36" s="498"/>
      <c r="H36" s="498"/>
      <c r="I36" s="498"/>
      <c r="J36" s="498"/>
      <c r="K36" s="498"/>
      <c r="L36" s="498"/>
      <c r="M36" s="498"/>
      <c r="N36" s="498"/>
      <c r="O36" s="498"/>
    </row>
  </sheetData>
  <mergeCells count="9">
    <mergeCell ref="A36:O36"/>
    <mergeCell ref="A34:O34"/>
    <mergeCell ref="A33:O33"/>
    <mergeCell ref="B20:C20"/>
    <mergeCell ref="D20:E20"/>
    <mergeCell ref="F20:G20"/>
    <mergeCell ref="H20:I20"/>
    <mergeCell ref="J20:K20"/>
    <mergeCell ref="L20:M20"/>
  </mergeCells>
  <phoneticPr fontId="6" type="noConversion"/>
  <pageMargins left="0.15748031496062992" right="0.15748031496062992" top="0.23622047244094491" bottom="0.15748031496062992" header="0.23622047244094491" footer="0.19685039370078741"/>
  <pageSetup paperSize="9" scale="85" orientation="landscape" r:id="rId1"/>
  <headerFooter alignWithMargins="0">
    <oddHeader>&amp;R&amp;P+7. strana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workbookViewId="0">
      <selection activeCell="I15" sqref="I15"/>
    </sheetView>
  </sheetViews>
  <sheetFormatPr defaultRowHeight="12.75" x14ac:dyDescent="0.2"/>
  <cols>
    <col min="1" max="1" width="35.7109375" style="443" customWidth="1"/>
    <col min="2" max="5" width="11.7109375" style="443" customWidth="1"/>
    <col min="6" max="6" width="14.28515625" style="443" customWidth="1"/>
    <col min="7" max="11" width="11.7109375" style="443" customWidth="1"/>
    <col min="12" max="16384" width="9.140625" style="443"/>
  </cols>
  <sheetData>
    <row r="1" spans="1:5" ht="18" x14ac:dyDescent="0.25">
      <c r="A1" s="456" t="s">
        <v>464</v>
      </c>
    </row>
    <row r="2" spans="1:5" ht="18" x14ac:dyDescent="0.25">
      <c r="A2" s="456"/>
    </row>
    <row r="3" spans="1:5" x14ac:dyDescent="0.2">
      <c r="A3" s="423" t="s">
        <v>470</v>
      </c>
    </row>
    <row r="4" spans="1:5" s="423" customFormat="1" x14ac:dyDescent="0.2">
      <c r="A4" s="423" t="s">
        <v>444</v>
      </c>
    </row>
    <row r="5" spans="1:5" x14ac:dyDescent="0.2">
      <c r="A5" s="423" t="s">
        <v>469</v>
      </c>
    </row>
    <row r="6" spans="1:5" ht="13.5" thickBot="1" x14ac:dyDescent="0.25"/>
    <row r="7" spans="1:5" x14ac:dyDescent="0.2">
      <c r="A7" s="469" t="s">
        <v>474</v>
      </c>
      <c r="B7" s="491" t="s">
        <v>445</v>
      </c>
      <c r="C7" s="491" t="s">
        <v>446</v>
      </c>
      <c r="D7" s="491" t="s">
        <v>465</v>
      </c>
    </row>
    <row r="8" spans="1:5" ht="15.75" x14ac:dyDescent="0.25">
      <c r="A8" s="470" t="s">
        <v>471</v>
      </c>
      <c r="B8" s="492"/>
      <c r="C8" s="492"/>
      <c r="D8" s="492"/>
    </row>
    <row r="9" spans="1:5" ht="15.75" x14ac:dyDescent="0.25">
      <c r="A9" s="470"/>
      <c r="B9" s="492"/>
      <c r="C9" s="492"/>
      <c r="D9" s="492"/>
    </row>
    <row r="10" spans="1:5" s="423" customFormat="1" x14ac:dyDescent="0.2">
      <c r="A10" s="471" t="s">
        <v>447</v>
      </c>
      <c r="B10" s="493">
        <v>955460</v>
      </c>
      <c r="C10" s="493">
        <v>24853</v>
      </c>
      <c r="D10" s="493">
        <f>SUM(D12:D17)</f>
        <v>59460</v>
      </c>
    </row>
    <row r="11" spans="1:5" x14ac:dyDescent="0.2">
      <c r="A11" s="472" t="s">
        <v>448</v>
      </c>
      <c r="B11" s="383"/>
      <c r="C11" s="383"/>
      <c r="D11" s="383"/>
    </row>
    <row r="12" spans="1:5" x14ac:dyDescent="0.2">
      <c r="A12" s="472" t="s">
        <v>468</v>
      </c>
      <c r="B12" s="383"/>
      <c r="C12" s="383">
        <v>0</v>
      </c>
      <c r="D12" s="383">
        <v>2800</v>
      </c>
    </row>
    <row r="13" spans="1:5" x14ac:dyDescent="0.2">
      <c r="A13" s="472" t="s">
        <v>449</v>
      </c>
      <c r="B13" s="383">
        <v>849351</v>
      </c>
      <c r="C13" s="383">
        <v>13498</v>
      </c>
      <c r="D13" s="383">
        <v>54426</v>
      </c>
    </row>
    <row r="14" spans="1:5" x14ac:dyDescent="0.2">
      <c r="A14" s="472" t="s">
        <v>450</v>
      </c>
      <c r="B14" s="383">
        <v>10997</v>
      </c>
      <c r="C14" s="383">
        <v>336</v>
      </c>
      <c r="D14" s="383"/>
    </row>
    <row r="15" spans="1:5" x14ac:dyDescent="0.2">
      <c r="A15" s="472" t="s">
        <v>451</v>
      </c>
      <c r="B15" s="383">
        <v>60040</v>
      </c>
      <c r="C15" s="383">
        <v>2427</v>
      </c>
      <c r="D15" s="383">
        <v>374</v>
      </c>
    </row>
    <row r="16" spans="1:5" x14ac:dyDescent="0.2">
      <c r="A16" s="472" t="s">
        <v>452</v>
      </c>
      <c r="B16" s="383">
        <v>34468</v>
      </c>
      <c r="C16" s="383">
        <v>5062</v>
      </c>
      <c r="D16" s="383">
        <v>1267</v>
      </c>
      <c r="E16" s="421"/>
    </row>
    <row r="17" spans="1:6" x14ac:dyDescent="0.2">
      <c r="A17" s="472" t="s">
        <v>453</v>
      </c>
      <c r="B17" s="383">
        <v>604</v>
      </c>
      <c r="C17" s="383">
        <v>3530</v>
      </c>
      <c r="D17" s="383">
        <v>593</v>
      </c>
      <c r="E17" s="421"/>
    </row>
    <row r="18" spans="1:6" x14ac:dyDescent="0.2">
      <c r="A18" s="472"/>
      <c r="B18" s="383"/>
      <c r="C18" s="383"/>
      <c r="D18" s="383"/>
    </row>
    <row r="19" spans="1:6" s="423" customFormat="1" x14ac:dyDescent="0.2">
      <c r="A19" s="471" t="s">
        <v>454</v>
      </c>
      <c r="B19" s="493">
        <v>955460</v>
      </c>
      <c r="C19" s="493">
        <v>24853</v>
      </c>
      <c r="D19" s="493">
        <f>SUM(D21:D27)</f>
        <v>59460</v>
      </c>
    </row>
    <row r="20" spans="1:6" ht="13.5" customHeight="1" x14ac:dyDescent="0.2">
      <c r="A20" s="472" t="s">
        <v>448</v>
      </c>
      <c r="B20" s="383"/>
      <c r="C20" s="383"/>
      <c r="D20" s="383"/>
    </row>
    <row r="21" spans="1:6" ht="13.5" customHeight="1" x14ac:dyDescent="0.2">
      <c r="A21" s="472" t="s">
        <v>455</v>
      </c>
      <c r="B21" s="383">
        <v>750000</v>
      </c>
      <c r="C21" s="383">
        <v>8600</v>
      </c>
      <c r="D21" s="383">
        <v>57421</v>
      </c>
    </row>
    <row r="22" spans="1:6" x14ac:dyDescent="0.2">
      <c r="A22" s="472" t="s">
        <v>456</v>
      </c>
      <c r="B22" s="383">
        <v>115962</v>
      </c>
      <c r="C22" s="383">
        <v>1530</v>
      </c>
      <c r="D22" s="383">
        <v>3192</v>
      </c>
    </row>
    <row r="23" spans="1:6" x14ac:dyDescent="0.2">
      <c r="A23" s="472" t="s">
        <v>457</v>
      </c>
      <c r="B23" s="383">
        <v>0</v>
      </c>
      <c r="C23" s="383">
        <v>2424</v>
      </c>
      <c r="D23" s="383"/>
    </row>
    <row r="24" spans="1:6" x14ac:dyDescent="0.2">
      <c r="A24" s="472" t="s">
        <v>458</v>
      </c>
      <c r="B24" s="383">
        <v>401</v>
      </c>
      <c r="C24" s="383">
        <v>369</v>
      </c>
      <c r="D24" s="383">
        <v>-4922</v>
      </c>
      <c r="E24" s="13"/>
      <c r="F24" s="13"/>
    </row>
    <row r="25" spans="1:6" x14ac:dyDescent="0.2">
      <c r="A25" s="472" t="s">
        <v>459</v>
      </c>
      <c r="B25" s="383">
        <v>88290</v>
      </c>
      <c r="C25" s="383">
        <v>5725</v>
      </c>
      <c r="D25" s="383">
        <v>3504</v>
      </c>
      <c r="E25" s="13"/>
      <c r="F25" s="13"/>
    </row>
    <row r="26" spans="1:6" x14ac:dyDescent="0.2">
      <c r="A26" s="472" t="s">
        <v>467</v>
      </c>
      <c r="B26" s="383">
        <v>67362</v>
      </c>
      <c r="C26" s="383">
        <v>5371</v>
      </c>
      <c r="D26" s="383">
        <v>0</v>
      </c>
      <c r="E26" s="13"/>
      <c r="F26" s="13"/>
    </row>
    <row r="27" spans="1:6" x14ac:dyDescent="0.2">
      <c r="A27" s="472" t="s">
        <v>460</v>
      </c>
      <c r="B27" s="383">
        <v>1456</v>
      </c>
      <c r="C27" s="383">
        <v>834</v>
      </c>
      <c r="D27" s="383">
        <v>265</v>
      </c>
      <c r="E27" s="13"/>
      <c r="F27" s="13"/>
    </row>
    <row r="28" spans="1:6" x14ac:dyDescent="0.2">
      <c r="A28" s="472"/>
      <c r="B28" s="383"/>
      <c r="C28" s="383"/>
      <c r="D28" s="383"/>
      <c r="E28" s="13"/>
      <c r="F28" s="13"/>
    </row>
    <row r="29" spans="1:6" ht="15.75" x14ac:dyDescent="0.25">
      <c r="A29" s="470" t="s">
        <v>461</v>
      </c>
      <c r="B29" s="383"/>
      <c r="C29" s="383"/>
      <c r="D29" s="383"/>
      <c r="E29" s="13"/>
      <c r="F29" s="13"/>
    </row>
    <row r="30" spans="1:6" x14ac:dyDescent="0.2">
      <c r="A30" s="472" t="s">
        <v>462</v>
      </c>
      <c r="B30" s="383">
        <v>522336</v>
      </c>
      <c r="C30" s="383">
        <v>14382</v>
      </c>
      <c r="D30" s="383">
        <v>9390</v>
      </c>
      <c r="E30" s="13"/>
      <c r="F30" s="13"/>
    </row>
    <row r="31" spans="1:6" x14ac:dyDescent="0.2">
      <c r="A31" s="472" t="s">
        <v>463</v>
      </c>
      <c r="B31" s="383">
        <v>522737</v>
      </c>
      <c r="C31" s="383">
        <v>14751</v>
      </c>
      <c r="D31" s="383">
        <v>4468</v>
      </c>
      <c r="E31" s="13"/>
      <c r="F31" s="13"/>
    </row>
    <row r="32" spans="1:6" x14ac:dyDescent="0.2">
      <c r="A32" s="473"/>
      <c r="B32" s="383"/>
      <c r="C32" s="383"/>
      <c r="D32" s="383"/>
      <c r="E32" s="13"/>
      <c r="F32" s="13"/>
    </row>
    <row r="33" spans="1:6" ht="13.5" thickBot="1" x14ac:dyDescent="0.25">
      <c r="A33" s="474" t="s">
        <v>466</v>
      </c>
      <c r="B33" s="490">
        <f>B31-B30</f>
        <v>401</v>
      </c>
      <c r="C33" s="490">
        <f>C31-C30</f>
        <v>369</v>
      </c>
      <c r="D33" s="490">
        <f>D31-D30</f>
        <v>-4922</v>
      </c>
      <c r="E33" s="13"/>
      <c r="F33" s="13"/>
    </row>
    <row r="34" spans="1:6" x14ac:dyDescent="0.2">
      <c r="A34" s="421"/>
      <c r="D34" s="13"/>
      <c r="E34" s="13"/>
      <c r="F34" s="13"/>
    </row>
    <row r="35" spans="1:6" x14ac:dyDescent="0.2">
      <c r="B35" s="475"/>
      <c r="C35" s="475"/>
      <c r="D35" s="13"/>
      <c r="E35" s="13"/>
      <c r="F35" s="13"/>
    </row>
    <row r="36" spans="1:6" x14ac:dyDescent="0.2">
      <c r="A36" s="421"/>
      <c r="D36" s="13"/>
      <c r="E36" s="13"/>
      <c r="F36" s="13"/>
    </row>
    <row r="37" spans="1:6" x14ac:dyDescent="0.2">
      <c r="A37" s="421"/>
      <c r="D37" s="13"/>
      <c r="E37" s="13"/>
      <c r="F37" s="13"/>
    </row>
    <row r="38" spans="1:6" x14ac:dyDescent="0.2">
      <c r="D38" s="13"/>
      <c r="E38" s="13"/>
      <c r="F38" s="13"/>
    </row>
    <row r="39" spans="1:6" x14ac:dyDescent="0.2">
      <c r="D39" s="13"/>
      <c r="E39" s="462"/>
      <c r="F39" s="13"/>
    </row>
    <row r="40" spans="1:6" x14ac:dyDescent="0.2">
      <c r="D40" s="13"/>
      <c r="E40" s="462"/>
      <c r="F40" s="13"/>
    </row>
    <row r="41" spans="1:6" x14ac:dyDescent="0.2">
      <c r="D41" s="13"/>
      <c r="E41" s="13"/>
      <c r="F41" s="13"/>
    </row>
    <row r="42" spans="1:6" x14ac:dyDescent="0.2">
      <c r="D42" s="13"/>
      <c r="E42" s="13"/>
      <c r="F42" s="13"/>
    </row>
    <row r="43" spans="1:6" x14ac:dyDescent="0.2">
      <c r="D43" s="13"/>
      <c r="E43" s="13"/>
      <c r="F43" s="13"/>
    </row>
    <row r="44" spans="1:6" x14ac:dyDescent="0.2">
      <c r="D44" s="13"/>
      <c r="E44" s="13"/>
      <c r="F44" s="13"/>
    </row>
    <row r="45" spans="1:6" x14ac:dyDescent="0.2">
      <c r="D45" s="13"/>
      <c r="E45" s="13"/>
      <c r="F45" s="13"/>
    </row>
    <row r="46" spans="1:6" x14ac:dyDescent="0.2">
      <c r="D46" s="13"/>
      <c r="E46" s="13"/>
      <c r="F46" s="13"/>
    </row>
    <row r="47" spans="1:6" x14ac:dyDescent="0.2">
      <c r="D47" s="13"/>
      <c r="E47" s="13"/>
      <c r="F47" s="13"/>
    </row>
    <row r="48" spans="1:6" x14ac:dyDescent="0.2">
      <c r="D48" s="13"/>
      <c r="E48" s="13"/>
      <c r="F48" s="13"/>
    </row>
    <row r="49" spans="4:6" x14ac:dyDescent="0.2">
      <c r="D49" s="13"/>
      <c r="E49" s="13"/>
      <c r="F49" s="13"/>
    </row>
    <row r="50" spans="4:6" x14ac:dyDescent="0.2">
      <c r="D50" s="13"/>
      <c r="E50" s="13"/>
      <c r="F50" s="13"/>
    </row>
  </sheetData>
  <pageMargins left="0.70866141732283472" right="0.70866141732283472" top="0.78740157480314965" bottom="0.78740157480314965" header="0.31496062992125984" footer="0.31496062992125984"/>
  <pageSetup paperSize="9" orientation="landscape" r:id="rId1"/>
  <headerFooter>
    <oddHeader>&amp;R&amp;P+8. strana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Sumář</vt:lpstr>
      <vt:lpstr>Příjmy</vt:lpstr>
      <vt:lpstr>Výdaje</vt:lpstr>
      <vt:lpstr>Příspěvkové organizace</vt:lpstr>
      <vt:lpstr>Obchodní organizace</vt:lpstr>
      <vt:lpstr>Příjmy!Názvy_tisku</vt:lpstr>
      <vt:lpstr>Výdaje!Názvy_tisku</vt:lpstr>
      <vt:lpstr>Příjmy!Oblast_tisku</vt:lpstr>
      <vt:lpstr>'Příspěvkové organizace'!Oblast_tisku</vt:lpstr>
      <vt:lpstr>Výdaje!Oblast_tisku</vt:lpstr>
    </vt:vector>
  </TitlesOfParts>
  <Company>Jilemnice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Jilemnice</dc:creator>
  <cp:lastModifiedBy>Město Jilemnice</cp:lastModifiedBy>
  <cp:lastPrinted>2018-06-04T14:27:12Z</cp:lastPrinted>
  <dcterms:created xsi:type="dcterms:W3CDTF">1999-02-03T10:11:29Z</dcterms:created>
  <dcterms:modified xsi:type="dcterms:W3CDTF">2018-06-04T14:27:16Z</dcterms:modified>
</cp:coreProperties>
</file>