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28830" windowHeight="6810" tabRatio="689"/>
  </bookViews>
  <sheets>
    <sheet name="Sumář" sheetId="1" r:id="rId1"/>
    <sheet name="Příjmy" sheetId="2" r:id="rId2"/>
    <sheet name="Výdaje" sheetId="3" r:id="rId3"/>
    <sheet name="Příspěvkové organizace" sheetId="15" r:id="rId4"/>
    <sheet name="Obchodní organizace" sheetId="16" r:id="rId5"/>
  </sheets>
  <definedNames>
    <definedName name="_xlnm.Print_Titles" localSheetId="1">Příjmy!$A:$E,Příjmy!$1:$3</definedName>
    <definedName name="_xlnm.Print_Titles" localSheetId="2">Výdaje!$A:$D,Výdaje!$1:$4</definedName>
    <definedName name="_xlnm.Print_Area" localSheetId="1">Příjmy!$A$1:$L$134</definedName>
    <definedName name="_xlnm.Print_Area" localSheetId="2">Výdaje!$A$1:$T$108</definedName>
  </definedNames>
  <calcPr calcId="145621"/>
</workbook>
</file>

<file path=xl/calcChain.xml><?xml version="1.0" encoding="utf-8"?>
<calcChain xmlns="http://schemas.openxmlformats.org/spreadsheetml/2006/main">
  <c r="C31" i="16" l="1"/>
  <c r="B31" i="16"/>
  <c r="K17" i="15" l="1"/>
  <c r="J17" i="15"/>
  <c r="I17" i="15"/>
  <c r="F17" i="15"/>
  <c r="E17" i="15"/>
  <c r="C17" i="15"/>
  <c r="B17" i="15"/>
  <c r="G15" i="15"/>
  <c r="D15" i="15"/>
  <c r="N14" i="15"/>
  <c r="M14" i="15"/>
  <c r="G14" i="15"/>
  <c r="D14" i="15"/>
  <c r="N13" i="15"/>
  <c r="M13" i="15"/>
  <c r="G13" i="15"/>
  <c r="D13" i="15"/>
  <c r="N12" i="15"/>
  <c r="M12" i="15"/>
  <c r="G12" i="15"/>
  <c r="D12" i="15"/>
  <c r="L11" i="15"/>
  <c r="N11" i="15" s="1"/>
  <c r="G11" i="15"/>
  <c r="D11" i="15"/>
  <c r="H11" i="15" s="1"/>
  <c r="L10" i="15"/>
  <c r="L17" i="15" s="1"/>
  <c r="G10" i="15"/>
  <c r="D10" i="15"/>
  <c r="N9" i="15"/>
  <c r="M9" i="15"/>
  <c r="G9" i="15"/>
  <c r="D9" i="15"/>
  <c r="N8" i="15"/>
  <c r="M8" i="15"/>
  <c r="G8" i="15"/>
  <c r="D8" i="15"/>
  <c r="N7" i="15"/>
  <c r="M7" i="15"/>
  <c r="G7" i="15"/>
  <c r="D7" i="15"/>
  <c r="H12" i="15" l="1"/>
  <c r="H15" i="15"/>
  <c r="G17" i="15"/>
  <c r="H9" i="15"/>
  <c r="H10" i="15"/>
  <c r="M17" i="15"/>
  <c r="D17" i="15"/>
  <c r="H8" i="15"/>
  <c r="N10" i="15"/>
  <c r="N17" i="15" s="1"/>
  <c r="H13" i="15"/>
  <c r="H14" i="15"/>
  <c r="M11" i="15"/>
  <c r="H7" i="15"/>
  <c r="M10" i="15"/>
  <c r="G102" i="2"/>
  <c r="G99" i="2"/>
  <c r="H99" i="2" s="1"/>
  <c r="M93" i="3"/>
  <c r="O93" i="3" s="1"/>
  <c r="M91" i="3"/>
  <c r="O91" i="3" s="1"/>
  <c r="O11" i="3"/>
  <c r="O9" i="3"/>
  <c r="G98" i="2"/>
  <c r="H98" i="2" s="1"/>
  <c r="K98" i="2" s="1"/>
  <c r="H106" i="3"/>
  <c r="I62" i="2"/>
  <c r="I61" i="2"/>
  <c r="I47" i="2"/>
  <c r="M72" i="3"/>
  <c r="I15" i="3"/>
  <c r="I14" i="3" s="1"/>
  <c r="H77" i="3"/>
  <c r="H79" i="3"/>
  <c r="N97" i="3"/>
  <c r="M97" i="3" s="1"/>
  <c r="M12" i="3"/>
  <c r="O96" i="3"/>
  <c r="M88" i="3"/>
  <c r="O81" i="3"/>
  <c r="M75" i="3"/>
  <c r="O60" i="3"/>
  <c r="O55" i="3"/>
  <c r="M56" i="3"/>
  <c r="M54" i="3" s="1"/>
  <c r="M53" i="3"/>
  <c r="O53" i="3" s="1"/>
  <c r="O50" i="3"/>
  <c r="M42" i="3"/>
  <c r="M36" i="3" s="1"/>
  <c r="M31" i="3"/>
  <c r="O31" i="3" s="1"/>
  <c r="M29" i="3"/>
  <c r="M15" i="3"/>
  <c r="N15" i="3"/>
  <c r="N14" i="3" s="1"/>
  <c r="O19" i="3"/>
  <c r="O20" i="3"/>
  <c r="O21" i="3"/>
  <c r="M13" i="3"/>
  <c r="O13" i="3" s="1"/>
  <c r="I120" i="2"/>
  <c r="I112" i="2"/>
  <c r="I69" i="2"/>
  <c r="I54" i="2"/>
  <c r="I82" i="2"/>
  <c r="I81" i="2" s="1"/>
  <c r="I29" i="2"/>
  <c r="I83" i="2"/>
  <c r="K83" i="2" s="1"/>
  <c r="I102" i="2"/>
  <c r="I50" i="2"/>
  <c r="I72" i="2"/>
  <c r="I26" i="2"/>
  <c r="I56" i="2"/>
  <c r="I57" i="2"/>
  <c r="I49" i="2"/>
  <c r="I60" i="2"/>
  <c r="I53" i="2"/>
  <c r="I115" i="2"/>
  <c r="G107" i="2"/>
  <c r="G117" i="2"/>
  <c r="H117" i="2" s="1"/>
  <c r="I75" i="2"/>
  <c r="I23" i="2"/>
  <c r="I35" i="2"/>
  <c r="I30" i="2" s="1"/>
  <c r="I78" i="2"/>
  <c r="I21" i="2"/>
  <c r="I18" i="2"/>
  <c r="I28" i="2"/>
  <c r="I16" i="2"/>
  <c r="K84" i="2"/>
  <c r="K70" i="2"/>
  <c r="H56" i="3"/>
  <c r="H54" i="3" s="1"/>
  <c r="H110" i="2"/>
  <c r="K110" i="2" s="1"/>
  <c r="H7" i="3"/>
  <c r="H5" i="3" s="1"/>
  <c r="G105" i="2"/>
  <c r="H105" i="2" s="1"/>
  <c r="K105" i="2" s="1"/>
  <c r="H93" i="3"/>
  <c r="K50" i="3"/>
  <c r="L50" i="3" s="1"/>
  <c r="Q50" i="3" s="1"/>
  <c r="H31" i="3"/>
  <c r="H24" i="3" s="1"/>
  <c r="G118" i="2"/>
  <c r="H118" i="2" s="1"/>
  <c r="K118" i="2" s="1"/>
  <c r="H97" i="3"/>
  <c r="J97" i="3" s="1"/>
  <c r="H109" i="2"/>
  <c r="J109" i="2" s="1"/>
  <c r="H96" i="3"/>
  <c r="J96" i="3" s="1"/>
  <c r="L96" i="3" s="1"/>
  <c r="G97" i="2"/>
  <c r="H97" i="2" s="1"/>
  <c r="R79" i="3"/>
  <c r="R95" i="3"/>
  <c r="R73" i="3"/>
  <c r="R57" i="3" s="1"/>
  <c r="H87" i="3"/>
  <c r="G115" i="2"/>
  <c r="R37" i="3"/>
  <c r="R36" i="3" s="1"/>
  <c r="R88" i="3"/>
  <c r="R85" i="3" s="1"/>
  <c r="R54" i="3"/>
  <c r="H88" i="3"/>
  <c r="G113" i="2"/>
  <c r="N54" i="3"/>
  <c r="K55" i="3"/>
  <c r="L55" i="3" s="1"/>
  <c r="F54" i="3"/>
  <c r="E54" i="3"/>
  <c r="I54" i="3"/>
  <c r="H122" i="2"/>
  <c r="K122" i="2" s="1"/>
  <c r="G120" i="2"/>
  <c r="F120" i="2"/>
  <c r="F133" i="2" s="1"/>
  <c r="H123" i="2"/>
  <c r="K123" i="2" s="1"/>
  <c r="H116" i="2"/>
  <c r="J116" i="2" s="1"/>
  <c r="H106" i="2"/>
  <c r="H103" i="2"/>
  <c r="J103" i="2" s="1"/>
  <c r="H101" i="2"/>
  <c r="J101" i="2" s="1"/>
  <c r="H114" i="2"/>
  <c r="H107" i="2"/>
  <c r="J107" i="2" s="1"/>
  <c r="H42" i="3"/>
  <c r="J42" i="3" s="1"/>
  <c r="L42" i="3" s="1"/>
  <c r="H108" i="2"/>
  <c r="J108" i="2" s="1"/>
  <c r="F5" i="3"/>
  <c r="I5" i="3"/>
  <c r="M5" i="3"/>
  <c r="N5" i="3"/>
  <c r="R5" i="3"/>
  <c r="E6" i="3"/>
  <c r="J6" i="3" s="1"/>
  <c r="K6" i="3"/>
  <c r="O6" i="3"/>
  <c r="G7" i="3"/>
  <c r="K7" i="3"/>
  <c r="O7" i="3"/>
  <c r="F8" i="3"/>
  <c r="H8" i="3"/>
  <c r="I8" i="3"/>
  <c r="N8" i="3"/>
  <c r="R8" i="3"/>
  <c r="G9" i="3"/>
  <c r="S9" i="3" s="1"/>
  <c r="J9" i="3"/>
  <c r="K9" i="3"/>
  <c r="E10" i="3"/>
  <c r="E8" i="3" s="1"/>
  <c r="O10" i="3"/>
  <c r="G11" i="3"/>
  <c r="S11" i="3" s="1"/>
  <c r="J11" i="3"/>
  <c r="K11" i="3"/>
  <c r="G12" i="3"/>
  <c r="S12" i="3" s="1"/>
  <c r="J12" i="3"/>
  <c r="L12" i="3" s="1"/>
  <c r="G13" i="3"/>
  <c r="S13" i="3" s="1"/>
  <c r="J13" i="3"/>
  <c r="K13" i="3"/>
  <c r="E14" i="3"/>
  <c r="H14" i="3"/>
  <c r="R14" i="3"/>
  <c r="F15" i="3"/>
  <c r="G15" i="3" s="1"/>
  <c r="S15" i="3" s="1"/>
  <c r="J15" i="3"/>
  <c r="F17" i="3"/>
  <c r="K17" i="3" s="1"/>
  <c r="J17" i="3"/>
  <c r="O17" i="3"/>
  <c r="G19" i="3"/>
  <c r="J19" i="3"/>
  <c r="K19" i="3"/>
  <c r="G16" i="3"/>
  <c r="J16" i="3"/>
  <c r="K16" i="3"/>
  <c r="O16" i="3"/>
  <c r="G18" i="3"/>
  <c r="S18" i="3" s="1"/>
  <c r="J18" i="3"/>
  <c r="K18" i="3"/>
  <c r="O18" i="3"/>
  <c r="G21" i="3"/>
  <c r="J21" i="3"/>
  <c r="K21" i="3"/>
  <c r="G20" i="3"/>
  <c r="S20" i="3" s="1"/>
  <c r="J20" i="3"/>
  <c r="K20" i="3"/>
  <c r="G22" i="3"/>
  <c r="S22" i="3" s="1"/>
  <c r="J22" i="3"/>
  <c r="K22" i="3"/>
  <c r="O22" i="3"/>
  <c r="G23" i="3"/>
  <c r="S23" i="3" s="1"/>
  <c r="J23" i="3"/>
  <c r="K23" i="3"/>
  <c r="O23" i="3"/>
  <c r="F24" i="3"/>
  <c r="I24" i="3"/>
  <c r="N24" i="3"/>
  <c r="R24" i="3"/>
  <c r="E25" i="3"/>
  <c r="G25" i="3" s="1"/>
  <c r="S25" i="3" s="1"/>
  <c r="O25" i="3"/>
  <c r="G26" i="3"/>
  <c r="S26" i="3" s="1"/>
  <c r="J26" i="3"/>
  <c r="L26" i="3" s="1"/>
  <c r="O26" i="3"/>
  <c r="E27" i="3"/>
  <c r="J27" i="3" s="1"/>
  <c r="L27" i="3" s="1"/>
  <c r="O27" i="3"/>
  <c r="G28" i="3"/>
  <c r="S28" i="3" s="1"/>
  <c r="J28" i="3"/>
  <c r="L28" i="3" s="1"/>
  <c r="O28" i="3"/>
  <c r="E29" i="3"/>
  <c r="J29" i="3" s="1"/>
  <c r="L29" i="3" s="1"/>
  <c r="G30" i="3"/>
  <c r="J30" i="3"/>
  <c r="L30" i="3" s="1"/>
  <c r="O30" i="3"/>
  <c r="G31" i="3"/>
  <c r="S31" i="3" s="1"/>
  <c r="J31" i="3"/>
  <c r="L31" i="3" s="1"/>
  <c r="G32" i="3"/>
  <c r="S32" i="3" s="1"/>
  <c r="J32" i="3"/>
  <c r="L32" i="3" s="1"/>
  <c r="O32" i="3"/>
  <c r="G33" i="3"/>
  <c r="S33" i="3" s="1"/>
  <c r="J33" i="3"/>
  <c r="L33" i="3" s="1"/>
  <c r="K33" i="3"/>
  <c r="K24" i="3" s="1"/>
  <c r="O33" i="3"/>
  <c r="G34" i="3"/>
  <c r="S34" i="3"/>
  <c r="J34" i="3"/>
  <c r="L34" i="3" s="1"/>
  <c r="O34" i="3"/>
  <c r="G35" i="3"/>
  <c r="S35" i="3" s="1"/>
  <c r="J35" i="3"/>
  <c r="L35" i="3" s="1"/>
  <c r="O35" i="3"/>
  <c r="F36" i="3"/>
  <c r="I36" i="3"/>
  <c r="K36" i="3"/>
  <c r="N36" i="3"/>
  <c r="E37" i="3"/>
  <c r="G37" i="3" s="1"/>
  <c r="O37" i="3"/>
  <c r="G38" i="3"/>
  <c r="S38" i="3" s="1"/>
  <c r="J38" i="3"/>
  <c r="L38" i="3" s="1"/>
  <c r="O38" i="3"/>
  <c r="G39" i="3"/>
  <c r="S39" i="3" s="1"/>
  <c r="J39" i="3"/>
  <c r="L39" i="3" s="1"/>
  <c r="O39" i="3"/>
  <c r="G40" i="3"/>
  <c r="S40" i="3" s="1"/>
  <c r="J40" i="3"/>
  <c r="L40" i="3" s="1"/>
  <c r="O40" i="3"/>
  <c r="E41" i="3"/>
  <c r="J41" i="3" s="1"/>
  <c r="L41" i="3" s="1"/>
  <c r="O41" i="3"/>
  <c r="G42" i="3"/>
  <c r="S42" i="3" s="1"/>
  <c r="G43" i="3"/>
  <c r="S43" i="3" s="1"/>
  <c r="J43" i="3"/>
  <c r="L43" i="3" s="1"/>
  <c r="O43" i="3"/>
  <c r="G44" i="3"/>
  <c r="S44" i="3" s="1"/>
  <c r="J44" i="3"/>
  <c r="L44" i="3" s="1"/>
  <c r="O44" i="3"/>
  <c r="E45" i="3"/>
  <c r="H45" i="3"/>
  <c r="I45" i="3"/>
  <c r="N45" i="3"/>
  <c r="R45" i="3"/>
  <c r="G46" i="3"/>
  <c r="S46" i="3" s="1"/>
  <c r="J46" i="3"/>
  <c r="K46" i="3"/>
  <c r="O46" i="3"/>
  <c r="G47" i="3"/>
  <c r="S47" i="3" s="1"/>
  <c r="J47" i="3"/>
  <c r="K47" i="3"/>
  <c r="O47" i="3"/>
  <c r="G48" i="3"/>
  <c r="S48" i="3" s="1"/>
  <c r="J48" i="3"/>
  <c r="K48" i="3"/>
  <c r="O48" i="3"/>
  <c r="F49" i="3"/>
  <c r="K49" i="3" s="1"/>
  <c r="J49" i="3"/>
  <c r="O49" i="3"/>
  <c r="F51" i="3"/>
  <c r="K51" i="3" s="1"/>
  <c r="J51" i="3"/>
  <c r="O51" i="3"/>
  <c r="G52" i="3"/>
  <c r="S52" i="3" s="1"/>
  <c r="J52" i="3"/>
  <c r="L52" i="3" s="1"/>
  <c r="O52" i="3"/>
  <c r="G53" i="3"/>
  <c r="S53" i="3" s="1"/>
  <c r="J53" i="3"/>
  <c r="L53" i="3" s="1"/>
  <c r="G56" i="3"/>
  <c r="G54" i="3" s="1"/>
  <c r="K56" i="3"/>
  <c r="O56" i="3"/>
  <c r="O54" i="3" s="1"/>
  <c r="F57" i="3"/>
  <c r="H57" i="3"/>
  <c r="I57" i="3"/>
  <c r="N57" i="3"/>
  <c r="G58" i="3"/>
  <c r="S58" i="3" s="1"/>
  <c r="J58" i="3"/>
  <c r="L58" i="3" s="1"/>
  <c r="O58" i="3"/>
  <c r="G59" i="3"/>
  <c r="S59" i="3" s="1"/>
  <c r="J59" i="3"/>
  <c r="L59" i="3" s="1"/>
  <c r="O59" i="3"/>
  <c r="G60" i="3"/>
  <c r="S60" i="3" s="1"/>
  <c r="J60" i="3"/>
  <c r="L60" i="3" s="1"/>
  <c r="G61" i="3"/>
  <c r="S61" i="3" s="1"/>
  <c r="J61" i="3"/>
  <c r="K61" i="3"/>
  <c r="O61" i="3"/>
  <c r="E64" i="3"/>
  <c r="G64" i="3" s="1"/>
  <c r="S64" i="3" s="1"/>
  <c r="O64" i="3"/>
  <c r="G65" i="3"/>
  <c r="S65" i="3" s="1"/>
  <c r="J65" i="3"/>
  <c r="L65" i="3" s="1"/>
  <c r="O65" i="3"/>
  <c r="G62" i="3"/>
  <c r="S62" i="3" s="1"/>
  <c r="J62" i="3"/>
  <c r="L62" i="3" s="1"/>
  <c r="O62" i="3"/>
  <c r="G63" i="3"/>
  <c r="S63" i="3" s="1"/>
  <c r="J63" i="3"/>
  <c r="L63" i="3" s="1"/>
  <c r="P63" i="3" s="1"/>
  <c r="O63" i="3"/>
  <c r="G66" i="3"/>
  <c r="S66" i="3" s="1"/>
  <c r="J66" i="3"/>
  <c r="L66" i="3" s="1"/>
  <c r="O66" i="3"/>
  <c r="G67" i="3"/>
  <c r="S67" i="3" s="1"/>
  <c r="J67" i="3"/>
  <c r="K67" i="3"/>
  <c r="O67" i="3"/>
  <c r="G68" i="3"/>
  <c r="S68" i="3" s="1"/>
  <c r="J68" i="3"/>
  <c r="L68" i="3" s="1"/>
  <c r="O68" i="3"/>
  <c r="G69" i="3"/>
  <c r="S69" i="3" s="1"/>
  <c r="J69" i="3"/>
  <c r="L69" i="3" s="1"/>
  <c r="O69" i="3"/>
  <c r="G70" i="3"/>
  <c r="S70" i="3" s="1"/>
  <c r="J70" i="3"/>
  <c r="L70" i="3" s="1"/>
  <c r="O70" i="3"/>
  <c r="G71" i="3"/>
  <c r="S71" i="3" s="1"/>
  <c r="J71" i="3"/>
  <c r="L71" i="3" s="1"/>
  <c r="O71" i="3"/>
  <c r="G72" i="3"/>
  <c r="S72" i="3" s="1"/>
  <c r="J72" i="3"/>
  <c r="L72" i="3" s="1"/>
  <c r="O72" i="3"/>
  <c r="E73" i="3"/>
  <c r="G73" i="3" s="1"/>
  <c r="O73" i="3"/>
  <c r="E74" i="3"/>
  <c r="J74" i="3" s="1"/>
  <c r="O74" i="3"/>
  <c r="G75" i="3"/>
  <c r="S75" i="3" s="1"/>
  <c r="J75" i="3"/>
  <c r="L75" i="3" s="1"/>
  <c r="F76" i="3"/>
  <c r="I76" i="3"/>
  <c r="M76" i="3"/>
  <c r="N76" i="3"/>
  <c r="R76" i="3"/>
  <c r="E77" i="3"/>
  <c r="J77" i="3" s="1"/>
  <c r="O77" i="3"/>
  <c r="E78" i="3"/>
  <c r="J78" i="3" s="1"/>
  <c r="L78" i="3" s="1"/>
  <c r="O78" i="3"/>
  <c r="G83" i="3"/>
  <c r="J83" i="3"/>
  <c r="L83" i="3" s="1"/>
  <c r="O83" i="3"/>
  <c r="E79" i="3"/>
  <c r="O79" i="3"/>
  <c r="G80" i="3"/>
  <c r="S80" i="3" s="1"/>
  <c r="J80" i="3"/>
  <c r="L80" i="3" s="1"/>
  <c r="O80" i="3"/>
  <c r="G82" i="3"/>
  <c r="S82" i="3" s="1"/>
  <c r="J82" i="3"/>
  <c r="K82" i="3"/>
  <c r="O82" i="3"/>
  <c r="G81" i="3"/>
  <c r="J81" i="3"/>
  <c r="K81" i="3"/>
  <c r="K76" i="3" s="1"/>
  <c r="G84" i="3"/>
  <c r="S84" i="3" s="1"/>
  <c r="J84" i="3"/>
  <c r="L84" i="3" s="1"/>
  <c r="O84" i="3"/>
  <c r="F85" i="3"/>
  <c r="H85" i="3"/>
  <c r="I85" i="3"/>
  <c r="M85" i="3"/>
  <c r="N85" i="3"/>
  <c r="G86" i="3"/>
  <c r="S86" i="3" s="1"/>
  <c r="J86" i="3"/>
  <c r="L86" i="3" s="1"/>
  <c r="O86" i="3"/>
  <c r="E87" i="3"/>
  <c r="G87" i="3" s="1"/>
  <c r="S87" i="3" s="1"/>
  <c r="K87" i="3"/>
  <c r="K85" i="3" s="1"/>
  <c r="O87" i="3"/>
  <c r="E88" i="3"/>
  <c r="G88" i="3" s="1"/>
  <c r="O88" i="3"/>
  <c r="H89" i="3"/>
  <c r="I89" i="3"/>
  <c r="N89" i="3"/>
  <c r="E90" i="3"/>
  <c r="J90" i="3" s="1"/>
  <c r="K90" i="3"/>
  <c r="O90" i="3"/>
  <c r="E91" i="3"/>
  <c r="G91" i="3" s="1"/>
  <c r="K91" i="3"/>
  <c r="R91" i="3"/>
  <c r="G92" i="3"/>
  <c r="S92" i="3" s="1"/>
  <c r="J92" i="3"/>
  <c r="K92" i="3"/>
  <c r="O92" i="3"/>
  <c r="F93" i="3"/>
  <c r="G93" i="3" s="1"/>
  <c r="S93" i="3" s="1"/>
  <c r="J93" i="3"/>
  <c r="H94" i="3"/>
  <c r="I94" i="3"/>
  <c r="E95" i="3"/>
  <c r="G95" i="3" s="1"/>
  <c r="O95" i="3"/>
  <c r="G98" i="3"/>
  <c r="S98" i="3" s="1"/>
  <c r="J98" i="3"/>
  <c r="K98" i="3"/>
  <c r="O98" i="3"/>
  <c r="G99" i="3"/>
  <c r="S99" i="3" s="1"/>
  <c r="J99" i="3"/>
  <c r="K99" i="3"/>
  <c r="O99" i="3"/>
  <c r="H100" i="3"/>
  <c r="I100" i="3"/>
  <c r="M100" i="3"/>
  <c r="N100" i="3"/>
  <c r="R100" i="3"/>
  <c r="G101" i="3"/>
  <c r="S101" i="3" s="1"/>
  <c r="J101" i="3"/>
  <c r="L101" i="3" s="1"/>
  <c r="O101" i="3"/>
  <c r="G102" i="3"/>
  <c r="S102" i="3" s="1"/>
  <c r="J102" i="3"/>
  <c r="L102" i="3" s="1"/>
  <c r="O102" i="3"/>
  <c r="G103" i="3"/>
  <c r="S103" i="3" s="1"/>
  <c r="J103" i="3"/>
  <c r="L103" i="3" s="1"/>
  <c r="O103" i="3"/>
  <c r="G104" i="3"/>
  <c r="S104" i="3" s="1"/>
  <c r="J104" i="3"/>
  <c r="L104" i="3" s="1"/>
  <c r="O104" i="3"/>
  <c r="G105" i="3"/>
  <c r="S105" i="3" s="1"/>
  <c r="J105" i="3"/>
  <c r="L105" i="3" s="1"/>
  <c r="O105" i="3"/>
  <c r="E106" i="3"/>
  <c r="F106" i="3"/>
  <c r="F100" i="3" s="1"/>
  <c r="O106" i="3"/>
  <c r="F5" i="2"/>
  <c r="G5" i="2"/>
  <c r="I5" i="2"/>
  <c r="H6" i="2"/>
  <c r="K6" i="2" s="1"/>
  <c r="H7" i="2"/>
  <c r="K7" i="2" s="1"/>
  <c r="H8" i="2"/>
  <c r="K8" i="2" s="1"/>
  <c r="H9" i="2"/>
  <c r="K9" i="2" s="1"/>
  <c r="H10" i="2"/>
  <c r="K10" i="2" s="1"/>
  <c r="H11" i="2"/>
  <c r="K11" i="2" s="1"/>
  <c r="H12" i="2"/>
  <c r="K12" i="2" s="1"/>
  <c r="H13" i="2"/>
  <c r="K13" i="2" s="1"/>
  <c r="G15" i="2"/>
  <c r="H16" i="2"/>
  <c r="F17" i="2"/>
  <c r="H17" i="2"/>
  <c r="K17" i="2" s="1"/>
  <c r="F18" i="2"/>
  <c r="H18" i="2" s="1"/>
  <c r="H19" i="2"/>
  <c r="K19" i="2" s="1"/>
  <c r="H20" i="2"/>
  <c r="K20" i="2" s="1"/>
  <c r="H21" i="2"/>
  <c r="K21" i="2" s="1"/>
  <c r="H22" i="2"/>
  <c r="K22" i="2" s="1"/>
  <c r="F23" i="2"/>
  <c r="H23" i="2" s="1"/>
  <c r="H24" i="2"/>
  <c r="K24" i="2" s="1"/>
  <c r="H25" i="2"/>
  <c r="K25" i="2" s="1"/>
  <c r="H26" i="2"/>
  <c r="F27" i="2"/>
  <c r="G27" i="2"/>
  <c r="I27" i="2"/>
  <c r="H28" i="2"/>
  <c r="H29" i="2"/>
  <c r="F30" i="2"/>
  <c r="G30" i="2"/>
  <c r="H31" i="2"/>
  <c r="K31" i="2" s="1"/>
  <c r="H32" i="2"/>
  <c r="K32" i="2" s="1"/>
  <c r="H33" i="2"/>
  <c r="K33" i="2" s="1"/>
  <c r="H34" i="2"/>
  <c r="H35" i="2"/>
  <c r="F36" i="2"/>
  <c r="G36" i="2"/>
  <c r="I36" i="2"/>
  <c r="H37" i="2"/>
  <c r="K37" i="2" s="1"/>
  <c r="K36" i="2" s="1"/>
  <c r="G41" i="2"/>
  <c r="I41" i="2"/>
  <c r="H42" i="2"/>
  <c r="K42" i="2" s="1"/>
  <c r="H43" i="2"/>
  <c r="K43" i="2" s="1"/>
  <c r="H44" i="2"/>
  <c r="H45" i="2"/>
  <c r="H46" i="2"/>
  <c r="K46" i="2" s="1"/>
  <c r="H47" i="2"/>
  <c r="K47" i="2" s="1"/>
  <c r="H48" i="2"/>
  <c r="K48" i="2" s="1"/>
  <c r="H49" i="2"/>
  <c r="K49" i="2" s="1"/>
  <c r="H50" i="2"/>
  <c r="H51" i="2"/>
  <c r="K51" i="2" s="1"/>
  <c r="H52" i="2"/>
  <c r="F53" i="2"/>
  <c r="H53" i="2" s="1"/>
  <c r="F54" i="2"/>
  <c r="H55" i="2"/>
  <c r="K55" i="2" s="1"/>
  <c r="H56" i="2"/>
  <c r="J56" i="2" s="1"/>
  <c r="F57" i="2"/>
  <c r="H57" i="2" s="1"/>
  <c r="G58" i="2"/>
  <c r="I58" i="2"/>
  <c r="H59" i="2"/>
  <c r="F60" i="2"/>
  <c r="H60" i="2" s="1"/>
  <c r="J60" i="2" s="1"/>
  <c r="H61" i="2"/>
  <c r="J61" i="2" s="1"/>
  <c r="H62" i="2"/>
  <c r="K62" i="2" s="1"/>
  <c r="H63" i="2"/>
  <c r="K63" i="2" s="1"/>
  <c r="F64" i="2"/>
  <c r="H64" i="2" s="1"/>
  <c r="J64" i="2" s="1"/>
  <c r="H65" i="2"/>
  <c r="J65" i="2" s="1"/>
  <c r="H66" i="2"/>
  <c r="K66" i="2" s="1"/>
  <c r="H67" i="2"/>
  <c r="K67" i="2" s="1"/>
  <c r="F68" i="2"/>
  <c r="G68" i="2"/>
  <c r="H69" i="2"/>
  <c r="J69" i="2" s="1"/>
  <c r="H71" i="2"/>
  <c r="H72" i="2"/>
  <c r="K72" i="2" s="1"/>
  <c r="G73" i="2"/>
  <c r="I73" i="2"/>
  <c r="H74" i="2"/>
  <c r="F75" i="2"/>
  <c r="F73" i="2" s="1"/>
  <c r="H76" i="2"/>
  <c r="K76" i="2" s="1"/>
  <c r="H77" i="2"/>
  <c r="K77" i="2" s="1"/>
  <c r="H78" i="2"/>
  <c r="H79" i="2"/>
  <c r="K79" i="2" s="1"/>
  <c r="H80" i="2"/>
  <c r="J80" i="2" s="1"/>
  <c r="F81" i="2"/>
  <c r="G81" i="2"/>
  <c r="H82" i="2"/>
  <c r="H81" i="2" s="1"/>
  <c r="F85" i="2"/>
  <c r="I85" i="2"/>
  <c r="H86" i="2"/>
  <c r="K86" i="2" s="1"/>
  <c r="K85" i="2" s="1"/>
  <c r="H90" i="2"/>
  <c r="K90" i="2" s="1"/>
  <c r="H91" i="2"/>
  <c r="K91" i="2" s="1"/>
  <c r="H92" i="2"/>
  <c r="J92" i="2" s="1"/>
  <c r="F93" i="2"/>
  <c r="F132" i="2" s="1"/>
  <c r="C9" i="1" s="1"/>
  <c r="G93" i="2"/>
  <c r="G132" i="2" s="1"/>
  <c r="D9" i="1" s="1"/>
  <c r="I93" i="2"/>
  <c r="I132" i="2" s="1"/>
  <c r="G9" i="1" s="1"/>
  <c r="H96" i="2"/>
  <c r="K96" i="2" s="1"/>
  <c r="H104" i="2"/>
  <c r="H115" i="2"/>
  <c r="H102" i="2"/>
  <c r="K102" i="2" s="1"/>
  <c r="H113" i="2"/>
  <c r="H100" i="2"/>
  <c r="K100" i="2" s="1"/>
  <c r="F111" i="2"/>
  <c r="H111" i="2"/>
  <c r="H112" i="2"/>
  <c r="H119" i="2"/>
  <c r="K119" i="2" s="1"/>
  <c r="I133" i="2"/>
  <c r="H121" i="2"/>
  <c r="H120" i="2" s="1"/>
  <c r="G133" i="2"/>
  <c r="E19" i="1"/>
  <c r="E20" i="1"/>
  <c r="E21" i="1"/>
  <c r="H21" i="1" s="1"/>
  <c r="F45" i="3"/>
  <c r="J25" i="3"/>
  <c r="J24" i="3" s="1"/>
  <c r="G6" i="3"/>
  <c r="E5" i="3"/>
  <c r="F14" i="3"/>
  <c r="O5" i="3"/>
  <c r="K5" i="3"/>
  <c r="J13" i="2"/>
  <c r="J19" i="2"/>
  <c r="J6" i="2"/>
  <c r="J8" i="2"/>
  <c r="G51" i="3"/>
  <c r="S51" i="3" s="1"/>
  <c r="J7" i="2"/>
  <c r="J16" i="2"/>
  <c r="J46" i="2"/>
  <c r="J44" i="2"/>
  <c r="J43" i="2"/>
  <c r="J10" i="2"/>
  <c r="L82" i="3"/>
  <c r="S16" i="3"/>
  <c r="G17" i="3"/>
  <c r="S17" i="3" s="1"/>
  <c r="S30" i="3"/>
  <c r="L51" i="3"/>
  <c r="G41" i="3"/>
  <c r="S41" i="3" s="1"/>
  <c r="K54" i="3"/>
  <c r="L18" i="3"/>
  <c r="P18" i="3" s="1"/>
  <c r="L17" i="3"/>
  <c r="P17" i="3" s="1"/>
  <c r="P26" i="3"/>
  <c r="P28" i="3"/>
  <c r="P40" i="3"/>
  <c r="P43" i="3"/>
  <c r="P30" i="3"/>
  <c r="P27" i="3"/>
  <c r="K5" i="2"/>
  <c r="K107" i="2"/>
  <c r="O97" i="3"/>
  <c r="M94" i="3"/>
  <c r="O15" i="3"/>
  <c r="M14" i="3"/>
  <c r="J110" i="2"/>
  <c r="R90" i="3"/>
  <c r="R89" i="3" s="1"/>
  <c r="G77" i="3"/>
  <c r="S77" i="3" s="1"/>
  <c r="K93" i="3"/>
  <c r="L93" i="3" s="1"/>
  <c r="K97" i="3"/>
  <c r="K94" i="3" s="1"/>
  <c r="G97" i="3"/>
  <c r="F94" i="3"/>
  <c r="R97" i="3"/>
  <c r="R94" i="3"/>
  <c r="H17" i="15" l="1"/>
  <c r="J79" i="2"/>
  <c r="J76" i="2"/>
  <c r="J55" i="2"/>
  <c r="J52" i="2"/>
  <c r="P35" i="3"/>
  <c r="L23" i="3"/>
  <c r="L22" i="3"/>
  <c r="L13" i="3"/>
  <c r="K8" i="3"/>
  <c r="I68" i="2"/>
  <c r="G27" i="3"/>
  <c r="S27" i="3" s="1"/>
  <c r="G29" i="3"/>
  <c r="S29" i="3" s="1"/>
  <c r="P103" i="3"/>
  <c r="N94" i="3"/>
  <c r="M89" i="3"/>
  <c r="J73" i="3"/>
  <c r="P69" i="3"/>
  <c r="P62" i="3"/>
  <c r="L99" i="3"/>
  <c r="G74" i="3"/>
  <c r="S74" i="3" s="1"/>
  <c r="S37" i="3"/>
  <c r="H36" i="3"/>
  <c r="Q55" i="3"/>
  <c r="O85" i="3"/>
  <c r="K106" i="3"/>
  <c r="K100" i="3" s="1"/>
  <c r="E94" i="3"/>
  <c r="P101" i="3"/>
  <c r="K57" i="3"/>
  <c r="L47" i="3"/>
  <c r="Q47" i="3" s="1"/>
  <c r="L46" i="3"/>
  <c r="Q46" i="3" s="1"/>
  <c r="E85" i="3"/>
  <c r="E57" i="3"/>
  <c r="K15" i="3"/>
  <c r="K14" i="3" s="1"/>
  <c r="H76" i="3"/>
  <c r="G57" i="3"/>
  <c r="O45" i="3"/>
  <c r="O94" i="3"/>
  <c r="M57" i="3"/>
  <c r="O89" i="3"/>
  <c r="Q17" i="3"/>
  <c r="S91" i="3"/>
  <c r="P68" i="3"/>
  <c r="J64" i="3"/>
  <c r="L64" i="3" s="1"/>
  <c r="J56" i="3"/>
  <c r="J54" i="3" s="1"/>
  <c r="O42" i="3"/>
  <c r="O36" i="3" s="1"/>
  <c r="P39" i="3"/>
  <c r="P34" i="3"/>
  <c r="P33" i="3"/>
  <c r="L21" i="3"/>
  <c r="P21" i="3" s="1"/>
  <c r="J14" i="3"/>
  <c r="G106" i="3"/>
  <c r="S106" i="3" s="1"/>
  <c r="Q96" i="3"/>
  <c r="P96" i="3"/>
  <c r="Q59" i="3"/>
  <c r="P59" i="3"/>
  <c r="P46" i="3"/>
  <c r="G78" i="3"/>
  <c r="S78" i="3" s="1"/>
  <c r="E100" i="3"/>
  <c r="S73" i="3"/>
  <c r="O75" i="3"/>
  <c r="O57" i="3" s="1"/>
  <c r="L48" i="3"/>
  <c r="Q48" i="3" s="1"/>
  <c r="M45" i="3"/>
  <c r="L20" i="3"/>
  <c r="P42" i="3"/>
  <c r="J88" i="3"/>
  <c r="L88" i="3" s="1"/>
  <c r="Q88" i="3" s="1"/>
  <c r="G5" i="3"/>
  <c r="S5" i="3" s="1"/>
  <c r="M8" i="3"/>
  <c r="G36" i="3"/>
  <c r="S36" i="3" s="1"/>
  <c r="G10" i="3"/>
  <c r="S10" i="3" s="1"/>
  <c r="J79" i="3"/>
  <c r="L79" i="3" s="1"/>
  <c r="Q79" i="3" s="1"/>
  <c r="J7" i="3"/>
  <c r="L7" i="3" s="1"/>
  <c r="P7" i="3" s="1"/>
  <c r="K26" i="2"/>
  <c r="J9" i="2"/>
  <c r="J22" i="2"/>
  <c r="J96" i="2"/>
  <c r="J29" i="2"/>
  <c r="J23" i="2"/>
  <c r="H85" i="2"/>
  <c r="J48" i="2"/>
  <c r="K35" i="2"/>
  <c r="K28" i="2"/>
  <c r="J26" i="2"/>
  <c r="I15" i="2"/>
  <c r="I38" i="2" s="1"/>
  <c r="I128" i="2" s="1"/>
  <c r="G7" i="1" s="1"/>
  <c r="J25" i="2"/>
  <c r="H68" i="2"/>
  <c r="J68" i="2" s="1"/>
  <c r="J100" i="2"/>
  <c r="K99" i="2"/>
  <c r="J99" i="2"/>
  <c r="K69" i="2"/>
  <c r="J20" i="2"/>
  <c r="J17" i="2"/>
  <c r="G95" i="2"/>
  <c r="J78" i="2"/>
  <c r="J32" i="2"/>
  <c r="J11" i="2"/>
  <c r="K109" i="2"/>
  <c r="J53" i="2"/>
  <c r="J18" i="2"/>
  <c r="H15" i="2"/>
  <c r="J117" i="2"/>
  <c r="K117" i="2"/>
  <c r="H95" i="2"/>
  <c r="K115" i="2"/>
  <c r="J63" i="2"/>
  <c r="J24" i="2"/>
  <c r="H5" i="2"/>
  <c r="J5" i="2" s="1"/>
  <c r="F95" i="2"/>
  <c r="I87" i="2"/>
  <c r="I129" i="2" s="1"/>
  <c r="J42" i="2"/>
  <c r="J37" i="2"/>
  <c r="J33" i="2"/>
  <c r="J31" i="2"/>
  <c r="J115" i="2"/>
  <c r="K50" i="2"/>
  <c r="K29" i="2"/>
  <c r="K27" i="2" s="1"/>
  <c r="I111" i="2"/>
  <c r="I95" i="2" s="1"/>
  <c r="J77" i="2"/>
  <c r="H75" i="2"/>
  <c r="J67" i="2"/>
  <c r="J51" i="2"/>
  <c r="J35" i="2"/>
  <c r="J21" i="2"/>
  <c r="J12" i="2"/>
  <c r="K16" i="2"/>
  <c r="K53" i="2"/>
  <c r="K56" i="2"/>
  <c r="J47" i="2"/>
  <c r="F15" i="2"/>
  <c r="G87" i="2"/>
  <c r="G129" i="2" s="1"/>
  <c r="G38" i="2"/>
  <c r="G128" i="2" s="1"/>
  <c r="D7" i="1" s="1"/>
  <c r="K18" i="2"/>
  <c r="K23" i="2"/>
  <c r="J120" i="2"/>
  <c r="H133" i="2"/>
  <c r="J133" i="2" s="1"/>
  <c r="J113" i="2"/>
  <c r="K113" i="2"/>
  <c r="J104" i="2"/>
  <c r="K104" i="2"/>
  <c r="K71" i="2"/>
  <c r="J71" i="2"/>
  <c r="F41" i="2"/>
  <c r="K78" i="2"/>
  <c r="J102" i="2"/>
  <c r="J57" i="2"/>
  <c r="H93" i="2"/>
  <c r="J111" i="2"/>
  <c r="J91" i="2"/>
  <c r="K74" i="2"/>
  <c r="J74" i="2"/>
  <c r="J62" i="2"/>
  <c r="K60" i="2"/>
  <c r="K64" i="2"/>
  <c r="E9" i="1"/>
  <c r="I9" i="1" s="1"/>
  <c r="K121" i="2"/>
  <c r="K120" i="2" s="1"/>
  <c r="K133" i="2" s="1"/>
  <c r="K92" i="2"/>
  <c r="K93" i="2" s="1"/>
  <c r="K132" i="2" s="1"/>
  <c r="J90" i="2"/>
  <c r="J72" i="2"/>
  <c r="J66" i="2"/>
  <c r="K65" i="2"/>
  <c r="F58" i="2"/>
  <c r="K112" i="2"/>
  <c r="K80" i="2"/>
  <c r="K59" i="2"/>
  <c r="H58" i="2"/>
  <c r="J58" i="2" s="1"/>
  <c r="J59" i="2"/>
  <c r="K97" i="2"/>
  <c r="J97" i="2"/>
  <c r="K57" i="2"/>
  <c r="K61" i="2"/>
  <c r="H54" i="2"/>
  <c r="K54" i="2" s="1"/>
  <c r="J50" i="2"/>
  <c r="J49" i="2"/>
  <c r="J45" i="2"/>
  <c r="H36" i="2"/>
  <c r="J36" i="2" s="1"/>
  <c r="J34" i="2"/>
  <c r="K34" i="2"/>
  <c r="K30" i="2" s="1"/>
  <c r="K44" i="2"/>
  <c r="K101" i="2"/>
  <c r="K106" i="2"/>
  <c r="K114" i="2"/>
  <c r="J118" i="2"/>
  <c r="J112" i="2"/>
  <c r="J106" i="2"/>
  <c r="J122" i="2"/>
  <c r="K82" i="2"/>
  <c r="K81" i="2" s="1"/>
  <c r="H30" i="2"/>
  <c r="J30" i="2" s="1"/>
  <c r="K45" i="2"/>
  <c r="K52" i="2"/>
  <c r="K103" i="2"/>
  <c r="K108" i="2"/>
  <c r="K116" i="2"/>
  <c r="J105" i="2"/>
  <c r="J123" i="2"/>
  <c r="J114" i="2"/>
  <c r="H27" i="2"/>
  <c r="R107" i="3"/>
  <c r="E76" i="3"/>
  <c r="L67" i="3"/>
  <c r="Q67" i="3" s="1"/>
  <c r="L16" i="3"/>
  <c r="L19" i="3"/>
  <c r="Q19" i="3" s="1"/>
  <c r="L61" i="3"/>
  <c r="P61" i="3" s="1"/>
  <c r="H107" i="3"/>
  <c r="D12" i="1" s="1"/>
  <c r="P44" i="3"/>
  <c r="G85" i="3"/>
  <c r="S85" i="3" s="1"/>
  <c r="Q63" i="3"/>
  <c r="P99" i="3"/>
  <c r="Q99" i="3"/>
  <c r="Q84" i="3"/>
  <c r="P58" i="3"/>
  <c r="Q58" i="3"/>
  <c r="P105" i="3"/>
  <c r="P32" i="3"/>
  <c r="P65" i="3"/>
  <c r="Q65" i="3"/>
  <c r="Q60" i="3"/>
  <c r="P60" i="3"/>
  <c r="K45" i="3"/>
  <c r="L49" i="3"/>
  <c r="Q49" i="3" s="1"/>
  <c r="Q13" i="3"/>
  <c r="P13" i="3"/>
  <c r="G49" i="3"/>
  <c r="G45" i="3" s="1"/>
  <c r="S45" i="3" s="1"/>
  <c r="E36" i="3"/>
  <c r="J10" i="3"/>
  <c r="L10" i="3" s="1"/>
  <c r="Q10" i="3" s="1"/>
  <c r="J87" i="3"/>
  <c r="L87" i="3" s="1"/>
  <c r="J95" i="3"/>
  <c r="L95" i="3" s="1"/>
  <c r="P95" i="3" s="1"/>
  <c r="Q62" i="3"/>
  <c r="O12" i="3"/>
  <c r="Q12" i="3" s="1"/>
  <c r="F89" i="3"/>
  <c r="F107" i="3" s="1"/>
  <c r="C13" i="1" s="1"/>
  <c r="P84" i="3"/>
  <c r="Q32" i="3"/>
  <c r="L74" i="3"/>
  <c r="P38" i="3"/>
  <c r="P31" i="3"/>
  <c r="Q52" i="3"/>
  <c r="P52" i="3"/>
  <c r="G94" i="3"/>
  <c r="S94" i="3" s="1"/>
  <c r="S95" i="3"/>
  <c r="Q23" i="3"/>
  <c r="P23" i="3"/>
  <c r="K89" i="3"/>
  <c r="Q18" i="3"/>
  <c r="P82" i="3"/>
  <c r="J106" i="3"/>
  <c r="Q72" i="3"/>
  <c r="Q66" i="3"/>
  <c r="P53" i="3"/>
  <c r="Q43" i="3"/>
  <c r="Q31" i="3"/>
  <c r="Q27" i="3"/>
  <c r="M24" i="3"/>
  <c r="M107" i="3" s="1"/>
  <c r="G12" i="1" s="1"/>
  <c r="P79" i="3"/>
  <c r="P70" i="3"/>
  <c r="Q26" i="3"/>
  <c r="J45" i="3"/>
  <c r="Q103" i="3"/>
  <c r="L11" i="3"/>
  <c r="L9" i="3"/>
  <c r="Q104" i="3"/>
  <c r="P104" i="3"/>
  <c r="L77" i="3"/>
  <c r="P93" i="3"/>
  <c r="Q93" i="3"/>
  <c r="Q71" i="3"/>
  <c r="P71" i="3"/>
  <c r="Q51" i="3"/>
  <c r="L25" i="3"/>
  <c r="Q22" i="3"/>
  <c r="Q82" i="3"/>
  <c r="S57" i="3"/>
  <c r="P66" i="3"/>
  <c r="P72" i="3"/>
  <c r="J91" i="3"/>
  <c r="G79" i="3"/>
  <c r="S79" i="3" s="1"/>
  <c r="L73" i="3"/>
  <c r="P73" i="3" s="1"/>
  <c r="S6" i="3"/>
  <c r="L98" i="3"/>
  <c r="P98" i="3" s="1"/>
  <c r="G90" i="3"/>
  <c r="S90" i="3" s="1"/>
  <c r="E89" i="3"/>
  <c r="P86" i="3"/>
  <c r="Q80" i="3"/>
  <c r="I107" i="3"/>
  <c r="D13" i="1" s="1"/>
  <c r="Q68" i="3"/>
  <c r="Q33" i="3"/>
  <c r="O76" i="3"/>
  <c r="S88" i="3"/>
  <c r="G24" i="3"/>
  <c r="S24" i="3" s="1"/>
  <c r="Q105" i="3"/>
  <c r="Q102" i="3"/>
  <c r="P102" i="3"/>
  <c r="L90" i="3"/>
  <c r="Q83" i="3"/>
  <c r="E24" i="3"/>
  <c r="N107" i="3"/>
  <c r="L92" i="3"/>
  <c r="L81" i="3"/>
  <c r="Q70" i="3"/>
  <c r="Q69" i="3"/>
  <c r="Q40" i="3"/>
  <c r="Q39" i="3"/>
  <c r="Q35" i="3"/>
  <c r="Q34" i="3"/>
  <c r="O29" i="3"/>
  <c r="Q29" i="3" s="1"/>
  <c r="Q44" i="3"/>
  <c r="Q53" i="3"/>
  <c r="Q30" i="3"/>
  <c r="Q28" i="3"/>
  <c r="Q41" i="3"/>
  <c r="Q38" i="3"/>
  <c r="Q78" i="3"/>
  <c r="P22" i="3"/>
  <c r="L97" i="3"/>
  <c r="P97" i="3" s="1"/>
  <c r="P51" i="3"/>
  <c r="O14" i="3"/>
  <c r="P80" i="3"/>
  <c r="P41" i="3"/>
  <c r="G14" i="3"/>
  <c r="S14" i="3" s="1"/>
  <c r="O100" i="3"/>
  <c r="P50" i="3"/>
  <c r="Q86" i="3"/>
  <c r="Q101" i="3"/>
  <c r="L6" i="3"/>
  <c r="P55" i="3"/>
  <c r="J37" i="3"/>
  <c r="S97" i="3"/>
  <c r="H9" i="1" l="1"/>
  <c r="G100" i="3"/>
  <c r="S100" i="3" s="1"/>
  <c r="J76" i="3"/>
  <c r="P47" i="3"/>
  <c r="K107" i="3"/>
  <c r="L85" i="3"/>
  <c r="P85" i="3" s="1"/>
  <c r="P67" i="3"/>
  <c r="L15" i="3"/>
  <c r="Q15" i="3" s="1"/>
  <c r="Q87" i="3"/>
  <c r="Q85" i="3" s="1"/>
  <c r="P88" i="3"/>
  <c r="Q42" i="3"/>
  <c r="Q21" i="3"/>
  <c r="J5" i="3"/>
  <c r="J57" i="3"/>
  <c r="L56" i="3"/>
  <c r="Q56" i="3" s="1"/>
  <c r="Q54" i="3" s="1"/>
  <c r="Q75" i="3"/>
  <c r="G8" i="3"/>
  <c r="S8" i="3" s="1"/>
  <c r="P75" i="3"/>
  <c r="Q64" i="3"/>
  <c r="P64" i="3"/>
  <c r="P20" i="3"/>
  <c r="Q20" i="3"/>
  <c r="P49" i="3"/>
  <c r="P48" i="3"/>
  <c r="GQ41" i="3"/>
  <c r="J95" i="2"/>
  <c r="J15" i="2"/>
  <c r="K68" i="2"/>
  <c r="K15" i="2"/>
  <c r="K38" i="2" s="1"/>
  <c r="K128" i="2" s="1"/>
  <c r="G130" i="2"/>
  <c r="D10" i="1" s="1"/>
  <c r="G124" i="2"/>
  <c r="G125" i="2" s="1"/>
  <c r="D8" i="1"/>
  <c r="K75" i="2"/>
  <c r="K73" i="2" s="1"/>
  <c r="H73" i="2"/>
  <c r="J73" i="2" s="1"/>
  <c r="F38" i="2"/>
  <c r="F128" i="2" s="1"/>
  <c r="C7" i="1" s="1"/>
  <c r="E7" i="1" s="1"/>
  <c r="K58" i="2"/>
  <c r="I124" i="2"/>
  <c r="I130" i="2"/>
  <c r="G10" i="1" s="1"/>
  <c r="J75" i="2"/>
  <c r="K111" i="2"/>
  <c r="K95" i="2" s="1"/>
  <c r="F124" i="2"/>
  <c r="F130" i="2"/>
  <c r="C10" i="1" s="1"/>
  <c r="H124" i="2"/>
  <c r="H130" i="2"/>
  <c r="H38" i="2"/>
  <c r="J27" i="2"/>
  <c r="J93" i="2"/>
  <c r="H132" i="2"/>
  <c r="J132" i="2" s="1"/>
  <c r="G8" i="1"/>
  <c r="K41" i="2"/>
  <c r="F87" i="2"/>
  <c r="J54" i="2"/>
  <c r="H41" i="2"/>
  <c r="D14" i="1"/>
  <c r="E13" i="1"/>
  <c r="Q61" i="3"/>
  <c r="S49" i="3"/>
  <c r="L45" i="3"/>
  <c r="P45" i="3" s="1"/>
  <c r="P19" i="3"/>
  <c r="Q16" i="3"/>
  <c r="P16" i="3"/>
  <c r="J85" i="3"/>
  <c r="J8" i="3"/>
  <c r="Q95" i="3"/>
  <c r="P87" i="3"/>
  <c r="J94" i="3"/>
  <c r="O8" i="3"/>
  <c r="P12" i="3"/>
  <c r="P10" i="3"/>
  <c r="Q73" i="3"/>
  <c r="Q11" i="3"/>
  <c r="P11" i="3"/>
  <c r="J100" i="3"/>
  <c r="L106" i="3"/>
  <c r="Q7" i="3"/>
  <c r="Q74" i="3"/>
  <c r="P74" i="3"/>
  <c r="L94" i="3"/>
  <c r="P94" i="3" s="1"/>
  <c r="Q92" i="3"/>
  <c r="Q45" i="3"/>
  <c r="L76" i="3"/>
  <c r="E107" i="3"/>
  <c r="C12" i="1" s="1"/>
  <c r="C14" i="1" s="1"/>
  <c r="Q9" i="3"/>
  <c r="Q8" i="3" s="1"/>
  <c r="L8" i="3"/>
  <c r="P9" i="3"/>
  <c r="P92" i="3"/>
  <c r="O24" i="3"/>
  <c r="P29" i="3"/>
  <c r="G13" i="1"/>
  <c r="G14" i="1" s="1"/>
  <c r="G89" i="3"/>
  <c r="S89" i="3" s="1"/>
  <c r="L91" i="3"/>
  <c r="L89" i="3" s="1"/>
  <c r="J89" i="3"/>
  <c r="Q97" i="3"/>
  <c r="O108" i="3"/>
  <c r="P90" i="3"/>
  <c r="Q90" i="3"/>
  <c r="P25" i="3"/>
  <c r="Q25" i="3"/>
  <c r="Q24" i="3" s="1"/>
  <c r="L24" i="3"/>
  <c r="G76" i="3"/>
  <c r="S76" i="3" s="1"/>
  <c r="L57" i="3"/>
  <c r="P77" i="3"/>
  <c r="Q77" i="3"/>
  <c r="Q98" i="3"/>
  <c r="Q81" i="3"/>
  <c r="P81" i="3"/>
  <c r="P6" i="3"/>
  <c r="Q6" i="3"/>
  <c r="Q5" i="3" s="1"/>
  <c r="L5" i="3"/>
  <c r="L37" i="3"/>
  <c r="J36" i="3"/>
  <c r="G131" i="2" l="1"/>
  <c r="G134" i="2" s="1"/>
  <c r="P15" i="3"/>
  <c r="L14" i="3"/>
  <c r="P14" i="3" s="1"/>
  <c r="L54" i="3"/>
  <c r="P54" i="3" s="1"/>
  <c r="P56" i="3"/>
  <c r="Q14" i="3"/>
  <c r="Q76" i="3"/>
  <c r="E10" i="1"/>
  <c r="I10" i="1" s="1"/>
  <c r="J130" i="2"/>
  <c r="D11" i="1"/>
  <c r="D16" i="1" s="1"/>
  <c r="D24" i="1" s="1"/>
  <c r="D22" i="1" s="1"/>
  <c r="I131" i="2"/>
  <c r="I134" i="2" s="1"/>
  <c r="J38" i="2"/>
  <c r="K87" i="2"/>
  <c r="K129" i="2" s="1"/>
  <c r="I7" i="1"/>
  <c r="H7" i="1"/>
  <c r="I125" i="2"/>
  <c r="J124" i="2"/>
  <c r="H87" i="2"/>
  <c r="J41" i="2"/>
  <c r="F125" i="2"/>
  <c r="F129" i="2"/>
  <c r="G11" i="1"/>
  <c r="K130" i="2"/>
  <c r="K131" i="2" s="1"/>
  <c r="K134" i="2" s="1"/>
  <c r="K124" i="2"/>
  <c r="K125" i="2" s="1"/>
  <c r="H128" i="2"/>
  <c r="H13" i="1"/>
  <c r="Q57" i="3"/>
  <c r="G108" i="3"/>
  <c r="E12" i="1"/>
  <c r="I12" i="1" s="1"/>
  <c r="I13" i="1"/>
  <c r="P76" i="3"/>
  <c r="Q94" i="3"/>
  <c r="P24" i="3"/>
  <c r="P8" i="3"/>
  <c r="P106" i="3"/>
  <c r="L100" i="3"/>
  <c r="Q106" i="3"/>
  <c r="Q100" i="3" s="1"/>
  <c r="O107" i="3"/>
  <c r="P57" i="3"/>
  <c r="G107" i="3"/>
  <c r="L108" i="3" s="1"/>
  <c r="J107" i="3"/>
  <c r="P89" i="3"/>
  <c r="Q91" i="3"/>
  <c r="Q89" i="3" s="1"/>
  <c r="P91" i="3"/>
  <c r="P37" i="3"/>
  <c r="L36" i="3"/>
  <c r="Q37" i="3"/>
  <c r="Q36" i="3" s="1"/>
  <c r="P5" i="3"/>
  <c r="F13" i="1"/>
  <c r="F12" i="1"/>
  <c r="H10" i="1" l="1"/>
  <c r="E14" i="1"/>
  <c r="I14" i="1" s="1"/>
  <c r="L107" i="3"/>
  <c r="J128" i="2"/>
  <c r="H131" i="2"/>
  <c r="C8" i="1"/>
  <c r="F131" i="2"/>
  <c r="H129" i="2"/>
  <c r="J129" i="2" s="1"/>
  <c r="J87" i="2"/>
  <c r="H125" i="2"/>
  <c r="J125" i="2" s="1"/>
  <c r="G16" i="1"/>
  <c r="H12" i="1"/>
  <c r="P100" i="3"/>
  <c r="Q107" i="3"/>
  <c r="P107" i="3"/>
  <c r="P36" i="3"/>
  <c r="H14" i="1" l="1"/>
  <c r="F134" i="2"/>
  <c r="E8" i="1"/>
  <c r="C11" i="1"/>
  <c r="F8" i="1" s="1"/>
  <c r="H134" i="2"/>
  <c r="J134" i="2" s="1"/>
  <c r="J131" i="2"/>
  <c r="G24" i="1"/>
  <c r="G22" i="1" s="1"/>
  <c r="H8" i="1" l="1"/>
  <c r="E11" i="1"/>
  <c r="I8" i="1"/>
  <c r="F10" i="1"/>
  <c r="F9" i="1"/>
  <c r="F7" i="1"/>
  <c r="C16" i="1"/>
  <c r="C24" i="1" s="1"/>
  <c r="C22" i="1" s="1"/>
  <c r="F11" i="1" l="1"/>
  <c r="H11" i="1"/>
  <c r="I11" i="1"/>
  <c r="E16" i="1"/>
  <c r="H16" i="1" l="1"/>
  <c r="E24" i="1"/>
  <c r="E22" i="1" s="1"/>
</calcChain>
</file>

<file path=xl/comments1.xml><?xml version="1.0" encoding="utf-8"?>
<comments xmlns="http://schemas.openxmlformats.org/spreadsheetml/2006/main">
  <authors>
    <author>Ing. Miroslava Kynčlová</author>
    <author>Kynčlová</author>
    <author>Město Jilemnice</author>
  </authors>
  <commentList>
    <comment ref="E16" authorId="0">
      <text>
        <r>
          <rPr>
            <sz val="8"/>
            <color indexed="81"/>
            <rFont val="Tahoma"/>
            <family val="2"/>
            <charset val="238"/>
          </rPr>
          <t>3-trvalý pobyt
4-ověřování
6-změna jména
8-sňatky
9-video</t>
        </r>
      </text>
    </comment>
    <comment ref="E18" authorId="1">
      <text>
        <r>
          <rPr>
            <sz val="10"/>
            <color indexed="81"/>
            <rFont val="Tahoma"/>
            <family val="2"/>
            <charset val="238"/>
          </rPr>
          <t>10 rybářské lístky</t>
        </r>
        <r>
          <rPr>
            <sz val="10"/>
            <color indexed="81"/>
            <rFont val="Tahoma"/>
            <family val="2"/>
            <charset val="238"/>
          </rPr>
          <t xml:space="preserve">
23 životní prostředí </t>
        </r>
      </text>
    </comment>
    <comment ref="E23" authorId="0">
      <text>
        <r>
          <rPr>
            <sz val="8"/>
            <color indexed="81"/>
            <rFont val="Tahoma"/>
            <family val="2"/>
            <charset val="238"/>
          </rPr>
          <t xml:space="preserve">32-pasy
33-občanské průkazy
</t>
        </r>
      </text>
    </comment>
    <comment ref="E26" authorId="0">
      <text>
        <r>
          <rPr>
            <sz val="8"/>
            <color indexed="81"/>
            <rFont val="Tahoma"/>
            <family val="2"/>
            <charset val="238"/>
          </rPr>
          <t xml:space="preserve">13- 
19-vydání průkazů-soc
27-povolení tomboly
314-správa
</t>
        </r>
      </text>
    </comment>
    <comment ref="E28" authorId="0">
      <text>
        <r>
          <rPr>
            <sz val="8"/>
            <color indexed="81"/>
            <rFont val="Tahoma"/>
            <family val="2"/>
            <charset val="238"/>
          </rPr>
          <t xml:space="preserve">23 1332- za znečištní žp
12 1334 org 12 za odnětí půdy
</t>
        </r>
      </text>
    </comment>
    <comment ref="I35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5,516 rekreační pobyt exekuce</t>
        </r>
      </text>
    </comment>
    <comment ref="I49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40,747 náhrada od MVČR</t>
        </r>
      </text>
    </comment>
    <comment ref="I50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33,006 org 21
69 org. 319</t>
        </r>
      </text>
    </comment>
    <comment ref="I53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728,493 služby
150 dary
89,014 náhrada z r.2015</t>
        </r>
      </text>
    </comment>
    <comment ref="F54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60 služby sňatky 
30 ostatní</t>
        </r>
      </text>
    </comment>
    <comment ref="I54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60 služby sňatky
0,32 prodej receptů
9,88 exekuce Tužová
1,93 služby
45,4425 prodej majetku
15,15032 náhrada
3,0554 z propagace 
5,960 kopírování</t>
        </r>
      </text>
    </comment>
    <comment ref="I57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dary</t>
        </r>
      </text>
    </comment>
    <comment ref="I60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52,093 služby
0,33103 náhrada</t>
        </r>
      </text>
    </comment>
    <comment ref="E75" authorId="1">
      <text>
        <r>
          <rPr>
            <sz val="8"/>
            <color indexed="81"/>
            <rFont val="Tahoma"/>
            <family val="2"/>
            <charset val="238"/>
          </rPr>
          <t>33 občanské průkazy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14 přestupky
13 památky
</t>
        </r>
      </text>
    </comment>
    <comment ref="F75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OP, pasy
60 přestupky</t>
        </r>
      </text>
    </comment>
    <comment ref="I82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dar na dětský den pro ZŠ Harracha</t>
        </r>
      </text>
    </comment>
    <comment ref="I83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6,419 pojistná náhrada veř. osvětlení
3,10424 místní hospodářství
5 veř. zeleň
1,29961 Scolarest
17,5823 policie</t>
        </r>
      </text>
    </comment>
    <comment ref="I102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295,699 na peč. Službu
474,6 veř. zeleň
89,246 správa
73,03 policie</t>
        </r>
      </text>
    </comment>
    <comment ref="F111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30 rušení TP
110 přestupky
15 doprava</t>
        </r>
      </text>
    </comment>
    <comment ref="G115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37 na rok 2017</t>
        </r>
      </text>
    </comment>
    <comment ref="G121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-10 000 přesun dotace LK do dalšího roku</t>
        </r>
      </text>
    </comment>
  </commentList>
</comments>
</file>

<file path=xl/comments2.xml><?xml version="1.0" encoding="utf-8"?>
<comments xmlns="http://schemas.openxmlformats.org/spreadsheetml/2006/main">
  <authors>
    <author>Město Jilemnice</author>
    <author>Jilemnice</author>
  </authors>
  <commentList>
    <comment ref="F9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bez výkupu Buben</t>
        </r>
      </text>
    </comment>
    <comment ref="H12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15 dar nadačnímu fondu Z.Žádníkové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1514 dotace VHS na kanalizaci
</t>
        </r>
      </text>
    </comment>
    <comment ref="H25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15 dotace na interaktivní tabuli
</t>
        </r>
      </text>
    </comment>
    <comment ref="E27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2000 opravy v ZŠ Harracha
3800 rozvody MŠ Sídliště
</t>
        </r>
      </text>
    </comment>
    <comment ref="H31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65 dotace LK na systémovou podporu žáků
37,1 dotace LK na kompenzační pomůcky</t>
        </r>
      </text>
    </comment>
    <comment ref="H39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460 dotace na památky</t>
        </r>
      </text>
    </comment>
    <comment ref="T39" authorId="1">
      <text>
        <r>
          <rPr>
            <b/>
            <sz val="8"/>
            <color indexed="81"/>
            <rFont val="Tahoma"/>
            <family val="2"/>
            <charset val="238"/>
          </rPr>
          <t xml:space="preserve">UZ 34054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42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8,10372 dotace na projekt "Umění bez hranic"</t>
        </r>
      </text>
    </comment>
    <comment ref="I50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1200 splacení základního kapitálu</t>
        </r>
      </text>
    </comment>
    <comment ref="I51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-10000 přesun dotace LK 
do dalšího roku</t>
        </r>
      </text>
    </comment>
    <comment ref="H56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=2305,160 dotace LK na pohotovostní péči
536,940 dotace na dětskou skupinu
366,440 dotace na vzdělávání zdr. pracovníků</t>
        </r>
      </text>
    </comment>
    <comment ref="I56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3000,- dotace LK na rekonstrukci márnice</t>
        </r>
      </text>
    </comment>
    <comment ref="H62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126 dotace na posouzení objektů metodou EPC
</t>
        </r>
      </text>
    </comment>
    <comment ref="F67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200 přístavba kolumbária</t>
        </r>
      </text>
    </comment>
    <comment ref="H70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25 dotace na projekt "Zapojování veřejnosti do plánování rozvoje Jilemnice"</t>
        </r>
      </text>
    </comment>
    <comment ref="E78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47 doplatek za rok 2015</t>
        </r>
      </text>
    </comment>
    <comment ref="H78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45,315 zvýšení příspěvku na nákup kontejneru</t>
        </r>
      </text>
    </comment>
    <comment ref="H79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25 na zajištění ploch po jilemnickém létě
-45,315 převod na kompostárnu
-220 převod na odpady</t>
        </r>
      </text>
    </comment>
    <comment ref="E87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60 zvýšení o dotaci z LK, přijaté již v roce 2015</t>
        </r>
      </text>
    </comment>
    <comment ref="H87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271,699 dotace od úřadu práce
37 dotace na rok 2017 od LK
75 doplatek dotace na rok 2016 od LK</t>
        </r>
      </text>
    </comment>
    <comment ref="H88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vše dotace na cociální služby</t>
        </r>
      </text>
    </comment>
    <comment ref="H91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73,818 dotace od úřadu práce</t>
        </r>
      </text>
    </comment>
    <comment ref="I91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67 vybavení automobilu
</t>
        </r>
      </text>
    </comment>
    <comment ref="H93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120 dotace LK na akceschopnost
26,2 dotace LK na nákup masek
14,595 dotace LK na nákup opasků, rukavic</t>
        </r>
      </text>
    </comment>
    <comment ref="I93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245 dotace LK na obnovu hasičské zbrojnice</t>
        </r>
      </text>
    </comment>
    <comment ref="H97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110,794 dotace od úřadu práce
40,050 dotace pro odbor ŽP na ošetření louky
88 dotace MPSV na soc. práci</t>
        </r>
      </text>
    </comment>
    <comment ref="M102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notářské zápisy za založení MMN a.s.</t>
        </r>
      </text>
    </comment>
    <comment ref="H106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-15 na dar nadačnímu fondu Z.Žádníkové
-55 čl. příspěvek Jilemnicku- svazku obcí
-25 na zajištění ploch po jilemnickém létě
-15 dotace pro MŠ na interaktivní tabuli
-625 na opravy budovy C MěÚ Jilemnice
-315 příplatek mimo zákl. kapitál MMN,a.s.
-547 snížení dotace na soc. právní ochranu dětí
-186 snížení dotace na revitalizaci parku v Dolení ul.
</t>
        </r>
      </text>
    </comment>
  </commentList>
</comments>
</file>

<file path=xl/sharedStrings.xml><?xml version="1.0" encoding="utf-8"?>
<sst xmlns="http://schemas.openxmlformats.org/spreadsheetml/2006/main" count="628" uniqueCount="439">
  <si>
    <t xml:space="preserve">                                 </t>
  </si>
  <si>
    <t xml:space="preserve">                           </t>
  </si>
  <si>
    <t>Rozpočet</t>
  </si>
  <si>
    <t>změna</t>
  </si>
  <si>
    <t>%</t>
  </si>
  <si>
    <t>Plnění</t>
  </si>
  <si>
    <t>k rozpočtu</t>
  </si>
  <si>
    <t>Třída 1 - Daňové příjmy</t>
  </si>
  <si>
    <t>Třída 2 - Nedaňové příjmy</t>
  </si>
  <si>
    <t>Třída 3 - Kapitálové příjmy</t>
  </si>
  <si>
    <t>Třída 4 - Přijaté dotace</t>
  </si>
  <si>
    <t>Příjmy celkem</t>
  </si>
  <si>
    <t>Třída 5 - Běžné výdaje</t>
  </si>
  <si>
    <t>Třída 6 - Kapitálové výdaje</t>
  </si>
  <si>
    <t>Výdaje celkem</t>
  </si>
  <si>
    <t>Saldo: Příjmy - výdaje</t>
  </si>
  <si>
    <t>pol.</t>
  </si>
  <si>
    <t>Třída 8 - financování</t>
  </si>
  <si>
    <t>Splátky úvěrů</t>
  </si>
  <si>
    <t>Celkem financování</t>
  </si>
  <si>
    <t>poznámka</t>
  </si>
  <si>
    <t>polož.</t>
  </si>
  <si>
    <t>§</t>
  </si>
  <si>
    <t>org.</t>
  </si>
  <si>
    <t>název</t>
  </si>
  <si>
    <t>1a) BĚŽNÉ</t>
  </si>
  <si>
    <t>DAŇOVÉ  - TŘÍDA  1</t>
  </si>
  <si>
    <t>11-daně z příjmů, zisku a kap. výnosů</t>
  </si>
  <si>
    <t>z toho:</t>
  </si>
  <si>
    <t>13-poplatky a daně z vybraných činností</t>
  </si>
  <si>
    <t>Matriční poplatky</t>
  </si>
  <si>
    <t>Živnostenské listy</t>
  </si>
  <si>
    <t>Hrací automaty</t>
  </si>
  <si>
    <t>15-majetkové daně</t>
  </si>
  <si>
    <t>bez</t>
  </si>
  <si>
    <t>Daňové příjmy celkem:</t>
  </si>
  <si>
    <t>NEDAŇOVÉ - TŘÍDA 2</t>
  </si>
  <si>
    <t>21-příjmy z vlastní činnosti</t>
  </si>
  <si>
    <t>Prodej zpravodaje</t>
  </si>
  <si>
    <t>Pohřebnictví</t>
  </si>
  <si>
    <t>Pečovatelská služba</t>
  </si>
  <si>
    <t>Příjmy z reklam ( zpravodaj, rozhlas)</t>
  </si>
  <si>
    <t>Nájemné:</t>
  </si>
  <si>
    <t>BH - Nájemné nebyt. prost.</t>
  </si>
  <si>
    <t>Nájemné Zásobování teplem s.r.o.</t>
  </si>
  <si>
    <t>Pokuty městská policie</t>
  </si>
  <si>
    <t>Nedaňové příjmy celkem:</t>
  </si>
  <si>
    <t>TŘÍDA  3</t>
  </si>
  <si>
    <t>31-příjmy z prodeje investičního majetku</t>
  </si>
  <si>
    <t>Kapitálové příjmy celkem:</t>
  </si>
  <si>
    <t xml:space="preserve">2)PŘIJATÉ DOTACE </t>
  </si>
  <si>
    <t>TŘÍDA  4</t>
  </si>
  <si>
    <t>2a) Běžné</t>
  </si>
  <si>
    <t>2b) Kapitálové</t>
  </si>
  <si>
    <t>Přijaté dotace celkem:</t>
  </si>
  <si>
    <t>Rekapitulace příjmů:</t>
  </si>
  <si>
    <t>Tř. 1 - Daňové příjmy</t>
  </si>
  <si>
    <t>Tř. 2. - Nedaňové příjmy</t>
  </si>
  <si>
    <t>Ze tř. 4 - Dotace běžné</t>
  </si>
  <si>
    <t>Vlastní příjmy celkem</t>
  </si>
  <si>
    <t>Tř. 3 - Kapitálové příjmy</t>
  </si>
  <si>
    <t>Ze tř. 4. - Dotace kapitálové</t>
  </si>
  <si>
    <t>Celkem příjmy</t>
  </si>
  <si>
    <t>sk</t>
  </si>
  <si>
    <t>Popis paragrafu</t>
  </si>
  <si>
    <t>běžné</t>
  </si>
  <si>
    <t>kap.</t>
  </si>
  <si>
    <t>celkem</t>
  </si>
  <si>
    <t>Zeměděl. a lesní hospodářství</t>
  </si>
  <si>
    <t>Morávková</t>
  </si>
  <si>
    <t>Doprava,vodovody,kanalizace</t>
  </si>
  <si>
    <t>Kynčlová</t>
  </si>
  <si>
    <t>Vzdělání</t>
  </si>
  <si>
    <t>ZUŠ - příspěvek na provoz</t>
  </si>
  <si>
    <t>Kultura, církve a sdělovací  prostř.</t>
  </si>
  <si>
    <t>Vydávání zpravodaje</t>
  </si>
  <si>
    <t>Tělovýchova a zájmová činnost</t>
  </si>
  <si>
    <t>Bydlení, komunální služby a územní rozvoj</t>
  </si>
  <si>
    <t>Veřejné osvětlení- provoz ,opravy</t>
  </si>
  <si>
    <t>Sběr a svoz komun. odpadů</t>
  </si>
  <si>
    <t>Péče o vzhled obcí a veřejnou zeleň</t>
  </si>
  <si>
    <t>Sociální péče</t>
  </si>
  <si>
    <t>Šimková</t>
  </si>
  <si>
    <t xml:space="preserve">Obecní policie </t>
  </si>
  <si>
    <t>Státní správa, územní samospráva</t>
  </si>
  <si>
    <t>Místní zastupitelské orgány</t>
  </si>
  <si>
    <t>63,64</t>
  </si>
  <si>
    <t>Finanční operace, ostatní činnosti</t>
  </si>
  <si>
    <t>Daň z příjmu práv. osob za obce</t>
  </si>
  <si>
    <t>Celkem výdaje</t>
  </si>
  <si>
    <t>kontrola</t>
  </si>
  <si>
    <t>Příjmy z úroků a fin. majetku</t>
  </si>
  <si>
    <t>rozdíl</t>
  </si>
  <si>
    <t>Výkup pozemků</t>
  </si>
  <si>
    <t>Příjem z veřejných WC</t>
  </si>
  <si>
    <t>rozpočet</t>
  </si>
  <si>
    <t>Lesní hospodářství</t>
  </si>
  <si>
    <t>Opravy pronajímaných nebyt. prostor</t>
  </si>
  <si>
    <t>Projekty do 60000,-/ nad 60000</t>
  </si>
  <si>
    <t xml:space="preserve">Činnost místní správy </t>
  </si>
  <si>
    <t>Upravený</t>
  </si>
  <si>
    <t>Upr. rozp.</t>
  </si>
  <si>
    <t>Upravený rozpočet</t>
  </si>
  <si>
    <t>Ost. poplatky</t>
  </si>
  <si>
    <t xml:space="preserve">SPOZ </t>
  </si>
  <si>
    <t>Popl. za komunální odpad</t>
  </si>
  <si>
    <t>Bezpečnost, požár. ochrana</t>
  </si>
  <si>
    <t>k sestavení rozpočtu</t>
  </si>
  <si>
    <t>Poplatek ze psů</t>
  </si>
  <si>
    <t>Popl. za užívání veřejného prostranství</t>
  </si>
  <si>
    <t>Popl. ze vstupného</t>
  </si>
  <si>
    <t>Popl. za znečišťování životního  prostř.</t>
  </si>
  <si>
    <t>DPFO - závislá činnost</t>
  </si>
  <si>
    <t xml:space="preserve">DPH </t>
  </si>
  <si>
    <t>DPFO - srážková daň</t>
  </si>
  <si>
    <t>DP - právnických osob</t>
  </si>
  <si>
    <t>DP práv. osob za obce</t>
  </si>
  <si>
    <t>daň sdílená</t>
  </si>
  <si>
    <t>Zdravotnictví</t>
  </si>
  <si>
    <t>Životní prostředí</t>
  </si>
  <si>
    <t xml:space="preserve">Knihovna </t>
  </si>
  <si>
    <t>Šnorbert</t>
  </si>
  <si>
    <t xml:space="preserve">Dopravní obslužnost </t>
  </si>
  <si>
    <t>Kompenzace za tříděný odpad</t>
  </si>
  <si>
    <t>index</t>
  </si>
  <si>
    <t>Provoz parkoviště , park. automaty</t>
  </si>
  <si>
    <t>DPFO-závisl. činnost 1,5% podíl</t>
  </si>
  <si>
    <t>Opravy, údržba komunikací</t>
  </si>
  <si>
    <t>Byty -  opravy z nájemného</t>
  </si>
  <si>
    <t>Byty - platby za služby</t>
  </si>
  <si>
    <t>Nebytové pr. - opravy</t>
  </si>
  <si>
    <t>Nebytové pr. - služby</t>
  </si>
  <si>
    <t>Zvelebilová</t>
  </si>
  <si>
    <t>Změna</t>
  </si>
  <si>
    <t>požadavek/</t>
  </si>
  <si>
    <t>Přebytek ( - ),   ztráta  (+)</t>
  </si>
  <si>
    <t>24- přijaté splátky půjček</t>
  </si>
  <si>
    <t>23-příjmy z prodeje majetku a ost.nedaňové příjmy</t>
  </si>
  <si>
    <t xml:space="preserve">22-přijaté sankční platby </t>
  </si>
  <si>
    <t>Pasy, obč. průkazy</t>
  </si>
  <si>
    <t xml:space="preserve">Pokuty dopravní </t>
  </si>
  <si>
    <t>Pokuty životní prostředí</t>
  </si>
  <si>
    <t>Odvod z výtěžku hracích přístrojů</t>
  </si>
  <si>
    <t>3,4,6,8,9</t>
  </si>
  <si>
    <t>Pokuty živnost.úřad</t>
  </si>
  <si>
    <t xml:space="preserve">Rozpočet </t>
  </si>
  <si>
    <t>Krizové řízení, ochrana obyvatelstva</t>
  </si>
  <si>
    <t>uz</t>
  </si>
  <si>
    <t>Zachov. a obn.kult. památek města</t>
  </si>
  <si>
    <t>Rezerva rozpočtová</t>
  </si>
  <si>
    <t>BH - Nájemné byt. prostory vč. penále</t>
  </si>
  <si>
    <t xml:space="preserve">Pečovatelská služba </t>
  </si>
  <si>
    <t>Příjmy - výdaje = - financování</t>
  </si>
  <si>
    <t>Příjmy místního hospodářství</t>
  </si>
  <si>
    <t>Příjmy z poskytování služeb a výrobků</t>
  </si>
  <si>
    <t>Správní poplatky</t>
  </si>
  <si>
    <t xml:space="preserve">Místní poplatky </t>
  </si>
  <si>
    <t>1b) KAPITÁLOVÉ -</t>
  </si>
  <si>
    <t>rozpočtu</t>
  </si>
  <si>
    <t>správce</t>
  </si>
  <si>
    <t>Příspěvky činnost lesního hosp. z dotací</t>
  </si>
  <si>
    <t>Provoz veř. WC</t>
  </si>
  <si>
    <t>daň vlastní</t>
  </si>
  <si>
    <t>operace</t>
  </si>
  <si>
    <t>Vojtíšek</t>
  </si>
  <si>
    <t>Zelinka</t>
  </si>
  <si>
    <t>Augustin</t>
  </si>
  <si>
    <t>Stolínová</t>
  </si>
  <si>
    <t>Němcová</t>
  </si>
  <si>
    <t>Cerman</t>
  </si>
  <si>
    <t>Platby do svazků obcí, sdružení</t>
  </si>
  <si>
    <t>příkazce</t>
  </si>
  <si>
    <t>Exnerová</t>
  </si>
  <si>
    <t>Hartigová</t>
  </si>
  <si>
    <t>Pokuty stavební úřad</t>
  </si>
  <si>
    <t>Stavební poplatky</t>
  </si>
  <si>
    <t>Propagace města, výročí, zahr.spolupráce</t>
  </si>
  <si>
    <t>Životní prostředí poplatky</t>
  </si>
  <si>
    <t>Zvl. užívání místních komun.</t>
  </si>
  <si>
    <t>Dopravní poplatky</t>
  </si>
  <si>
    <t>Areál služeb</t>
  </si>
  <si>
    <t>Městská knihovna</t>
  </si>
  <si>
    <t>Parkovné</t>
  </si>
  <si>
    <t>Nájemné z reklamních ploch</t>
  </si>
  <si>
    <t>Nájemné z ost. nemovitostí</t>
  </si>
  <si>
    <t>Grantový program města</t>
  </si>
  <si>
    <t>Daň z nemovitostí</t>
  </si>
  <si>
    <t>BH - služby byt. prostory</t>
  </si>
  <si>
    <t>BH - služby nebyt. prostory</t>
  </si>
  <si>
    <t>Kopírování, ost příjmy správy</t>
  </si>
  <si>
    <t>Příjmy z úroků - akce Roztocká</t>
  </si>
  <si>
    <t>Prodej pozemků</t>
  </si>
  <si>
    <t>Prodej nemovitostí - bytů,domů</t>
  </si>
  <si>
    <t>Inv. příspěvky 32b.j.</t>
  </si>
  <si>
    <t xml:space="preserve">Souhrnná neinvestiční dotace </t>
  </si>
  <si>
    <t>k datu</t>
  </si>
  <si>
    <t>3769,6171</t>
  </si>
  <si>
    <t>Veřejnopr. smlouvy policie</t>
  </si>
  <si>
    <t xml:space="preserve">Komunální služby </t>
  </si>
  <si>
    <t>Nájemné z pozemků</t>
  </si>
  <si>
    <t xml:space="preserve">Areál služeb </t>
  </si>
  <si>
    <t>Rozdíl</t>
  </si>
  <si>
    <t>Pěstební činnost v lesnictví</t>
  </si>
  <si>
    <t xml:space="preserve">Požární ochrana </t>
  </si>
  <si>
    <t>Pojistění majetku města</t>
  </si>
  <si>
    <t>stejná v příjmech</t>
  </si>
  <si>
    <t>13,14,19,27</t>
  </si>
  <si>
    <t>Zkoušky OZ řidičské průkazy</t>
  </si>
  <si>
    <t>DPFO - přiznání- 30% podíl</t>
  </si>
  <si>
    <t>DPFO - přiznání - sdílená část</t>
  </si>
  <si>
    <r>
      <t>F</t>
    </r>
    <r>
      <rPr>
        <sz val="8"/>
        <rFont val="Times New Roman"/>
        <family val="1"/>
        <charset val="238"/>
      </rPr>
      <t>ű</t>
    </r>
    <r>
      <rPr>
        <sz val="8"/>
        <rFont val="Arial CE"/>
        <family val="2"/>
        <charset val="238"/>
      </rPr>
      <t>ri</t>
    </r>
  </si>
  <si>
    <r>
      <t>M</t>
    </r>
    <r>
      <rPr>
        <sz val="8"/>
        <rFont val="Times New Roman"/>
        <family val="1"/>
        <charset val="238"/>
      </rPr>
      <t>ű</t>
    </r>
    <r>
      <rPr>
        <sz val="8"/>
        <rFont val="Arial CE"/>
        <family val="2"/>
        <charset val="238"/>
      </rPr>
      <t>llerová</t>
    </r>
  </si>
  <si>
    <t>Műllerová</t>
  </si>
  <si>
    <t>Čechová</t>
  </si>
  <si>
    <t>Příspěvek SKI na údržbu lyž. tratí</t>
  </si>
  <si>
    <t>Opravy budov škol</t>
  </si>
  <si>
    <t>Výdaje,daň za prodej majetku</t>
  </si>
  <si>
    <t>čerpání</t>
  </si>
  <si>
    <t>Mečíř</t>
  </si>
  <si>
    <t>Bedrníková</t>
  </si>
  <si>
    <t>Územní plánování</t>
  </si>
  <si>
    <t xml:space="preserve">Ost. sociální péče </t>
  </si>
  <si>
    <t>Ouhrabková</t>
  </si>
  <si>
    <t>MŠ Jilemnice - příspěvek na provoz</t>
  </si>
  <si>
    <t>ZŠ Komenského- příspěvek na provoz</t>
  </si>
  <si>
    <t>ZŠ Harracha- příspěvek na provoz</t>
  </si>
  <si>
    <t>SC - příspěvek na provoz</t>
  </si>
  <si>
    <t>Organizace</t>
  </si>
  <si>
    <t xml:space="preserve">Hlavní </t>
  </si>
  <si>
    <t>činnost</t>
  </si>
  <si>
    <t>Doplňková</t>
  </si>
  <si>
    <t xml:space="preserve">Fond </t>
  </si>
  <si>
    <t>Náklady</t>
  </si>
  <si>
    <t>Výnosy</t>
  </si>
  <si>
    <t>investiční</t>
  </si>
  <si>
    <t>rezervní</t>
  </si>
  <si>
    <t>Poznámka</t>
  </si>
  <si>
    <t xml:space="preserve">Dětské centrum </t>
  </si>
  <si>
    <t>Masarykova.měst.nemocnice</t>
  </si>
  <si>
    <t>Mateřská škola</t>
  </si>
  <si>
    <t>Společenský dům Jilm</t>
  </si>
  <si>
    <t>Sportovní centrum</t>
  </si>
  <si>
    <t>Základní škola Harracha</t>
  </si>
  <si>
    <t>Základní škola Komenského</t>
  </si>
  <si>
    <t>Základní umělecká škola</t>
  </si>
  <si>
    <t>ZŠ spec. a MŠ spec.</t>
  </si>
  <si>
    <t>C e l k e m</t>
  </si>
  <si>
    <t>Czech Point poplatky</t>
  </si>
  <si>
    <t>Příjmy z věcných břemen pozemků</t>
  </si>
  <si>
    <t>Chodník Čsl. Legií - zvýšení bezpečnosti</t>
  </si>
  <si>
    <t>Dotace od ÚP</t>
  </si>
  <si>
    <t>energie</t>
  </si>
  <si>
    <t>Obnova a zachování kult. hodnot</t>
  </si>
  <si>
    <t>9513229,09513229</t>
  </si>
  <si>
    <t>Opravy budov MÚ</t>
  </si>
  <si>
    <t>Právní zastoupení města</t>
  </si>
  <si>
    <t>Péče o stromovou zeleň</t>
  </si>
  <si>
    <t xml:space="preserve">ZŠ spec. a MŠ spec.- příspěvek na provoz </t>
  </si>
  <si>
    <t>Dětské centrum příspěvek na provoz</t>
  </si>
  <si>
    <t>Myslivec</t>
  </si>
  <si>
    <t>VH</t>
  </si>
  <si>
    <t>Dotace na činnost lesního hospodáře</t>
  </si>
  <si>
    <t>Platba DPH za ekonomické činnosti</t>
  </si>
  <si>
    <t>Pokuty správní odbor, přestupky</t>
  </si>
  <si>
    <t>Odvody příspěvkových organizací</t>
  </si>
  <si>
    <t>Příspěvek na odpisy svěř. majetku MŠ</t>
  </si>
  <si>
    <t>Příspěvek na odpisy svěř. majetku ZŠ</t>
  </si>
  <si>
    <t>Příspěvek na odpisy svěř. majetku ZUŠ</t>
  </si>
  <si>
    <t>Příspěvek na odpisy svěř. majetku SDJ</t>
  </si>
  <si>
    <t>Příspěvek na odpisy svěř. majetku SC</t>
  </si>
  <si>
    <t>312,orj.10</t>
  </si>
  <si>
    <t>% čerpání</t>
  </si>
  <si>
    <t>103, orj1,2,3,4,1111</t>
  </si>
  <si>
    <t>Stavebnictví, cestovní ruch, služby</t>
  </si>
  <si>
    <t>Územní rozvoj ( Zdravá města)</t>
  </si>
  <si>
    <t>Veřejnopr. smlouvy správní odbor</t>
  </si>
  <si>
    <t>SD Jilm - příspěvek na provoz</t>
  </si>
  <si>
    <r>
      <t>M</t>
    </r>
    <r>
      <rPr>
        <sz val="8"/>
        <rFont val="Times New Roman"/>
        <family val="1"/>
        <charset val="238"/>
      </rPr>
      <t>ő</t>
    </r>
    <r>
      <rPr>
        <sz val="8"/>
        <rFont val="Arial"/>
        <family val="2"/>
        <charset val="238"/>
      </rPr>
      <t>hwald</t>
    </r>
  </si>
  <si>
    <t>Příspěvek na činnost Krkonošského muzea</t>
  </si>
  <si>
    <t>Provoz informačního centra pro mládež</t>
  </si>
  <si>
    <t xml:space="preserve">Odvody z vybraných činností </t>
  </si>
  <si>
    <t>Příjmy za služby pronajímaných prostor</t>
  </si>
  <si>
    <t>Služby pronajímaných prostor</t>
  </si>
  <si>
    <t>Nájemné restaurace pod radnicí</t>
  </si>
  <si>
    <t>Opravy restaurace pod radnicí</t>
  </si>
  <si>
    <t>Přijaté dary a ost. příjmy</t>
  </si>
  <si>
    <t>560Kč/os/rok</t>
  </si>
  <si>
    <t>včetně Sokolského parku</t>
  </si>
  <si>
    <t>Stravovadlo - Scolarest, ZŠ</t>
  </si>
  <si>
    <t>Příprava území k bytové výstavbě</t>
  </si>
  <si>
    <t>Nájemné PO města</t>
  </si>
  <si>
    <t>Housová</t>
  </si>
  <si>
    <t>Kozáková</t>
  </si>
  <si>
    <t>Průkazy energetické náročnosti budov</t>
  </si>
  <si>
    <t>Nováková</t>
  </si>
  <si>
    <t>SC- úč. příspěvek na rozšíření inv. vybavení</t>
  </si>
  <si>
    <t>Systém EMAS</t>
  </si>
  <si>
    <t>Informační systém</t>
  </si>
  <si>
    <t>šetří se</t>
  </si>
  <si>
    <t>3,14,26</t>
  </si>
  <si>
    <t>Příjmy z úroků ( vč. fondů)</t>
  </si>
  <si>
    <t>Kompostárna - provoz (příspěvek svazku)</t>
  </si>
  <si>
    <t>Požární nádrž Kozinec</t>
  </si>
  <si>
    <t>Zámecký park - podium, cesty</t>
  </si>
  <si>
    <t>Kuříková</t>
  </si>
  <si>
    <t>Jandurová</t>
  </si>
  <si>
    <t>Steinerová</t>
  </si>
  <si>
    <t>13011</t>
  </si>
  <si>
    <t>3349</t>
  </si>
  <si>
    <t>Kursové rozdíly</t>
  </si>
  <si>
    <t>307</t>
  </si>
  <si>
    <t>Projekt Hraběnka</t>
  </si>
  <si>
    <t>Jilemnice- udržitelná</t>
  </si>
  <si>
    <t xml:space="preserve">Projekt Švýcarské fondy </t>
  </si>
  <si>
    <t>Dotace na projekt Jilemnice - udržitelná</t>
  </si>
  <si>
    <t>vč. akcí města</t>
  </si>
  <si>
    <t>Vinklář</t>
  </si>
  <si>
    <t>2016</t>
  </si>
  <si>
    <t>Rozpočet 2016</t>
  </si>
  <si>
    <t xml:space="preserve">Požadavek </t>
  </si>
  <si>
    <t>rozp 15</t>
  </si>
  <si>
    <t>Jindřišková</t>
  </si>
  <si>
    <t>Vávrová</t>
  </si>
  <si>
    <t>700,701,702</t>
  </si>
  <si>
    <t>Ulice Žižkova - rekonstrukce</t>
  </si>
  <si>
    <t>Dotace na výkon st. správy - soc. právní ochranu dětí, soc. práci</t>
  </si>
  <si>
    <t>R 2016</t>
  </si>
  <si>
    <t>bez plakátovacích ploch</t>
  </si>
  <si>
    <t>Revitalizace parku v Dolení ul.</t>
  </si>
  <si>
    <t>Projekt SFŽP</t>
  </si>
  <si>
    <t>Dotace na projekt revitalizace parku v Dolení ul.</t>
  </si>
  <si>
    <t>Dotace LK na projekt Hraběnka</t>
  </si>
  <si>
    <t>příspěvek spolku</t>
  </si>
  <si>
    <t>Dotace na výkon st. správy -  soc. práci</t>
  </si>
  <si>
    <t>Zavedení ek. systému - majetek, evidence smluv</t>
  </si>
  <si>
    <t>Vébrová</t>
  </si>
  <si>
    <t>RM,ZM</t>
  </si>
  <si>
    <t>Vohnická</t>
  </si>
  <si>
    <t>ul. Valdštejská - rozšíření chodníků</t>
  </si>
  <si>
    <t>29008,29004</t>
  </si>
  <si>
    <t>700-702</t>
  </si>
  <si>
    <t>Cyklostezka "Za prací" - projekce</t>
  </si>
  <si>
    <t>dle spl. kalendáře</t>
  </si>
  <si>
    <t>Votoček</t>
  </si>
  <si>
    <t>4.Q.2016</t>
  </si>
  <si>
    <t>Čerpání 4.Q.2016</t>
  </si>
  <si>
    <t>rozdíl plnění 2016</t>
  </si>
  <si>
    <t>proti rozpočtu 2016</t>
  </si>
  <si>
    <t>Novotná</t>
  </si>
  <si>
    <t>Fűri</t>
  </si>
  <si>
    <t>312</t>
  </si>
  <si>
    <t>Dotace pro SDJilm na projekt "Umění bez hranic"</t>
  </si>
  <si>
    <t>Vratka soc.  transferu</t>
  </si>
  <si>
    <t>Přijaté náhrady</t>
  </si>
  <si>
    <t>14004</t>
  </si>
  <si>
    <t>Dotace MVČR na požární ochranu</t>
  </si>
  <si>
    <t>Dotace LK pro MMN  (pohotovost. péče)</t>
  </si>
  <si>
    <t>Dotace pro MMN na dětskou skupinu</t>
  </si>
  <si>
    <t>34054</t>
  </si>
  <si>
    <t>Dotace MKČR na památky</t>
  </si>
  <si>
    <t>Dotace MP na projekt posouzení objektů metodou EPC</t>
  </si>
  <si>
    <t>90104</t>
  </si>
  <si>
    <t>org</t>
  </si>
  <si>
    <t xml:space="preserve">Dotace LK na pečovatelskou službu </t>
  </si>
  <si>
    <t xml:space="preserve">Dotace LK na zdravá města </t>
  </si>
  <si>
    <t>Dotace LK na soc. služby pro DC</t>
  </si>
  <si>
    <t>Příjmy z úroků -z poskytn. půjček, divident</t>
  </si>
  <si>
    <t xml:space="preserve">Koupaliště </t>
  </si>
  <si>
    <t>Dotace LK pro požární ochranu</t>
  </si>
  <si>
    <t>Dotace LK na obnovu hasičské zbrojnice</t>
  </si>
  <si>
    <t>Dotace LK pro ZŠ a MŠ spec.</t>
  </si>
  <si>
    <t>Dotace na volby do zastupitelstva kraje</t>
  </si>
  <si>
    <t>Volby do zastupitelstva kraje</t>
  </si>
  <si>
    <t>Zůstatek z depozitního účtu z r. 2015</t>
  </si>
  <si>
    <t xml:space="preserve">Pokuty ostatní </t>
  </si>
  <si>
    <t>Dotace od LK pro MMN na rekonstrukci márnice</t>
  </si>
  <si>
    <t>MMN,a.s. - příplatek mimo zákl. kapitál</t>
  </si>
  <si>
    <t>Příspěvky  MMN z dotací, příspěvek na provoz</t>
  </si>
  <si>
    <t>Langová</t>
  </si>
  <si>
    <t>VHS - příspěvky (úroky k úvěru Čistá Jizera)</t>
  </si>
  <si>
    <t>Šolcová</t>
  </si>
  <si>
    <t>Parkoviště a přechod u SDJilm</t>
  </si>
  <si>
    <t>ukončeno</t>
  </si>
  <si>
    <t xml:space="preserve">5515*90 smlouva </t>
  </si>
  <si>
    <t>Dotace MŽP na ošetření louky</t>
  </si>
  <si>
    <t>včetně pouti</t>
  </si>
  <si>
    <t>Sprotovní centrum Jilemnice, s.r.o</t>
  </si>
  <si>
    <t>Dotace pro MMN na vzdělávání zdr. pracovníků</t>
  </si>
  <si>
    <t>Popl. z ubytovacích kapacit a rekreační pobyt</t>
  </si>
  <si>
    <t>přesun do r. 2017</t>
  </si>
  <si>
    <t>Revitalizace sídliště Spořilov - projekty</t>
  </si>
  <si>
    <t>MĚSTO JILEMNICE -  Závěrečný účet 2016 - příjmy</t>
  </si>
  <si>
    <t>MĚSTO JILEMNICE -  Závěrečný účet 2016 - sumář</t>
  </si>
  <si>
    <t>Příloha k závěrečnému účtu za rok 2016</t>
  </si>
  <si>
    <t>MĚSTO JILEMNICE -   Závěrečný účet 2016 - výdaje</t>
  </si>
  <si>
    <t>1514 dotace VHS na kanalizaci</t>
  </si>
  <si>
    <t>splacení části zákl. kapitálu</t>
  </si>
  <si>
    <t>k 31.12.2016</t>
  </si>
  <si>
    <t>HV po zdanění</t>
  </si>
  <si>
    <t>Přehled hospodaření příspěvkových organizací města Jilemnice k 31.12.2016</t>
  </si>
  <si>
    <t>ušetřeno</t>
  </si>
  <si>
    <t>Přijetí  úvěru</t>
  </si>
  <si>
    <t>Zůstatek z roku 2016</t>
  </si>
  <si>
    <t>Finanční majetek</t>
  </si>
  <si>
    <t>Stav fondů</t>
  </si>
  <si>
    <t>Krátkodobé závazky</t>
  </si>
  <si>
    <t>Dlouhodobé závazky</t>
  </si>
  <si>
    <t>Stálá aktiva (majetek)</t>
  </si>
  <si>
    <t>Pohledávky</t>
  </si>
  <si>
    <t>Přehled hospodaření s majetkem příspěvkových organizací města Jilemnice za rok 2016</t>
  </si>
  <si>
    <t>Rozvaha (údaje v Kč)</t>
  </si>
  <si>
    <r>
      <t xml:space="preserve">Poznámka: Činnost příspěvkové organizace </t>
    </r>
    <r>
      <rPr>
        <sz val="10"/>
        <color rgb="FF000000"/>
        <rFont val="Times New Roman"/>
        <family val="1"/>
        <charset val="238"/>
      </rPr>
      <t xml:space="preserve">Masarykovy městské nemocnice v Jilemnici byla usnesením ZM č. 114/16 k 31. 12. 2016 zrušena. Majetek svěřený k hospodaření byl k 31.12.2016 vrácen zřizovateli, tj. městu Jilemnice. Proto jsou k 31.12.2016 výrazně snížena stálá aktiva. Celý závod příspěvkové organizace byl usnesením ZM vložen k 1.1.2017 do MMN, a.s. </t>
    </r>
  </si>
  <si>
    <t>náklady</t>
  </si>
  <si>
    <t>výnosy</t>
  </si>
  <si>
    <t>aktiva celkem</t>
  </si>
  <si>
    <t>z toho</t>
  </si>
  <si>
    <t>pasiva celkem</t>
  </si>
  <si>
    <t>pohledávky</t>
  </si>
  <si>
    <t>Údaje z výkazu zisku a ztáty</t>
  </si>
  <si>
    <t>výsledek hospodaření</t>
  </si>
  <si>
    <t>MMN,a.s.</t>
  </si>
  <si>
    <t>ZT,s.r.o</t>
  </si>
  <si>
    <t>dlouhodobý majetek</t>
  </si>
  <si>
    <t>zásoby</t>
  </si>
  <si>
    <t xml:space="preserve">finanční majetek </t>
  </si>
  <si>
    <t>časové rozlišení aktiv</t>
  </si>
  <si>
    <t>časové rozlišení pasiv</t>
  </si>
  <si>
    <t>základní kapitál</t>
  </si>
  <si>
    <t>ážio a kapitálové fondy</t>
  </si>
  <si>
    <t>fondy ze zisku</t>
  </si>
  <si>
    <t>dlouhodobé závazky</t>
  </si>
  <si>
    <t>krátkodobé závazky</t>
  </si>
  <si>
    <t>v tis. Kč</t>
  </si>
  <si>
    <t>Údaje z rozvahy k 31.12.2016</t>
  </si>
  <si>
    <t>Přehled hospodaření městských společností města Jilemnice za rok 2016</t>
  </si>
  <si>
    <t>výsledek hospodaření roku 2016</t>
  </si>
  <si>
    <t>1) MMN,a.s. , Metyšova 465, Jilemnice, IČO: 5421888   (dále MMN,a.s.)</t>
  </si>
  <si>
    <t xml:space="preserve">dle rozpisu položek </t>
  </si>
  <si>
    <t>2) Zásobování teplem Jilemnice,s.r.o, Jana Weisse 1219, Jilemnice IČ: 25281542   (dále ZT,s.r.o)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</si>
</sst>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"/>
    <numFmt numFmtId="165" formatCode="0.0"/>
    <numFmt numFmtId="166" formatCode="#,##0.0000000"/>
    <numFmt numFmtId="167" formatCode="#,##0.000000"/>
    <numFmt numFmtId="168" formatCode="#,##0.00000"/>
    <numFmt numFmtId="169" formatCode="#,##0.000"/>
    <numFmt numFmtId="170" formatCode="#,##0_ ;[Red]\-#,##0\ "/>
    <numFmt numFmtId="171" formatCode="0_ ;[Red]\-0\ "/>
    <numFmt numFmtId="172" formatCode="d/m/yy;@"/>
    <numFmt numFmtId="173" formatCode="0.0000"/>
  </numFmts>
  <fonts count="32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2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8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8"/>
      <color indexed="8"/>
      <name val="Arial CE"/>
      <charset val="238"/>
    </font>
    <font>
      <sz val="8"/>
      <name val="Arial"/>
      <family val="2"/>
      <charset val="238"/>
    </font>
    <font>
      <sz val="8"/>
      <color indexed="8"/>
      <name val="Arial CE"/>
      <charset val="238"/>
    </font>
    <font>
      <sz val="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"/>
      <name val="Arial CE"/>
      <charset val="238"/>
    </font>
    <font>
      <b/>
      <sz val="9"/>
      <name val="Arial CE"/>
      <charset val="238"/>
    </font>
    <font>
      <strike/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164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1" fontId="3" fillId="0" borderId="5" xfId="0" applyNumberFormat="1" applyFont="1" applyBorder="1" applyAlignment="1">
      <alignment horizontal="center"/>
    </xf>
    <xf numFmtId="3" fontId="5" fillId="0" borderId="7" xfId="0" applyNumberFormat="1" applyFont="1" applyBorder="1"/>
    <xf numFmtId="0" fontId="3" fillId="0" borderId="9" xfId="0" applyFont="1" applyBorder="1"/>
    <xf numFmtId="3" fontId="4" fillId="0" borderId="7" xfId="0" applyNumberFormat="1" applyFont="1" applyBorder="1"/>
    <xf numFmtId="0" fontId="3" fillId="0" borderId="0" xfId="0" applyFont="1" applyBorder="1"/>
    <xf numFmtId="3" fontId="5" fillId="0" borderId="10" xfId="0" applyNumberFormat="1" applyFont="1" applyFill="1" applyBorder="1" applyAlignment="1" applyProtection="1"/>
    <xf numFmtId="3" fontId="4" fillId="0" borderId="10" xfId="0" applyNumberFormat="1" applyFont="1" applyFill="1" applyBorder="1" applyAlignment="1" applyProtection="1"/>
    <xf numFmtId="164" fontId="5" fillId="0" borderId="0" xfId="0" applyNumberFormat="1" applyFont="1"/>
    <xf numFmtId="0" fontId="5" fillId="0" borderId="0" xfId="0" applyFont="1"/>
    <xf numFmtId="0" fontId="5" fillId="0" borderId="0" xfId="0" applyNumberFormat="1" applyFont="1" applyFill="1" applyBorder="1" applyAlignment="1" applyProtection="1"/>
    <xf numFmtId="0" fontId="4" fillId="0" borderId="12" xfId="0" applyNumberFormat="1" applyFont="1" applyFill="1" applyBorder="1" applyAlignment="1" applyProtection="1"/>
    <xf numFmtId="164" fontId="4" fillId="0" borderId="12" xfId="0" applyNumberFormat="1" applyFont="1" applyFill="1" applyBorder="1" applyAlignment="1" applyProtection="1">
      <alignment horizontal="right"/>
    </xf>
    <xf numFmtId="0" fontId="4" fillId="0" borderId="5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right"/>
    </xf>
    <xf numFmtId="0" fontId="5" fillId="0" borderId="10" xfId="0" applyNumberFormat="1" applyFont="1" applyFill="1" applyBorder="1" applyAlignment="1" applyProtection="1"/>
    <xf numFmtId="164" fontId="9" fillId="2" borderId="10" xfId="0" applyNumberFormat="1" applyFont="1" applyFill="1" applyBorder="1" applyAlignment="1" applyProtection="1">
      <alignment horizontal="right"/>
    </xf>
    <xf numFmtId="164" fontId="9" fillId="0" borderId="10" xfId="0" applyNumberFormat="1" applyFont="1" applyFill="1" applyBorder="1" applyAlignment="1" applyProtection="1">
      <alignment horizontal="right"/>
    </xf>
    <xf numFmtId="0" fontId="4" fillId="0" borderId="10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/>
    <xf numFmtId="164" fontId="10" fillId="0" borderId="10" xfId="0" applyNumberFormat="1" applyFont="1" applyFill="1" applyBorder="1" applyAlignment="1" applyProtection="1">
      <alignment horizontal="right"/>
    </xf>
    <xf numFmtId="0" fontId="5" fillId="0" borderId="13" xfId="0" applyNumberFormat="1" applyFont="1" applyFill="1" applyBorder="1" applyAlignment="1" applyProtection="1"/>
    <xf numFmtId="164" fontId="9" fillId="0" borderId="14" xfId="0" applyNumberFormat="1" applyFont="1" applyFill="1" applyBorder="1" applyAlignment="1" applyProtection="1">
      <alignment horizontal="right"/>
    </xf>
    <xf numFmtId="164" fontId="10" fillId="2" borderId="10" xfId="0" applyNumberFormat="1" applyFont="1" applyFill="1" applyBorder="1" applyAlignment="1" applyProtection="1">
      <alignment horizontal="right"/>
    </xf>
    <xf numFmtId="0" fontId="11" fillId="3" borderId="16" xfId="0" applyNumberFormat="1" applyFont="1" applyFill="1" applyBorder="1" applyAlignment="1" applyProtection="1"/>
    <xf numFmtId="0" fontId="12" fillId="3" borderId="11" xfId="0" applyNumberFormat="1" applyFont="1" applyFill="1" applyBorder="1" applyAlignment="1" applyProtection="1"/>
    <xf numFmtId="0" fontId="12" fillId="3" borderId="13" xfId="0" applyNumberFormat="1" applyFont="1" applyFill="1" applyBorder="1" applyAlignment="1" applyProtection="1"/>
    <xf numFmtId="164" fontId="12" fillId="3" borderId="1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17" xfId="0" applyNumberFormat="1" applyFont="1" applyFill="1" applyBorder="1" applyAlignment="1" applyProtection="1"/>
    <xf numFmtId="3" fontId="5" fillId="0" borderId="9" xfId="0" applyNumberFormat="1" applyFont="1" applyFill="1" applyBorder="1" applyAlignment="1" applyProtection="1"/>
    <xf numFmtId="0" fontId="4" fillId="0" borderId="19" xfId="0" applyNumberFormat="1" applyFont="1" applyFill="1" applyBorder="1" applyAlignment="1" applyProtection="1">
      <alignment horizontal="center"/>
    </xf>
    <xf numFmtId="0" fontId="4" fillId="0" borderId="9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/>
    </xf>
    <xf numFmtId="3" fontId="4" fillId="0" borderId="6" xfId="0" applyNumberFormat="1" applyFont="1" applyFill="1" applyBorder="1" applyAlignment="1" applyProtection="1">
      <alignment horizontal="center"/>
    </xf>
    <xf numFmtId="3" fontId="4" fillId="0" borderId="1" xfId="0" applyNumberFormat="1" applyFont="1" applyFill="1" applyBorder="1" applyAlignment="1" applyProtection="1"/>
    <xf numFmtId="3" fontId="4" fillId="0" borderId="2" xfId="0" applyNumberFormat="1" applyFont="1" applyFill="1" applyBorder="1" applyAlignment="1" applyProtection="1"/>
    <xf numFmtId="3" fontId="4" fillId="0" borderId="9" xfId="0" applyNumberFormat="1" applyFont="1" applyFill="1" applyBorder="1" applyAlignment="1" applyProtection="1"/>
    <xf numFmtId="3" fontId="4" fillId="0" borderId="8" xfId="0" applyNumberFormat="1" applyFont="1" applyFill="1" applyBorder="1" applyAlignment="1" applyProtection="1"/>
    <xf numFmtId="3" fontId="5" fillId="0" borderId="8" xfId="0" applyNumberFormat="1" applyFont="1" applyFill="1" applyBorder="1" applyAlignment="1" applyProtection="1"/>
    <xf numFmtId="3" fontId="4" fillId="0" borderId="20" xfId="0" applyNumberFormat="1" applyFont="1" applyFill="1" applyBorder="1" applyAlignment="1" applyProtection="1"/>
    <xf numFmtId="3" fontId="4" fillId="0" borderId="12" xfId="0" applyNumberFormat="1" applyFont="1" applyFill="1" applyBorder="1" applyAlignment="1" applyProtection="1"/>
    <xf numFmtId="3" fontId="4" fillId="0" borderId="21" xfId="0" applyNumberFormat="1" applyFont="1" applyFill="1" applyBorder="1" applyAlignment="1" applyProtection="1"/>
    <xf numFmtId="3" fontId="5" fillId="0" borderId="2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/>
    <xf numFmtId="3" fontId="5" fillId="0" borderId="23" xfId="0" applyNumberFormat="1" applyFont="1" applyFill="1" applyBorder="1" applyAlignment="1" applyProtection="1"/>
    <xf numFmtId="3" fontId="5" fillId="0" borderId="13" xfId="0" applyNumberFormat="1" applyFont="1" applyFill="1" applyBorder="1" applyAlignment="1" applyProtection="1"/>
    <xf numFmtId="0" fontId="5" fillId="0" borderId="22" xfId="0" applyNumberFormat="1" applyFont="1" applyFill="1" applyBorder="1" applyAlignment="1" applyProtection="1"/>
    <xf numFmtId="3" fontId="5" fillId="0" borderId="0" xfId="0" applyNumberFormat="1" applyFont="1"/>
    <xf numFmtId="4" fontId="5" fillId="0" borderId="0" xfId="0" applyNumberFormat="1" applyFont="1"/>
    <xf numFmtId="4" fontId="4" fillId="0" borderId="0" xfId="0" applyNumberFormat="1" applyFont="1"/>
    <xf numFmtId="0" fontId="4" fillId="0" borderId="2" xfId="0" applyNumberFormat="1" applyFont="1" applyFill="1" applyBorder="1" applyAlignment="1" applyProtection="1"/>
    <xf numFmtId="0" fontId="4" fillId="0" borderId="5" xfId="0" applyFont="1" applyBorder="1"/>
    <xf numFmtId="3" fontId="10" fillId="0" borderId="10" xfId="0" applyNumberFormat="1" applyFont="1" applyFill="1" applyBorder="1" applyAlignment="1" applyProtection="1">
      <alignment horizontal="right"/>
    </xf>
    <xf numFmtId="3" fontId="9" fillId="0" borderId="10" xfId="0" applyNumberFormat="1" applyFont="1" applyFill="1" applyBorder="1" applyAlignment="1" applyProtection="1">
      <alignment horizontal="right"/>
    </xf>
    <xf numFmtId="3" fontId="9" fillId="0" borderId="14" xfId="0" applyNumberFormat="1" applyFont="1" applyFill="1" applyBorder="1" applyAlignment="1" applyProtection="1">
      <alignment horizontal="right"/>
    </xf>
    <xf numFmtId="3" fontId="10" fillId="2" borderId="10" xfId="0" applyNumberFormat="1" applyFont="1" applyFill="1" applyBorder="1" applyAlignment="1" applyProtection="1">
      <alignment horizontal="right"/>
    </xf>
    <xf numFmtId="0" fontId="16" fillId="0" borderId="8" xfId="0" applyFont="1" applyBorder="1"/>
    <xf numFmtId="3" fontId="9" fillId="2" borderId="10" xfId="0" applyNumberFormat="1" applyFont="1" applyFill="1" applyBorder="1" applyAlignment="1" applyProtection="1">
      <alignment horizontal="right"/>
    </xf>
    <xf numFmtId="0" fontId="4" fillId="2" borderId="10" xfId="0" applyNumberFormat="1" applyFont="1" applyFill="1" applyBorder="1" applyAlignment="1" applyProtection="1"/>
    <xf numFmtId="0" fontId="5" fillId="2" borderId="10" xfId="0" applyNumberFormat="1" applyFont="1" applyFill="1" applyBorder="1" applyAlignment="1" applyProtection="1"/>
    <xf numFmtId="3" fontId="5" fillId="0" borderId="25" xfId="0" applyNumberFormat="1" applyFont="1" applyBorder="1"/>
    <xf numFmtId="0" fontId="3" fillId="0" borderId="6" xfId="0" applyFont="1" applyBorder="1"/>
    <xf numFmtId="9" fontId="5" fillId="0" borderId="8" xfId="0" applyNumberFormat="1" applyFont="1" applyBorder="1"/>
    <xf numFmtId="9" fontId="4" fillId="0" borderId="8" xfId="0" applyNumberFormat="1" applyFont="1" applyBorder="1"/>
    <xf numFmtId="0" fontId="5" fillId="0" borderId="8" xfId="0" applyFont="1" applyBorder="1"/>
    <xf numFmtId="0" fontId="4" fillId="0" borderId="8" xfId="0" applyFont="1" applyBorder="1"/>
    <xf numFmtId="3" fontId="4" fillId="0" borderId="8" xfId="0" applyNumberFormat="1" applyFont="1" applyBorder="1"/>
    <xf numFmtId="0" fontId="5" fillId="0" borderId="6" xfId="0" applyFont="1" applyBorder="1"/>
    <xf numFmtId="0" fontId="4" fillId="0" borderId="8" xfId="0" applyNumberFormat="1" applyFont="1" applyFill="1" applyBorder="1" applyAlignment="1" applyProtection="1">
      <alignment horizontal="center"/>
    </xf>
    <xf numFmtId="0" fontId="4" fillId="0" borderId="9" xfId="0" applyNumberFormat="1" applyFont="1" applyFill="1" applyBorder="1" applyAlignment="1" applyProtection="1"/>
    <xf numFmtId="3" fontId="4" fillId="0" borderId="10" xfId="0" applyNumberFormat="1" applyFont="1" applyFill="1" applyBorder="1"/>
    <xf numFmtId="3" fontId="16" fillId="0" borderId="10" xfId="0" applyNumberFormat="1" applyFont="1" applyFill="1" applyBorder="1"/>
    <xf numFmtId="3" fontId="3" fillId="0" borderId="10" xfId="0" applyNumberFormat="1" applyFont="1" applyFill="1" applyBorder="1"/>
    <xf numFmtId="0" fontId="16" fillId="0" borderId="0" xfId="0" applyFont="1"/>
    <xf numFmtId="0" fontId="3" fillId="0" borderId="10" xfId="0" applyNumberFormat="1" applyFont="1" applyFill="1" applyBorder="1" applyAlignment="1" applyProtection="1"/>
    <xf numFmtId="0" fontId="16" fillId="0" borderId="10" xfId="0" applyFont="1" applyBorder="1"/>
    <xf numFmtId="0" fontId="5" fillId="0" borderId="0" xfId="0" applyFont="1" applyFill="1"/>
    <xf numFmtId="0" fontId="4" fillId="0" borderId="19" xfId="0" applyNumberFormat="1" applyFont="1" applyFill="1" applyBorder="1" applyAlignment="1" applyProtection="1"/>
    <xf numFmtId="0" fontId="5" fillId="0" borderId="26" xfId="0" applyNumberFormat="1" applyFont="1" applyFill="1" applyBorder="1" applyAlignment="1" applyProtection="1"/>
    <xf numFmtId="0" fontId="4" fillId="0" borderId="27" xfId="0" applyNumberFormat="1" applyFont="1" applyFill="1" applyBorder="1" applyAlignment="1" applyProtection="1"/>
    <xf numFmtId="0" fontId="16" fillId="0" borderId="9" xfId="0" applyFont="1" applyBorder="1"/>
    <xf numFmtId="164" fontId="16" fillId="0" borderId="0" xfId="0" applyNumberFormat="1" applyFont="1"/>
    <xf numFmtId="0" fontId="4" fillId="2" borderId="10" xfId="0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/>
    <xf numFmtId="164" fontId="16" fillId="0" borderId="0" xfId="0" applyNumberFormat="1" applyFont="1" applyFill="1" applyBorder="1" applyAlignment="1" applyProtection="1">
      <alignment horizontal="right"/>
    </xf>
    <xf numFmtId="0" fontId="16" fillId="0" borderId="10" xfId="0" applyNumberFormat="1" applyFont="1" applyFill="1" applyBorder="1" applyAlignment="1" applyProtection="1"/>
    <xf numFmtId="0" fontId="3" fillId="2" borderId="10" xfId="0" applyNumberFormat="1" applyFont="1" applyFill="1" applyBorder="1" applyAlignment="1" applyProtection="1"/>
    <xf numFmtId="164" fontId="3" fillId="2" borderId="10" xfId="0" applyNumberFormat="1" applyFont="1" applyFill="1" applyBorder="1" applyAlignment="1" applyProtection="1"/>
    <xf numFmtId="0" fontId="5" fillId="0" borderId="10" xfId="0" applyNumberFormat="1" applyFont="1" applyFill="1" applyBorder="1" applyAlignment="1" applyProtection="1">
      <alignment horizontal="right"/>
    </xf>
    <xf numFmtId="3" fontId="16" fillId="0" borderId="0" xfId="0" applyNumberFormat="1" applyFont="1"/>
    <xf numFmtId="0" fontId="5" fillId="0" borderId="10" xfId="0" applyNumberFormat="1" applyFont="1" applyFill="1" applyBorder="1" applyAlignment="1" applyProtection="1">
      <alignment horizontal="left"/>
    </xf>
    <xf numFmtId="0" fontId="2" fillId="0" borderId="14" xfId="0" applyNumberFormat="1" applyFont="1" applyFill="1" applyBorder="1" applyAlignment="1" applyProtection="1"/>
    <xf numFmtId="0" fontId="4" fillId="0" borderId="14" xfId="0" applyNumberFormat="1" applyFont="1" applyFill="1" applyBorder="1" applyAlignment="1" applyProtection="1"/>
    <xf numFmtId="0" fontId="16" fillId="0" borderId="0" xfId="0" applyFont="1" applyFill="1"/>
    <xf numFmtId="0" fontId="5" fillId="0" borderId="14" xfId="0" applyNumberFormat="1" applyFont="1" applyFill="1" applyBorder="1" applyAlignment="1" applyProtection="1"/>
    <xf numFmtId="0" fontId="16" fillId="0" borderId="14" xfId="0" applyNumberFormat="1" applyFont="1" applyFill="1" applyBorder="1" applyAlignment="1" applyProtection="1"/>
    <xf numFmtId="0" fontId="16" fillId="2" borderId="10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4" fontId="16" fillId="0" borderId="0" xfId="0" applyNumberFormat="1" applyFont="1"/>
    <xf numFmtId="3" fontId="5" fillId="0" borderId="9" xfId="0" applyNumberFormat="1" applyFont="1" applyBorder="1"/>
    <xf numFmtId="3" fontId="4" fillId="0" borderId="9" xfId="0" applyNumberFormat="1" applyFont="1" applyBorder="1"/>
    <xf numFmtId="3" fontId="5" fillId="0" borderId="4" xfId="0" applyNumberFormat="1" applyFont="1" applyBorder="1"/>
    <xf numFmtId="0" fontId="5" fillId="0" borderId="7" xfId="0" applyNumberFormat="1" applyFont="1" applyFill="1" applyBorder="1" applyAlignment="1" applyProtection="1">
      <alignment horizontal="right"/>
    </xf>
    <xf numFmtId="3" fontId="9" fillId="3" borderId="13" xfId="0" applyNumberFormat="1" applyFont="1" applyFill="1" applyBorder="1" applyAlignment="1" applyProtection="1">
      <alignment horizontal="right"/>
    </xf>
    <xf numFmtId="0" fontId="16" fillId="0" borderId="4" xfId="0" applyFont="1" applyBorder="1"/>
    <xf numFmtId="0" fontId="16" fillId="0" borderId="0" xfId="0" applyFont="1" applyBorder="1"/>
    <xf numFmtId="0" fontId="16" fillId="0" borderId="28" xfId="0" applyFont="1" applyBorder="1"/>
    <xf numFmtId="0" fontId="4" fillId="0" borderId="29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/>
    <xf numFmtId="0" fontId="4" fillId="0" borderId="20" xfId="0" applyNumberFormat="1" applyFont="1" applyFill="1" applyBorder="1" applyAlignment="1" applyProtection="1"/>
    <xf numFmtId="0" fontId="16" fillId="0" borderId="22" xfId="0" applyNumberFormat="1" applyFont="1" applyFill="1" applyBorder="1" applyAlignment="1" applyProtection="1"/>
    <xf numFmtId="0" fontId="5" fillId="0" borderId="30" xfId="0" applyNumberFormat="1" applyFont="1" applyFill="1" applyBorder="1" applyAlignment="1" applyProtection="1"/>
    <xf numFmtId="0" fontId="4" fillId="0" borderId="13" xfId="0" applyNumberFormat="1" applyFont="1" applyFill="1" applyBorder="1" applyAlignment="1" applyProtection="1"/>
    <xf numFmtId="168" fontId="16" fillId="0" borderId="0" xfId="0" applyNumberFormat="1" applyFont="1" applyBorder="1"/>
    <xf numFmtId="3" fontId="5" fillId="0" borderId="0" xfId="0" applyNumberFormat="1" applyFont="1" applyFill="1" applyBorder="1" applyAlignment="1" applyProtection="1"/>
    <xf numFmtId="49" fontId="4" fillId="0" borderId="5" xfId="0" applyNumberFormat="1" applyFont="1" applyFill="1" applyBorder="1" applyAlignment="1" applyProtection="1">
      <alignment horizontal="center"/>
    </xf>
    <xf numFmtId="169" fontId="4" fillId="0" borderId="5" xfId="0" applyNumberFormat="1" applyFont="1" applyFill="1" applyBorder="1" applyAlignment="1" applyProtection="1">
      <alignment horizontal="center"/>
    </xf>
    <xf numFmtId="169" fontId="16" fillId="0" borderId="0" xfId="0" applyNumberFormat="1" applyFont="1" applyFill="1" applyBorder="1" applyAlignment="1" applyProtection="1">
      <alignment horizontal="right"/>
    </xf>
    <xf numFmtId="169" fontId="4" fillId="0" borderId="12" xfId="0" applyNumberFormat="1" applyFont="1" applyFill="1" applyBorder="1" applyAlignment="1" applyProtection="1">
      <alignment horizontal="center"/>
    </xf>
    <xf numFmtId="169" fontId="9" fillId="2" borderId="10" xfId="0" applyNumberFormat="1" applyFont="1" applyFill="1" applyBorder="1" applyAlignment="1" applyProtection="1">
      <alignment horizontal="right"/>
    </xf>
    <xf numFmtId="169" fontId="16" fillId="0" borderId="0" xfId="0" applyNumberFormat="1" applyFont="1" applyFill="1"/>
    <xf numFmtId="3" fontId="16" fillId="0" borderId="0" xfId="0" applyNumberFormat="1" applyFont="1" applyFill="1"/>
    <xf numFmtId="3" fontId="5" fillId="0" borderId="31" xfId="0" applyNumberFormat="1" applyFont="1" applyFill="1" applyBorder="1" applyAlignment="1" applyProtection="1"/>
    <xf numFmtId="3" fontId="10" fillId="0" borderId="15" xfId="0" applyNumberFormat="1" applyFont="1" applyFill="1" applyBorder="1" applyAlignment="1" applyProtection="1">
      <alignment horizontal="right"/>
    </xf>
    <xf numFmtId="3" fontId="5" fillId="0" borderId="15" xfId="0" applyNumberFormat="1" applyFont="1" applyFill="1" applyBorder="1" applyAlignment="1" applyProtection="1">
      <alignment horizontal="right"/>
    </xf>
    <xf numFmtId="3" fontId="16" fillId="0" borderId="0" xfId="0" applyNumberFormat="1" applyFont="1" applyFill="1" applyBorder="1" applyAlignment="1" applyProtection="1">
      <alignment horizontal="right"/>
    </xf>
    <xf numFmtId="3" fontId="4" fillId="0" borderId="32" xfId="0" applyNumberFormat="1" applyFont="1" applyFill="1" applyBorder="1" applyAlignment="1" applyProtection="1">
      <alignment horizontal="right"/>
    </xf>
    <xf numFmtId="3" fontId="5" fillId="0" borderId="7" xfId="0" applyNumberFormat="1" applyFont="1" applyFill="1" applyBorder="1"/>
    <xf numFmtId="3" fontId="4" fillId="0" borderId="10" xfId="0" applyNumberFormat="1" applyFont="1" applyBorder="1"/>
    <xf numFmtId="3" fontId="5" fillId="0" borderId="10" xfId="0" applyNumberFormat="1" applyFont="1" applyFill="1" applyBorder="1"/>
    <xf numFmtId="14" fontId="3" fillId="0" borderId="4" xfId="0" applyNumberFormat="1" applyFont="1" applyBorder="1"/>
    <xf numFmtId="0" fontId="3" fillId="0" borderId="1" xfId="0" applyFont="1" applyBorder="1" applyAlignment="1">
      <alignment horizontal="center"/>
    </xf>
    <xf numFmtId="3" fontId="4" fillId="0" borderId="5" xfId="0" applyNumberFormat="1" applyFont="1" applyBorder="1"/>
    <xf numFmtId="0" fontId="4" fillId="0" borderId="5" xfId="0" applyFont="1" applyBorder="1" applyAlignment="1">
      <alignment horizontal="left"/>
    </xf>
    <xf numFmtId="164" fontId="4" fillId="0" borderId="12" xfId="0" applyNumberFormat="1" applyFont="1" applyFill="1" applyBorder="1" applyAlignment="1" applyProtection="1">
      <alignment horizontal="center"/>
    </xf>
    <xf numFmtId="3" fontId="4" fillId="0" borderId="33" xfId="0" applyNumberFormat="1" applyFont="1" applyFill="1" applyBorder="1" applyAlignment="1" applyProtection="1"/>
    <xf numFmtId="3" fontId="4" fillId="0" borderId="18" xfId="0" applyNumberFormat="1" applyFont="1" applyFill="1" applyBorder="1" applyAlignment="1" applyProtection="1">
      <alignment horizontal="right"/>
    </xf>
    <xf numFmtId="0" fontId="3" fillId="0" borderId="2" xfId="0" applyFont="1" applyFill="1" applyBorder="1"/>
    <xf numFmtId="0" fontId="2" fillId="0" borderId="0" xfId="0" applyFont="1" applyFill="1"/>
    <xf numFmtId="0" fontId="3" fillId="0" borderId="0" xfId="0" applyFont="1" applyFill="1"/>
    <xf numFmtId="0" fontId="4" fillId="0" borderId="29" xfId="0" applyNumberFormat="1" applyFont="1" applyFill="1" applyBorder="1" applyAlignment="1" applyProtection="1">
      <alignment horizontal="left"/>
    </xf>
    <xf numFmtId="0" fontId="4" fillId="0" borderId="34" xfId="0" applyNumberFormat="1" applyFont="1" applyFill="1" applyBorder="1" applyAlignment="1" applyProtection="1">
      <alignment horizontal="center"/>
    </xf>
    <xf numFmtId="3" fontId="4" fillId="0" borderId="12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/>
    <xf numFmtId="3" fontId="5" fillId="0" borderId="5" xfId="0" applyNumberFormat="1" applyFont="1" applyFill="1" applyBorder="1"/>
    <xf numFmtId="49" fontId="4" fillId="4" borderId="5" xfId="0" applyNumberFormat="1" applyFont="1" applyFill="1" applyBorder="1" applyAlignment="1" applyProtection="1">
      <alignment horizontal="center"/>
    </xf>
    <xf numFmtId="164" fontId="16" fillId="4" borderId="0" xfId="0" applyNumberFormat="1" applyFont="1" applyFill="1"/>
    <xf numFmtId="3" fontId="4" fillId="0" borderId="15" xfId="0" applyNumberFormat="1" applyFont="1" applyFill="1" applyBorder="1" applyAlignment="1" applyProtection="1">
      <alignment horizontal="right"/>
    </xf>
    <xf numFmtId="3" fontId="4" fillId="0" borderId="30" xfId="0" applyNumberFormat="1" applyFont="1" applyFill="1" applyBorder="1" applyAlignment="1" applyProtection="1"/>
    <xf numFmtId="0" fontId="4" fillId="3" borderId="20" xfId="0" applyNumberFormat="1" applyFont="1" applyFill="1" applyBorder="1" applyAlignment="1" applyProtection="1">
      <alignment horizontal="center"/>
    </xf>
    <xf numFmtId="0" fontId="4" fillId="3" borderId="21" xfId="0" applyNumberFormat="1" applyFont="1" applyFill="1" applyBorder="1" applyAlignment="1" applyProtection="1">
      <alignment horizontal="center"/>
    </xf>
    <xf numFmtId="0" fontId="4" fillId="3" borderId="4" xfId="0" applyNumberFormat="1" applyFont="1" applyFill="1" applyBorder="1" applyAlignment="1" applyProtection="1">
      <alignment horizontal="center"/>
    </xf>
    <xf numFmtId="0" fontId="4" fillId="3" borderId="5" xfId="0" applyNumberFormat="1" applyFont="1" applyFill="1" applyBorder="1" applyAlignment="1" applyProtection="1">
      <alignment horizontal="center"/>
    </xf>
    <xf numFmtId="3" fontId="4" fillId="3" borderId="1" xfId="0" applyNumberFormat="1" applyFont="1" applyFill="1" applyBorder="1" applyAlignment="1" applyProtection="1"/>
    <xf numFmtId="3" fontId="4" fillId="3" borderId="3" xfId="0" applyNumberFormat="1" applyFont="1" applyFill="1" applyBorder="1" applyAlignment="1" applyProtection="1"/>
    <xf numFmtId="0" fontId="5" fillId="3" borderId="9" xfId="0" applyNumberFormat="1" applyFont="1" applyFill="1" applyBorder="1" applyAlignment="1" applyProtection="1"/>
    <xf numFmtId="0" fontId="5" fillId="3" borderId="8" xfId="0" applyNumberFormat="1" applyFont="1" applyFill="1" applyBorder="1" applyAlignment="1" applyProtection="1"/>
    <xf numFmtId="3" fontId="5" fillId="3" borderId="9" xfId="0" applyNumberFormat="1" applyFont="1" applyFill="1" applyBorder="1" applyAlignment="1" applyProtection="1"/>
    <xf numFmtId="3" fontId="5" fillId="3" borderId="8" xfId="0" applyNumberFormat="1" applyFont="1" applyFill="1" applyBorder="1" applyAlignment="1" applyProtection="1"/>
    <xf numFmtId="3" fontId="4" fillId="3" borderId="20" xfId="0" applyNumberFormat="1" applyFont="1" applyFill="1" applyBorder="1" applyAlignment="1" applyProtection="1"/>
    <xf numFmtId="3" fontId="4" fillId="3" borderId="21" xfId="0" applyNumberFormat="1" applyFont="1" applyFill="1" applyBorder="1" applyAlignment="1" applyProtection="1"/>
    <xf numFmtId="1" fontId="5" fillId="3" borderId="9" xfId="0" applyNumberFormat="1" applyFont="1" applyFill="1" applyBorder="1" applyAlignment="1" applyProtection="1"/>
    <xf numFmtId="3" fontId="4" fillId="3" borderId="12" xfId="0" applyNumberFormat="1" applyFont="1" applyFill="1" applyBorder="1" applyAlignment="1" applyProtection="1"/>
    <xf numFmtId="0" fontId="5" fillId="3" borderId="23" xfId="0" applyNumberFormat="1" applyFont="1" applyFill="1" applyBorder="1" applyAlignment="1" applyProtection="1"/>
    <xf numFmtId="3" fontId="4" fillId="3" borderId="9" xfId="0" applyNumberFormat="1" applyFont="1" applyFill="1" applyBorder="1" applyAlignment="1" applyProtection="1"/>
    <xf numFmtId="3" fontId="4" fillId="3" borderId="8" xfId="0" applyNumberFormat="1" applyFont="1" applyFill="1" applyBorder="1" applyAlignment="1" applyProtection="1"/>
    <xf numFmtId="0" fontId="5" fillId="3" borderId="22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16" fillId="3" borderId="0" xfId="0" applyFont="1" applyFill="1"/>
    <xf numFmtId="3" fontId="2" fillId="0" borderId="0" xfId="0" applyNumberFormat="1" applyFont="1"/>
    <xf numFmtId="3" fontId="2" fillId="0" borderId="0" xfId="0" applyNumberFormat="1" applyFont="1" applyFill="1"/>
    <xf numFmtId="3" fontId="3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19" fillId="0" borderId="10" xfId="0" applyNumberFormat="1" applyFont="1" applyFill="1" applyBorder="1" applyAlignment="1" applyProtection="1">
      <alignment horizontal="right"/>
    </xf>
    <xf numFmtId="0" fontId="5" fillId="0" borderId="36" xfId="0" applyNumberFormat="1" applyFont="1" applyFill="1" applyBorder="1" applyAlignment="1" applyProtection="1"/>
    <xf numFmtId="3" fontId="7" fillId="0" borderId="0" xfId="0" applyNumberFormat="1" applyFont="1"/>
    <xf numFmtId="164" fontId="16" fillId="4" borderId="0" xfId="0" applyNumberFormat="1" applyFont="1" applyFill="1" applyBorder="1"/>
    <xf numFmtId="0" fontId="3" fillId="0" borderId="2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3" fillId="0" borderId="35" xfId="0" applyFont="1" applyBorder="1"/>
    <xf numFmtId="0" fontId="3" fillId="0" borderId="37" xfId="0" applyFont="1" applyBorder="1"/>
    <xf numFmtId="0" fontId="16" fillId="0" borderId="38" xfId="0" applyFont="1" applyBorder="1"/>
    <xf numFmtId="0" fontId="3" fillId="0" borderId="38" xfId="0" applyFont="1" applyBorder="1"/>
    <xf numFmtId="0" fontId="3" fillId="0" borderId="38" xfId="0" applyFont="1" applyBorder="1" applyAlignment="1">
      <alignment horizontal="right"/>
    </xf>
    <xf numFmtId="0" fontId="16" fillId="0" borderId="37" xfId="0" applyFont="1" applyBorder="1"/>
    <xf numFmtId="0" fontId="4" fillId="0" borderId="2" xfId="0" applyFont="1" applyBorder="1" applyAlignment="1">
      <alignment horizontal="left"/>
    </xf>
    <xf numFmtId="0" fontId="5" fillId="0" borderId="0" xfId="0" applyFont="1" applyFill="1" applyAlignment="1"/>
    <xf numFmtId="3" fontId="5" fillId="0" borderId="0" xfId="0" applyNumberFormat="1" applyFont="1" applyFill="1" applyAlignment="1"/>
    <xf numFmtId="4" fontId="5" fillId="0" borderId="0" xfId="0" applyNumberFormat="1" applyFont="1" applyFill="1" applyAlignment="1"/>
    <xf numFmtId="49" fontId="16" fillId="0" borderId="10" xfId="0" applyNumberFormat="1" applyFont="1" applyFill="1" applyBorder="1" applyAlignment="1" applyProtection="1">
      <alignment horizontal="left"/>
    </xf>
    <xf numFmtId="0" fontId="6" fillId="0" borderId="0" xfId="0" applyFont="1"/>
    <xf numFmtId="3" fontId="5" fillId="2" borderId="10" xfId="0" applyNumberFormat="1" applyFont="1" applyFill="1" applyBorder="1"/>
    <xf numFmtId="3" fontId="8" fillId="2" borderId="10" xfId="0" applyNumberFormat="1" applyFont="1" applyFill="1" applyBorder="1"/>
    <xf numFmtId="9" fontId="5" fillId="0" borderId="0" xfId="2" applyFont="1" applyFill="1" applyBorder="1"/>
    <xf numFmtId="0" fontId="3" fillId="0" borderId="0" xfId="0" applyFont="1" applyAlignment="1">
      <alignment horizontal="right"/>
    </xf>
    <xf numFmtId="164" fontId="8" fillId="0" borderId="0" xfId="0" applyNumberFormat="1" applyFont="1" applyAlignment="1">
      <alignment horizontal="center"/>
    </xf>
    <xf numFmtId="0" fontId="5" fillId="0" borderId="0" xfId="0" applyNumberFormat="1" applyFont="1" applyFill="1" applyBorder="1" applyAlignment="1" applyProtection="1">
      <alignment horizontal="right"/>
    </xf>
    <xf numFmtId="0" fontId="4" fillId="0" borderId="12" xfId="0" applyNumberFormat="1" applyFont="1" applyFill="1" applyBorder="1" applyAlignment="1" applyProtection="1">
      <alignment horizontal="right"/>
    </xf>
    <xf numFmtId="0" fontId="16" fillId="0" borderId="10" xfId="0" applyFont="1" applyBorder="1" applyAlignment="1">
      <alignment horizontal="right"/>
    </xf>
    <xf numFmtId="164" fontId="16" fillId="0" borderId="10" xfId="0" applyNumberFormat="1" applyFont="1" applyBorder="1" applyAlignment="1">
      <alignment horizontal="right"/>
    </xf>
    <xf numFmtId="164" fontId="5" fillId="0" borderId="10" xfId="0" applyNumberFormat="1" applyFont="1" applyFill="1" applyBorder="1" applyAlignment="1" applyProtection="1">
      <alignment horizontal="right"/>
    </xf>
    <xf numFmtId="0" fontId="4" fillId="0" borderId="10" xfId="0" applyNumberFormat="1" applyFont="1" applyFill="1" applyBorder="1" applyAlignment="1" applyProtection="1">
      <alignment horizontal="right"/>
    </xf>
    <xf numFmtId="0" fontId="4" fillId="2" borderId="10" xfId="0" applyNumberFormat="1" applyFont="1" applyFill="1" applyBorder="1" applyAlignment="1" applyProtection="1">
      <alignment horizontal="right"/>
    </xf>
    <xf numFmtId="166" fontId="10" fillId="0" borderId="10" xfId="0" applyNumberFormat="1" applyFont="1" applyFill="1" applyBorder="1" applyAlignment="1" applyProtection="1">
      <alignment horizontal="right"/>
    </xf>
    <xf numFmtId="9" fontId="5" fillId="0" borderId="10" xfId="0" applyNumberFormat="1" applyFont="1" applyFill="1" applyBorder="1" applyAlignment="1" applyProtection="1">
      <alignment horizontal="right"/>
    </xf>
    <xf numFmtId="167" fontId="5" fillId="0" borderId="10" xfId="0" applyNumberFormat="1" applyFont="1" applyFill="1" applyBorder="1" applyAlignment="1" applyProtection="1">
      <alignment horizontal="right"/>
    </xf>
    <xf numFmtId="168" fontId="5" fillId="0" borderId="14" xfId="0" applyNumberFormat="1" applyFont="1" applyFill="1" applyBorder="1" applyAlignment="1" applyProtection="1">
      <alignment horizontal="right"/>
    </xf>
    <xf numFmtId="0" fontId="5" fillId="2" borderId="10" xfId="0" applyNumberFormat="1" applyFont="1" applyFill="1" applyBorder="1" applyAlignment="1" applyProtection="1">
      <alignment horizontal="right"/>
    </xf>
    <xf numFmtId="3" fontId="4" fillId="0" borderId="10" xfId="0" applyNumberFormat="1" applyFont="1" applyFill="1" applyBorder="1" applyAlignment="1" applyProtection="1">
      <alignment horizontal="right"/>
    </xf>
    <xf numFmtId="4" fontId="10" fillId="3" borderId="24" xfId="0" applyNumberFormat="1" applyFont="1" applyFill="1" applyBorder="1" applyAlignment="1" applyProtection="1">
      <alignment horizontal="right"/>
    </xf>
    <xf numFmtId="0" fontId="16" fillId="0" borderId="32" xfId="0" applyFont="1" applyBorder="1" applyAlignment="1">
      <alignment horizontal="right"/>
    </xf>
    <xf numFmtId="0" fontId="16" fillId="0" borderId="15" xfId="0" applyFont="1" applyBorder="1" applyAlignment="1">
      <alignment horizontal="right"/>
    </xf>
    <xf numFmtId="168" fontId="16" fillId="0" borderId="15" xfId="0" applyNumberFormat="1" applyFont="1" applyBorder="1" applyAlignment="1">
      <alignment horizontal="right"/>
    </xf>
    <xf numFmtId="4" fontId="16" fillId="0" borderId="15" xfId="0" applyNumberFormat="1" applyFont="1" applyBorder="1" applyAlignment="1">
      <alignment horizontal="right"/>
    </xf>
    <xf numFmtId="0" fontId="16" fillId="0" borderId="18" xfId="0" applyFont="1" applyBorder="1" applyAlignment="1">
      <alignment horizontal="right"/>
    </xf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3" fontId="5" fillId="0" borderId="9" xfId="0" applyNumberFormat="1" applyFont="1" applyFill="1" applyBorder="1"/>
    <xf numFmtId="49" fontId="5" fillId="0" borderId="10" xfId="0" applyNumberFormat="1" applyFont="1" applyFill="1" applyBorder="1" applyAlignment="1" applyProtection="1"/>
    <xf numFmtId="1" fontId="4" fillId="4" borderId="12" xfId="0" applyNumberFormat="1" applyFont="1" applyFill="1" applyBorder="1" applyAlignment="1" applyProtection="1">
      <alignment horizontal="center"/>
    </xf>
    <xf numFmtId="170" fontId="10" fillId="4" borderId="10" xfId="0" applyNumberFormat="1" applyFont="1" applyFill="1" applyBorder="1" applyAlignment="1" applyProtection="1">
      <alignment horizontal="right"/>
    </xf>
    <xf numFmtId="170" fontId="4" fillId="4" borderId="10" xfId="0" applyNumberFormat="1" applyFont="1" applyFill="1" applyBorder="1" applyAlignment="1" applyProtection="1"/>
    <xf numFmtId="170" fontId="4" fillId="4" borderId="32" xfId="0" applyNumberFormat="1" applyFont="1" applyFill="1" applyBorder="1" applyAlignment="1" applyProtection="1">
      <alignment horizontal="right"/>
    </xf>
    <xf numFmtId="3" fontId="8" fillId="0" borderId="10" xfId="0" applyNumberFormat="1" applyFont="1" applyFill="1" applyBorder="1"/>
    <xf numFmtId="0" fontId="3" fillId="0" borderId="31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8" fillId="0" borderId="31" xfId="0" applyFont="1" applyBorder="1" applyAlignment="1">
      <alignment horizontal="center"/>
    </xf>
    <xf numFmtId="0" fontId="0" fillId="0" borderId="18" xfId="0" applyBorder="1"/>
    <xf numFmtId="0" fontId="0" fillId="0" borderId="4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3" xfId="0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0" fillId="0" borderId="31" xfId="0" applyNumberFormat="1" applyFill="1" applyBorder="1"/>
    <xf numFmtId="3" fontId="6" fillId="0" borderId="31" xfId="0" applyNumberFormat="1" applyFont="1" applyFill="1" applyBorder="1"/>
    <xf numFmtId="3" fontId="0" fillId="2" borderId="44" xfId="0" applyNumberFormat="1" applyFill="1" applyBorder="1"/>
    <xf numFmtId="3" fontId="6" fillId="0" borderId="44" xfId="0" applyNumberFormat="1" applyFont="1" applyFill="1" applyBorder="1"/>
    <xf numFmtId="3" fontId="0" fillId="0" borderId="18" xfId="0" applyNumberFormat="1" applyFill="1" applyBorder="1"/>
    <xf numFmtId="0" fontId="3" fillId="0" borderId="31" xfId="0" applyFont="1" applyBorder="1"/>
    <xf numFmtId="3" fontId="0" fillId="0" borderId="35" xfId="0" applyNumberFormat="1" applyBorder="1"/>
    <xf numFmtId="3" fontId="0" fillId="0" borderId="2" xfId="0" applyNumberFormat="1" applyBorder="1"/>
    <xf numFmtId="3" fontId="0" fillId="0" borderId="41" xfId="0" applyNumberFormat="1" applyBorder="1"/>
    <xf numFmtId="3" fontId="0" fillId="2" borderId="31" xfId="0" applyNumberFormat="1" applyFill="1" applyBorder="1"/>
    <xf numFmtId="3" fontId="6" fillId="0" borderId="31" xfId="0" applyNumberFormat="1" applyFont="1" applyBorder="1"/>
    <xf numFmtId="0" fontId="3" fillId="0" borderId="15" xfId="0" applyFont="1" applyBorder="1"/>
    <xf numFmtId="3" fontId="6" fillId="0" borderId="15" xfId="0" applyNumberFormat="1" applyFont="1" applyBorder="1"/>
    <xf numFmtId="3" fontId="0" fillId="0" borderId="37" xfId="0" applyNumberFormat="1" applyBorder="1"/>
    <xf numFmtId="3" fontId="0" fillId="0" borderId="5" xfId="0" applyNumberFormat="1" applyBorder="1"/>
    <xf numFmtId="3" fontId="0" fillId="0" borderId="45" xfId="0" applyNumberFormat="1" applyBorder="1"/>
    <xf numFmtId="3" fontId="0" fillId="2" borderId="18" xfId="0" applyNumberFormat="1" applyFill="1" applyBorder="1"/>
    <xf numFmtId="3" fontId="6" fillId="0" borderId="18" xfId="0" applyNumberFormat="1" applyFont="1" applyBorder="1"/>
    <xf numFmtId="3" fontId="8" fillId="0" borderId="15" xfId="0" applyNumberFormat="1" applyFont="1" applyFill="1" applyBorder="1"/>
    <xf numFmtId="170" fontId="8" fillId="0" borderId="10" xfId="0" applyNumberFormat="1" applyFont="1" applyFill="1" applyBorder="1" applyAlignment="1" applyProtection="1"/>
    <xf numFmtId="0" fontId="7" fillId="0" borderId="35" xfId="0" applyFont="1" applyBorder="1" applyAlignment="1">
      <alignment horizontal="left"/>
    </xf>
    <xf numFmtId="0" fontId="0" fillId="0" borderId="0" xfId="0" applyBorder="1" applyAlignment="1"/>
    <xf numFmtId="0" fontId="0" fillId="0" borderId="0" xfId="0" applyFill="1" applyBorder="1" applyAlignment="1"/>
    <xf numFmtId="0" fontId="16" fillId="0" borderId="34" xfId="0" applyFont="1" applyBorder="1"/>
    <xf numFmtId="3" fontId="5" fillId="5" borderId="8" xfId="0" applyNumberFormat="1" applyFont="1" applyFill="1" applyBorder="1" applyAlignment="1" applyProtection="1"/>
    <xf numFmtId="3" fontId="5" fillId="6" borderId="23" xfId="0" applyNumberFormat="1" applyFont="1" applyFill="1" applyBorder="1" applyAlignment="1" applyProtection="1"/>
    <xf numFmtId="3" fontId="5" fillId="4" borderId="8" xfId="0" applyNumberFormat="1" applyFont="1" applyFill="1" applyBorder="1" applyAlignment="1" applyProtection="1"/>
    <xf numFmtId="3" fontId="5" fillId="2" borderId="8" xfId="0" applyNumberFormat="1" applyFont="1" applyFill="1" applyBorder="1" applyAlignment="1" applyProtection="1"/>
    <xf numFmtId="3" fontId="5" fillId="4" borderId="23" xfId="0" applyNumberFormat="1" applyFont="1" applyFill="1" applyBorder="1" applyAlignment="1" applyProtection="1"/>
    <xf numFmtId="3" fontId="5" fillId="5" borderId="23" xfId="0" applyNumberFormat="1" applyFont="1" applyFill="1" applyBorder="1" applyAlignment="1" applyProtection="1"/>
    <xf numFmtId="0" fontId="5" fillId="7" borderId="8" xfId="0" applyNumberFormat="1" applyFont="1" applyFill="1" applyBorder="1" applyAlignment="1" applyProtection="1"/>
    <xf numFmtId="0" fontId="16" fillId="0" borderId="21" xfId="0" applyFont="1" applyBorder="1"/>
    <xf numFmtId="0" fontId="5" fillId="6" borderId="8" xfId="0" applyFont="1" applyFill="1" applyBorder="1"/>
    <xf numFmtId="3" fontId="5" fillId="8" borderId="8" xfId="0" applyNumberFormat="1" applyFont="1" applyFill="1" applyBorder="1" applyAlignment="1" applyProtection="1"/>
    <xf numFmtId="3" fontId="5" fillId="0" borderId="46" xfId="0" applyNumberFormat="1" applyFont="1" applyFill="1" applyBorder="1" applyAlignment="1" applyProtection="1"/>
    <xf numFmtId="3" fontId="5" fillId="2" borderId="46" xfId="0" applyNumberFormat="1" applyFont="1" applyFill="1" applyBorder="1" applyAlignment="1" applyProtection="1"/>
    <xf numFmtId="0" fontId="16" fillId="0" borderId="47" xfId="0" applyFont="1" applyBorder="1"/>
    <xf numFmtId="3" fontId="5" fillId="6" borderId="9" xfId="0" applyNumberFormat="1" applyFont="1" applyFill="1" applyBorder="1" applyAlignment="1" applyProtection="1"/>
    <xf numFmtId="3" fontId="5" fillId="2" borderId="9" xfId="0" applyNumberFormat="1" applyFont="1" applyFill="1" applyBorder="1" applyAlignment="1" applyProtection="1"/>
    <xf numFmtId="3" fontId="5" fillId="4" borderId="22" xfId="0" applyNumberFormat="1" applyFont="1" applyFill="1" applyBorder="1" applyAlignment="1" applyProtection="1"/>
    <xf numFmtId="0" fontId="5" fillId="5" borderId="9" xfId="0" applyNumberFormat="1" applyFont="1" applyFill="1" applyBorder="1" applyAlignment="1" applyProtection="1"/>
    <xf numFmtId="3" fontId="5" fillId="4" borderId="9" xfId="0" applyNumberFormat="1" applyFont="1" applyFill="1" applyBorder="1" applyAlignment="1" applyProtection="1"/>
    <xf numFmtId="3" fontId="5" fillId="0" borderId="20" xfId="0" applyNumberFormat="1" applyFont="1" applyFill="1" applyBorder="1" applyAlignment="1" applyProtection="1"/>
    <xf numFmtId="0" fontId="5" fillId="4" borderId="9" xfId="0" applyNumberFormat="1" applyFont="1" applyFill="1" applyBorder="1" applyAlignment="1" applyProtection="1"/>
    <xf numFmtId="3" fontId="5" fillId="8" borderId="9" xfId="0" applyNumberFormat="1" applyFont="1" applyFill="1" applyBorder="1" applyAlignment="1" applyProtection="1"/>
    <xf numFmtId="0" fontId="5" fillId="3" borderId="9" xfId="0" applyFont="1" applyFill="1" applyBorder="1"/>
    <xf numFmtId="3" fontId="5" fillId="7" borderId="9" xfId="0" applyNumberFormat="1" applyFont="1" applyFill="1" applyBorder="1" applyAlignment="1" applyProtection="1"/>
    <xf numFmtId="3" fontId="5" fillId="9" borderId="9" xfId="0" applyNumberFormat="1" applyFont="1" applyFill="1" applyBorder="1" applyAlignment="1" applyProtection="1"/>
    <xf numFmtId="3" fontId="5" fillId="5" borderId="9" xfId="0" applyNumberFormat="1" applyFont="1" applyFill="1" applyBorder="1" applyAlignment="1" applyProtection="1"/>
    <xf numFmtId="0" fontId="5" fillId="5" borderId="22" xfId="0" applyNumberFormat="1" applyFont="1" applyFill="1" applyBorder="1" applyAlignment="1" applyProtection="1"/>
    <xf numFmtId="3" fontId="1" fillId="0" borderId="0" xfId="0" applyNumberFormat="1" applyFont="1" applyFill="1" applyAlignment="1">
      <alignment horizontal="left"/>
    </xf>
    <xf numFmtId="3" fontId="3" fillId="0" borderId="0" xfId="0" applyNumberFormat="1" applyFont="1" applyFill="1"/>
    <xf numFmtId="164" fontId="16" fillId="0" borderId="0" xfId="0" applyNumberFormat="1" applyFont="1" applyFill="1"/>
    <xf numFmtId="169" fontId="5" fillId="0" borderId="0" xfId="0" applyNumberFormat="1" applyFont="1" applyFill="1" applyBorder="1"/>
    <xf numFmtId="0" fontId="16" fillId="0" borderId="0" xfId="0" applyFont="1" applyFill="1" applyBorder="1"/>
    <xf numFmtId="3" fontId="6" fillId="0" borderId="44" xfId="0" applyNumberFormat="1" applyFont="1" applyFill="1" applyBorder="1" applyAlignment="1">
      <alignment wrapText="1"/>
    </xf>
    <xf numFmtId="0" fontId="7" fillId="0" borderId="39" xfId="0" applyFont="1" applyBorder="1" applyAlignment="1">
      <alignment horizontal="left"/>
    </xf>
    <xf numFmtId="3" fontId="1" fillId="0" borderId="0" xfId="0" applyNumberFormat="1" applyFont="1" applyFill="1"/>
    <xf numFmtId="170" fontId="19" fillId="4" borderId="10" xfId="0" applyNumberFormat="1" applyFont="1" applyFill="1" applyBorder="1" applyAlignment="1" applyProtection="1">
      <alignment horizontal="right"/>
    </xf>
    <xf numFmtId="170" fontId="19" fillId="4" borderId="14" xfId="0" applyNumberFormat="1" applyFont="1" applyFill="1" applyBorder="1" applyAlignment="1" applyProtection="1">
      <alignment horizontal="right"/>
    </xf>
    <xf numFmtId="170" fontId="5" fillId="0" borderId="0" xfId="0" applyNumberFormat="1" applyFont="1" applyFill="1" applyBorder="1" applyAlignment="1" applyProtection="1"/>
    <xf numFmtId="3" fontId="21" fillId="0" borderId="0" xfId="0" applyNumberFormat="1" applyFont="1" applyFill="1" applyBorder="1" applyAlignment="1" applyProtection="1">
      <alignment horizontal="right"/>
    </xf>
    <xf numFmtId="170" fontId="9" fillId="4" borderId="14" xfId="0" applyNumberFormat="1" applyFont="1" applyFill="1" applyBorder="1" applyAlignment="1" applyProtection="1">
      <alignment horizontal="right"/>
    </xf>
    <xf numFmtId="170" fontId="3" fillId="2" borderId="10" xfId="0" applyNumberFormat="1" applyFont="1" applyFill="1" applyBorder="1" applyAlignment="1" applyProtection="1"/>
    <xf numFmtId="170" fontId="4" fillId="0" borderId="10" xfId="0" applyNumberFormat="1" applyFont="1" applyFill="1" applyBorder="1" applyAlignment="1" applyProtection="1"/>
    <xf numFmtId="168" fontId="16" fillId="0" borderId="0" xfId="0" applyNumberFormat="1" applyFont="1" applyAlignment="1">
      <alignment horizontal="right"/>
    </xf>
    <xf numFmtId="9" fontId="6" fillId="0" borderId="44" xfId="2" applyFont="1" applyFill="1" applyBorder="1"/>
    <xf numFmtId="0" fontId="20" fillId="9" borderId="9" xfId="0" applyFont="1" applyFill="1" applyBorder="1"/>
    <xf numFmtId="0" fontId="5" fillId="0" borderId="15" xfId="0" applyFont="1" applyFill="1" applyBorder="1" applyAlignment="1">
      <alignment horizontal="right"/>
    </xf>
    <xf numFmtId="1" fontId="5" fillId="3" borderId="22" xfId="0" applyNumberFormat="1" applyFont="1" applyFill="1" applyBorder="1" applyAlignment="1" applyProtection="1"/>
    <xf numFmtId="0" fontId="8" fillId="0" borderId="0" xfId="0" applyFont="1" applyFill="1" applyBorder="1"/>
    <xf numFmtId="0" fontId="5" fillId="0" borderId="0" xfId="0" applyFont="1" applyFill="1" applyBorder="1"/>
    <xf numFmtId="0" fontId="20" fillId="0" borderId="0" xfId="0" applyFont="1" applyFill="1" applyBorder="1"/>
    <xf numFmtId="171" fontId="16" fillId="0" borderId="0" xfId="0" applyNumberFormat="1" applyFont="1" applyFill="1" applyBorder="1"/>
    <xf numFmtId="171" fontId="8" fillId="0" borderId="0" xfId="0" applyNumberFormat="1" applyFont="1" applyFill="1" applyBorder="1"/>
    <xf numFmtId="3" fontId="5" fillId="0" borderId="10" xfId="0" applyNumberFormat="1" applyFont="1" applyFill="1" applyBorder="1" applyAlignment="1" applyProtection="1">
      <alignment horizontal="right"/>
    </xf>
    <xf numFmtId="0" fontId="4" fillId="0" borderId="31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0" fillId="3" borderId="44" xfId="0" applyFill="1" applyBorder="1"/>
    <xf numFmtId="9" fontId="6" fillId="0" borderId="15" xfId="2" applyFont="1" applyFill="1" applyBorder="1"/>
    <xf numFmtId="0" fontId="7" fillId="0" borderId="0" xfId="0" applyFont="1" applyFill="1"/>
    <xf numFmtId="169" fontId="7" fillId="0" borderId="0" xfId="0" applyNumberFormat="1" applyFont="1" applyFill="1"/>
    <xf numFmtId="164" fontId="7" fillId="0" borderId="0" xfId="0" applyNumberFormat="1" applyFont="1" applyFill="1"/>
    <xf numFmtId="169" fontId="8" fillId="0" borderId="0" xfId="0" applyNumberFormat="1" applyFont="1" applyFill="1" applyBorder="1"/>
    <xf numFmtId="0" fontId="7" fillId="0" borderId="0" xfId="0" applyFont="1" applyFill="1" applyBorder="1"/>
    <xf numFmtId="164" fontId="8" fillId="0" borderId="0" xfId="0" applyNumberFormat="1" applyFont="1" applyFill="1" applyAlignment="1">
      <alignment horizontal="right"/>
    </xf>
    <xf numFmtId="169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164" fontId="8" fillId="0" borderId="0" xfId="0" applyNumberFormat="1" applyFont="1" applyFill="1"/>
    <xf numFmtId="169" fontId="1" fillId="0" borderId="0" xfId="0" applyNumberFormat="1" applyFont="1" applyFill="1"/>
    <xf numFmtId="169" fontId="6" fillId="0" borderId="0" xfId="0" applyNumberFormat="1" applyFont="1" applyFill="1"/>
    <xf numFmtId="3" fontId="4" fillId="0" borderId="47" xfId="0" applyNumberFormat="1" applyFont="1" applyFill="1" applyBorder="1" applyAlignment="1" applyProtection="1"/>
    <xf numFmtId="170" fontId="25" fillId="4" borderId="18" xfId="0" applyNumberFormat="1" applyFont="1" applyFill="1" applyBorder="1" applyAlignment="1" applyProtection="1">
      <alignment horizontal="right"/>
    </xf>
    <xf numFmtId="9" fontId="0" fillId="0" borderId="0" xfId="0" applyNumberFormat="1" applyFill="1" applyBorder="1" applyAlignment="1"/>
    <xf numFmtId="9" fontId="4" fillId="0" borderId="34" xfId="0" applyNumberFormat="1" applyFont="1" applyFill="1" applyBorder="1" applyAlignment="1" applyProtection="1">
      <alignment horizontal="center"/>
    </xf>
    <xf numFmtId="9" fontId="4" fillId="0" borderId="8" xfId="0" applyNumberFormat="1" applyFont="1" applyFill="1" applyBorder="1" applyAlignment="1" applyProtection="1">
      <alignment horizontal="center"/>
    </xf>
    <xf numFmtId="9" fontId="4" fillId="0" borderId="6" xfId="0" applyNumberFormat="1" applyFont="1" applyFill="1" applyBorder="1" applyAlignment="1" applyProtection="1">
      <alignment horizontal="center"/>
    </xf>
    <xf numFmtId="9" fontId="4" fillId="0" borderId="3" xfId="0" applyNumberFormat="1" applyFont="1" applyFill="1" applyBorder="1" applyAlignment="1" applyProtection="1"/>
    <xf numFmtId="9" fontId="5" fillId="0" borderId="8" xfId="0" applyNumberFormat="1" applyFont="1" applyFill="1" applyBorder="1" applyAlignment="1" applyProtection="1"/>
    <xf numFmtId="9" fontId="4" fillId="0" borderId="21" xfId="0" applyNumberFormat="1" applyFont="1" applyFill="1" applyBorder="1" applyAlignment="1" applyProtection="1"/>
    <xf numFmtId="9" fontId="5" fillId="0" borderId="23" xfId="0" applyNumberFormat="1" applyFont="1" applyFill="1" applyBorder="1" applyAlignment="1" applyProtection="1"/>
    <xf numFmtId="9" fontId="4" fillId="0" borderId="8" xfId="0" applyNumberFormat="1" applyFont="1" applyFill="1" applyBorder="1" applyAlignment="1" applyProtection="1"/>
    <xf numFmtId="9" fontId="4" fillId="0" borderId="47" xfId="0" applyNumberFormat="1" applyFont="1" applyFill="1" applyBorder="1" applyAlignment="1" applyProtection="1"/>
    <xf numFmtId="9" fontId="5" fillId="0" borderId="0" xfId="0" applyNumberFormat="1" applyFont="1" applyFill="1" applyBorder="1" applyAlignment="1" applyProtection="1"/>
    <xf numFmtId="9" fontId="16" fillId="0" borderId="0" xfId="0" applyNumberFormat="1" applyFont="1" applyFill="1"/>
    <xf numFmtId="3" fontId="5" fillId="0" borderId="15" xfId="0" applyNumberFormat="1" applyFont="1" applyFill="1" applyBorder="1" applyAlignment="1" applyProtection="1"/>
    <xf numFmtId="3" fontId="3" fillId="0" borderId="18" xfId="0" applyNumberFormat="1" applyFont="1" applyFill="1" applyBorder="1" applyAlignment="1" applyProtection="1">
      <alignment horizontal="right"/>
    </xf>
    <xf numFmtId="0" fontId="4" fillId="0" borderId="48" xfId="0" applyNumberFormat="1" applyFont="1" applyFill="1" applyBorder="1" applyAlignment="1" applyProtection="1">
      <alignment horizontal="center"/>
    </xf>
    <xf numFmtId="3" fontId="6" fillId="3" borderId="9" xfId="0" applyNumberFormat="1" applyFont="1" applyFill="1" applyBorder="1" applyAlignment="1" applyProtection="1"/>
    <xf numFmtId="4" fontId="16" fillId="0" borderId="0" xfId="0" applyNumberFormat="1" applyFont="1" applyBorder="1"/>
    <xf numFmtId="169" fontId="3" fillId="0" borderId="0" xfId="0" applyNumberFormat="1" applyFont="1" applyFill="1" applyBorder="1" applyAlignment="1">
      <alignment horizontal="center"/>
    </xf>
    <xf numFmtId="169" fontId="6" fillId="0" borderId="0" xfId="0" applyNumberFormat="1" applyFont="1" applyFill="1" applyBorder="1"/>
    <xf numFmtId="169" fontId="4" fillId="0" borderId="0" xfId="0" applyNumberFormat="1" applyFont="1" applyFill="1" applyBorder="1"/>
    <xf numFmtId="3" fontId="4" fillId="3" borderId="36" xfId="0" applyNumberFormat="1" applyFont="1" applyFill="1" applyBorder="1" applyAlignment="1" applyProtection="1"/>
    <xf numFmtId="0" fontId="6" fillId="0" borderId="36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>
      <alignment horizontal="left"/>
    </xf>
    <xf numFmtId="9" fontId="4" fillId="0" borderId="4" xfId="2" applyFont="1" applyFill="1" applyBorder="1" applyAlignment="1" applyProtection="1">
      <alignment horizontal="left"/>
    </xf>
    <xf numFmtId="169" fontId="7" fillId="0" borderId="0" xfId="0" applyNumberFormat="1" applyFont="1"/>
    <xf numFmtId="164" fontId="10" fillId="0" borderId="46" xfId="0" applyNumberFormat="1" applyFont="1" applyFill="1" applyBorder="1" applyAlignment="1" applyProtection="1">
      <alignment horizontal="right"/>
    </xf>
    <xf numFmtId="164" fontId="9" fillId="0" borderId="46" xfId="0" applyNumberFormat="1" applyFont="1" applyFill="1" applyBorder="1" applyAlignment="1" applyProtection="1">
      <alignment horizontal="right"/>
    </xf>
    <xf numFmtId="164" fontId="13" fillId="0" borderId="45" xfId="0" applyNumberFormat="1" applyFont="1" applyFill="1" applyBorder="1" applyAlignment="1" applyProtection="1">
      <alignment horizontal="right"/>
    </xf>
    <xf numFmtId="4" fontId="5" fillId="0" borderId="0" xfId="0" applyNumberFormat="1" applyFont="1" applyBorder="1"/>
    <xf numFmtId="169" fontId="5" fillId="0" borderId="0" xfId="0" applyNumberFormat="1" applyFont="1" applyBorder="1"/>
    <xf numFmtId="164" fontId="16" fillId="0" borderId="0" xfId="0" applyNumberFormat="1" applyFont="1" applyBorder="1"/>
    <xf numFmtId="4" fontId="16" fillId="0" borderId="0" xfId="0" applyNumberFormat="1" applyFont="1" applyFill="1" applyBorder="1" applyAlignment="1" applyProtection="1"/>
    <xf numFmtId="0" fontId="4" fillId="0" borderId="25" xfId="0" applyNumberFormat="1" applyFont="1" applyFill="1" applyBorder="1" applyAlignment="1" applyProtection="1">
      <alignment horizontal="center"/>
    </xf>
    <xf numFmtId="0" fontId="4" fillId="10" borderId="48" xfId="0" applyNumberFormat="1" applyFont="1" applyFill="1" applyBorder="1" applyAlignment="1" applyProtection="1">
      <alignment horizontal="center"/>
    </xf>
    <xf numFmtId="0" fontId="4" fillId="10" borderId="40" xfId="0" applyNumberFormat="1" applyFont="1" applyFill="1" applyBorder="1" applyAlignment="1" applyProtection="1">
      <alignment horizontal="center"/>
    </xf>
    <xf numFmtId="0" fontId="4" fillId="10" borderId="18" xfId="0" applyNumberFormat="1" applyFont="1" applyFill="1" applyBorder="1" applyAlignment="1" applyProtection="1">
      <alignment horizontal="center"/>
    </xf>
    <xf numFmtId="170" fontId="4" fillId="10" borderId="31" xfId="0" applyNumberFormat="1" applyFont="1" applyFill="1" applyBorder="1" applyAlignment="1" applyProtection="1"/>
    <xf numFmtId="170" fontId="5" fillId="10" borderId="15" xfId="0" applyNumberFormat="1" applyFont="1" applyFill="1" applyBorder="1" applyAlignment="1" applyProtection="1"/>
    <xf numFmtId="170" fontId="4" fillId="10" borderId="40" xfId="0" applyNumberFormat="1" applyFont="1" applyFill="1" applyBorder="1" applyAlignment="1" applyProtection="1"/>
    <xf numFmtId="170" fontId="4" fillId="10" borderId="49" xfId="0" applyNumberFormat="1" applyFont="1" applyFill="1" applyBorder="1" applyAlignment="1" applyProtection="1"/>
    <xf numFmtId="0" fontId="5" fillId="10" borderId="18" xfId="0" applyNumberFormat="1" applyFont="1" applyFill="1" applyBorder="1" applyAlignment="1" applyProtection="1"/>
    <xf numFmtId="3" fontId="4" fillId="0" borderId="32" xfId="0" applyNumberFormat="1" applyFont="1" applyFill="1" applyBorder="1" applyAlignment="1" applyProtection="1">
      <alignment horizontal="center"/>
    </xf>
    <xf numFmtId="1" fontId="16" fillId="0" borderId="10" xfId="0" applyNumberFormat="1" applyFont="1" applyFill="1" applyBorder="1" applyAlignment="1" applyProtection="1">
      <alignment horizontal="right"/>
    </xf>
    <xf numFmtId="172" fontId="4" fillId="0" borderId="5" xfId="0" applyNumberFormat="1" applyFont="1" applyFill="1" applyBorder="1" applyAlignment="1" applyProtection="1">
      <alignment horizontal="center"/>
    </xf>
    <xf numFmtId="3" fontId="21" fillId="0" borderId="10" xfId="0" applyNumberFormat="1" applyFont="1" applyFill="1" applyBorder="1" applyAlignment="1" applyProtection="1">
      <alignment horizontal="right"/>
    </xf>
    <xf numFmtId="3" fontId="5" fillId="0" borderId="41" xfId="0" applyNumberFormat="1" applyFont="1" applyFill="1" applyBorder="1" applyAlignment="1" applyProtection="1"/>
    <xf numFmtId="3" fontId="10" fillId="0" borderId="46" xfId="0" applyNumberFormat="1" applyFont="1" applyFill="1" applyBorder="1" applyAlignment="1" applyProtection="1">
      <alignment horizontal="right"/>
    </xf>
    <xf numFmtId="3" fontId="4" fillId="0" borderId="46" xfId="0" applyNumberFormat="1" applyFont="1" applyFill="1" applyBorder="1" applyAlignment="1" applyProtection="1">
      <alignment horizontal="right"/>
    </xf>
    <xf numFmtId="3" fontId="5" fillId="0" borderId="46" xfId="0" applyNumberFormat="1" applyFont="1" applyFill="1" applyBorder="1" applyAlignment="1" applyProtection="1">
      <alignment horizontal="right"/>
    </xf>
    <xf numFmtId="3" fontId="3" fillId="0" borderId="45" xfId="0" applyNumberFormat="1" applyFont="1" applyFill="1" applyBorder="1" applyAlignment="1" applyProtection="1">
      <alignment horizontal="right"/>
    </xf>
    <xf numFmtId="169" fontId="16" fillId="0" borderId="0" xfId="0" applyNumberFormat="1" applyFont="1" applyBorder="1"/>
    <xf numFmtId="0" fontId="5" fillId="2" borderId="8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170" fontId="8" fillId="0" borderId="15" xfId="0" applyNumberFormat="1" applyFont="1" applyFill="1" applyBorder="1"/>
    <xf numFmtId="3" fontId="26" fillId="0" borderId="38" xfId="0" applyNumberFormat="1" applyFont="1" applyBorder="1"/>
    <xf numFmtId="3" fontId="26" fillId="0" borderId="10" xfId="0" applyNumberFormat="1" applyFont="1" applyBorder="1"/>
    <xf numFmtId="3" fontId="26" fillId="0" borderId="46" xfId="0" applyNumberFormat="1" applyFont="1" applyBorder="1"/>
    <xf numFmtId="3" fontId="26" fillId="2" borderId="15" xfId="0" applyNumberFormat="1" applyFont="1" applyFill="1" applyBorder="1"/>
    <xf numFmtId="3" fontId="26" fillId="0" borderId="15" xfId="0" applyNumberFormat="1" applyFont="1" applyFill="1" applyBorder="1"/>
    <xf numFmtId="4" fontId="5" fillId="0" borderId="10" xfId="0" applyNumberFormat="1" applyFont="1" applyFill="1" applyBorder="1" applyAlignment="1" applyProtection="1">
      <alignment horizontal="right"/>
    </xf>
    <xf numFmtId="169" fontId="5" fillId="0" borderId="0" xfId="0" applyNumberFormat="1" applyFont="1"/>
    <xf numFmtId="3" fontId="27" fillId="0" borderId="23" xfId="0" applyNumberFormat="1" applyFont="1" applyFill="1" applyBorder="1" applyAlignment="1" applyProtection="1"/>
    <xf numFmtId="164" fontId="4" fillId="0" borderId="14" xfId="0" applyNumberFormat="1" applyFont="1" applyFill="1" applyBorder="1" applyAlignment="1" applyProtection="1">
      <alignment horizontal="right"/>
    </xf>
    <xf numFmtId="3" fontId="0" fillId="0" borderId="50" xfId="0" applyNumberFormat="1" applyFill="1" applyBorder="1"/>
    <xf numFmtId="170" fontId="6" fillId="0" borderId="44" xfId="0" applyNumberFormat="1" applyFont="1" applyFill="1" applyBorder="1"/>
    <xf numFmtId="0" fontId="4" fillId="0" borderId="36" xfId="0" applyNumberFormat="1" applyFont="1" applyFill="1" applyBorder="1" applyAlignment="1" applyProtection="1"/>
    <xf numFmtId="3" fontId="21" fillId="9" borderId="8" xfId="0" applyNumberFormat="1" applyFont="1" applyFill="1" applyBorder="1" applyAlignment="1" applyProtection="1">
      <alignment horizontal="left"/>
    </xf>
    <xf numFmtId="3" fontId="6" fillId="9" borderId="9" xfId="0" applyNumberFormat="1" applyFont="1" applyFill="1" applyBorder="1" applyAlignment="1" applyProtection="1"/>
    <xf numFmtId="0" fontId="5" fillId="0" borderId="36" xfId="0" applyFont="1" applyFill="1" applyBorder="1"/>
    <xf numFmtId="172" fontId="4" fillId="0" borderId="53" xfId="0" applyNumberFormat="1" applyFont="1" applyFill="1" applyBorder="1" applyAlignment="1" applyProtection="1">
      <alignment horizontal="center"/>
    </xf>
    <xf numFmtId="0" fontId="4" fillId="0" borderId="14" xfId="0" applyNumberFormat="1" applyFont="1" applyFill="1" applyBorder="1" applyAlignment="1" applyProtection="1">
      <alignment horizontal="center"/>
    </xf>
    <xf numFmtId="0" fontId="4" fillId="0" borderId="36" xfId="0" applyNumberFormat="1" applyFont="1" applyFill="1" applyBorder="1" applyAlignment="1" applyProtection="1">
      <alignment horizontal="center"/>
    </xf>
    <xf numFmtId="0" fontId="4" fillId="0" borderId="54" xfId="0" applyNumberFormat="1" applyFont="1" applyFill="1" applyBorder="1" applyAlignment="1" applyProtection="1">
      <alignment horizontal="center"/>
    </xf>
    <xf numFmtId="0" fontId="4" fillId="0" borderId="55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/>
    <xf numFmtId="0" fontId="5" fillId="2" borderId="36" xfId="0" applyNumberFormat="1" applyFont="1" applyFill="1" applyBorder="1" applyAlignment="1" applyProtection="1"/>
    <xf numFmtId="0" fontId="4" fillId="0" borderId="16" xfId="0" applyNumberFormat="1" applyFont="1" applyFill="1" applyBorder="1" applyAlignment="1" applyProtection="1"/>
    <xf numFmtId="3" fontId="5" fillId="11" borderId="8" xfId="0" applyNumberFormat="1" applyFont="1" applyFill="1" applyBorder="1" applyAlignment="1" applyProtection="1"/>
    <xf numFmtId="0" fontId="5" fillId="4" borderId="22" xfId="0" applyNumberFormat="1" applyFont="1" applyFill="1" applyBorder="1" applyAlignment="1" applyProtection="1"/>
    <xf numFmtId="3" fontId="5" fillId="2" borderId="23" xfId="0" applyNumberFormat="1" applyFont="1" applyFill="1" applyBorder="1" applyAlignment="1" applyProtection="1"/>
    <xf numFmtId="3" fontId="5" fillId="2" borderId="7" xfId="0" applyNumberFormat="1" applyFont="1" applyFill="1" applyBorder="1" applyAlignment="1" applyProtection="1"/>
    <xf numFmtId="3" fontId="5" fillId="11" borderId="7" xfId="0" applyNumberFormat="1" applyFont="1" applyFill="1" applyBorder="1" applyAlignment="1" applyProtection="1"/>
    <xf numFmtId="0" fontId="4" fillId="0" borderId="29" xfId="0" applyNumberFormat="1" applyFont="1" applyFill="1" applyBorder="1" applyAlignment="1" applyProtection="1">
      <alignment horizontal="center"/>
    </xf>
    <xf numFmtId="0" fontId="8" fillId="0" borderId="8" xfId="0" applyFont="1" applyBorder="1"/>
    <xf numFmtId="0" fontId="8" fillId="0" borderId="6" xfId="0" applyFont="1" applyBorder="1"/>
    <xf numFmtId="0" fontId="5" fillId="5" borderId="9" xfId="0" applyFont="1" applyFill="1" applyBorder="1"/>
    <xf numFmtId="0" fontId="5" fillId="5" borderId="22" xfId="0" applyFont="1" applyFill="1" applyBorder="1"/>
    <xf numFmtId="0" fontId="5" fillId="0" borderId="4" xfId="0" applyNumberFormat="1" applyFont="1" applyFill="1" applyBorder="1" applyAlignment="1" applyProtection="1"/>
    <xf numFmtId="0" fontId="5" fillId="0" borderId="10" xfId="0" applyFont="1" applyFill="1" applyBorder="1"/>
    <xf numFmtId="4" fontId="7" fillId="0" borderId="0" xfId="0" applyNumberFormat="1" applyFont="1" applyFill="1"/>
    <xf numFmtId="3" fontId="5" fillId="0" borderId="7" xfId="0" applyNumberFormat="1" applyFont="1" applyFill="1" applyBorder="1" applyAlignment="1" applyProtection="1">
      <alignment horizontal="right"/>
    </xf>
    <xf numFmtId="0" fontId="0" fillId="0" borderId="10" xfId="0" applyNumberFormat="1" applyFont="1" applyFill="1" applyBorder="1" applyAlignment="1" applyProtection="1"/>
    <xf numFmtId="4" fontId="16" fillId="0" borderId="0" xfId="0" applyNumberFormat="1" applyFont="1" applyFill="1"/>
    <xf numFmtId="164" fontId="10" fillId="0" borderId="36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/>
    <xf numFmtId="3" fontId="5" fillId="12" borderId="9" xfId="0" applyNumberFormat="1" applyFont="1" applyFill="1" applyBorder="1" applyAlignment="1" applyProtection="1"/>
    <xf numFmtId="3" fontId="5" fillId="13" borderId="10" xfId="0" applyNumberFormat="1" applyFont="1" applyFill="1" applyBorder="1" applyAlignment="1" applyProtection="1"/>
    <xf numFmtId="164" fontId="5" fillId="0" borderId="10" xfId="0" applyNumberFormat="1" applyFont="1" applyBorder="1" applyAlignment="1">
      <alignment horizontal="right"/>
    </xf>
    <xf numFmtId="173" fontId="5" fillId="0" borderId="7" xfId="0" applyNumberFormat="1" applyFont="1" applyFill="1" applyBorder="1" applyAlignment="1" applyProtection="1">
      <alignment horizontal="right"/>
    </xf>
    <xf numFmtId="3" fontId="6" fillId="0" borderId="10" xfId="0" applyNumberFormat="1" applyFont="1" applyFill="1" applyBorder="1" applyAlignment="1" applyProtection="1"/>
    <xf numFmtId="4" fontId="4" fillId="0" borderId="56" xfId="0" applyNumberFormat="1" applyFont="1" applyFill="1" applyBorder="1" applyAlignment="1" applyProtection="1">
      <alignment horizontal="center"/>
    </xf>
    <xf numFmtId="3" fontId="0" fillId="0" borderId="51" xfId="0" applyNumberFormat="1" applyFill="1" applyBorder="1"/>
    <xf numFmtId="3" fontId="16" fillId="0" borderId="52" xfId="0" applyNumberFormat="1" applyFont="1" applyFill="1" applyBorder="1"/>
    <xf numFmtId="3" fontId="0" fillId="0" borderId="44" xfId="0" applyNumberFormat="1" applyFill="1" applyBorder="1"/>
    <xf numFmtId="0" fontId="15" fillId="0" borderId="0" xfId="0" applyFont="1"/>
    <xf numFmtId="3" fontId="4" fillId="0" borderId="7" xfId="0" applyNumberFormat="1" applyFont="1" applyFill="1" applyBorder="1" applyAlignment="1" applyProtection="1"/>
    <xf numFmtId="3" fontId="5" fillId="0" borderId="5" xfId="0" applyNumberFormat="1" applyFont="1" applyBorder="1"/>
    <xf numFmtId="0" fontId="7" fillId="0" borderId="0" xfId="0" applyFont="1"/>
    <xf numFmtId="0" fontId="8" fillId="0" borderId="0" xfId="0" applyFont="1"/>
    <xf numFmtId="3" fontId="16" fillId="0" borderId="10" xfId="0" applyNumberFormat="1" applyFont="1" applyBorder="1" applyAlignment="1">
      <alignment horizontal="right"/>
    </xf>
    <xf numFmtId="0" fontId="0" fillId="3" borderId="51" xfId="0" applyFill="1" applyBorder="1"/>
    <xf numFmtId="3" fontId="16" fillId="0" borderId="9" xfId="0" applyNumberFormat="1" applyFont="1" applyBorder="1" applyAlignment="1">
      <alignment horizontal="right"/>
    </xf>
    <xf numFmtId="14" fontId="26" fillId="0" borderId="59" xfId="0" applyNumberFormat="1" applyFont="1" applyBorder="1"/>
    <xf numFmtId="14" fontId="26" fillId="0" borderId="60" xfId="0" applyNumberFormat="1" applyFont="1" applyBorder="1"/>
    <xf numFmtId="14" fontId="26" fillId="0" borderId="50" xfId="0" applyNumberFormat="1" applyFont="1" applyBorder="1"/>
    <xf numFmtId="3" fontId="16" fillId="0" borderId="60" xfId="0" applyNumberFormat="1" applyFont="1" applyBorder="1" applyAlignment="1">
      <alignment horizontal="right"/>
    </xf>
    <xf numFmtId="3" fontId="16" fillId="0" borderId="50" xfId="0" applyNumberFormat="1" applyFont="1" applyBorder="1" applyAlignment="1">
      <alignment horizontal="right"/>
    </xf>
    <xf numFmtId="3" fontId="16" fillId="0" borderId="60" xfId="0" applyNumberFormat="1" applyFont="1" applyFill="1" applyBorder="1" applyAlignment="1">
      <alignment horizontal="right"/>
    </xf>
    <xf numFmtId="3" fontId="16" fillId="0" borderId="50" xfId="0" applyNumberFormat="1" applyFont="1" applyFill="1" applyBorder="1" applyAlignment="1">
      <alignment horizontal="right"/>
    </xf>
    <xf numFmtId="3" fontId="16" fillId="0" borderId="30" xfId="0" applyNumberFormat="1" applyFont="1" applyFill="1" applyBorder="1" applyAlignment="1">
      <alignment horizontal="right"/>
    </xf>
    <xf numFmtId="3" fontId="16" fillId="0" borderId="47" xfId="0" applyNumberFormat="1" applyFont="1" applyFill="1" applyBorder="1" applyAlignment="1">
      <alignment horizontal="right"/>
    </xf>
    <xf numFmtId="0" fontId="7" fillId="0" borderId="35" xfId="0" applyFont="1" applyBorder="1"/>
    <xf numFmtId="0" fontId="7" fillId="0" borderId="38" xfId="0" applyFont="1" applyBorder="1"/>
    <xf numFmtId="0" fontId="0" fillId="3" borderId="42" xfId="0" applyFill="1" applyBorder="1"/>
    <xf numFmtId="3" fontId="0" fillId="0" borderId="60" xfId="0" applyNumberFormat="1" applyBorder="1"/>
    <xf numFmtId="3" fontId="0" fillId="0" borderId="50" xfId="0" applyNumberFormat="1" applyBorder="1"/>
    <xf numFmtId="3" fontId="0" fillId="0" borderId="30" xfId="0" applyNumberFormat="1" applyBorder="1"/>
    <xf numFmtId="3" fontId="0" fillId="0" borderId="47" xfId="0" applyNumberFormat="1" applyBorder="1"/>
    <xf numFmtId="3" fontId="0" fillId="0" borderId="59" xfId="0" applyNumberFormat="1" applyBorder="1"/>
    <xf numFmtId="3" fontId="16" fillId="0" borderId="7" xfId="0" applyNumberFormat="1" applyFont="1" applyBorder="1" applyAlignment="1">
      <alignment horizontal="right"/>
    </xf>
    <xf numFmtId="3" fontId="0" fillId="0" borderId="62" xfId="0" applyNumberFormat="1" applyBorder="1"/>
    <xf numFmtId="3" fontId="16" fillId="0" borderId="8" xfId="0" applyNumberFormat="1" applyFont="1" applyBorder="1" applyAlignment="1">
      <alignment horizontal="right"/>
    </xf>
    <xf numFmtId="3" fontId="0" fillId="0" borderId="0" xfId="0" applyNumberFormat="1"/>
    <xf numFmtId="0" fontId="0" fillId="0" borderId="52" xfId="0" applyBorder="1"/>
    <xf numFmtId="3" fontId="7" fillId="0" borderId="52" xfId="0" applyNumberFormat="1" applyFont="1" applyBorder="1"/>
    <xf numFmtId="3" fontId="0" fillId="0" borderId="52" xfId="0" applyNumberFormat="1" applyBorder="1"/>
    <xf numFmtId="0" fontId="0" fillId="0" borderId="29" xfId="0" applyBorder="1"/>
    <xf numFmtId="0" fontId="31" fillId="0" borderId="60" xfId="0" applyFont="1" applyBorder="1"/>
    <xf numFmtId="0" fontId="0" fillId="0" borderId="50" xfId="0" applyBorder="1"/>
    <xf numFmtId="0" fontId="7" fillId="0" borderId="60" xfId="0" applyFont="1" applyBorder="1"/>
    <xf numFmtId="3" fontId="7" fillId="0" borderId="50" xfId="0" applyNumberFormat="1" applyFont="1" applyBorder="1"/>
    <xf numFmtId="0" fontId="0" fillId="0" borderId="60" xfId="0" applyBorder="1"/>
    <xf numFmtId="0" fontId="0" fillId="0" borderId="38" xfId="0" applyBorder="1"/>
    <xf numFmtId="3" fontId="0" fillId="0" borderId="0" xfId="0" applyNumberFormat="1" applyBorder="1"/>
    <xf numFmtId="3" fontId="0" fillId="0" borderId="46" xfId="0" applyNumberFormat="1" applyBorder="1"/>
    <xf numFmtId="0" fontId="7" fillId="0" borderId="30" xfId="0" applyFont="1" applyBorder="1"/>
    <xf numFmtId="3" fontId="0" fillId="0" borderId="26" xfId="0" applyNumberFormat="1" applyBorder="1"/>
    <xf numFmtId="0" fontId="7" fillId="0" borderId="19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4" fillId="3" borderId="57" xfId="0" applyNumberFormat="1" applyFont="1" applyFill="1" applyBorder="1" applyAlignment="1" applyProtection="1">
      <alignment horizontal="center"/>
    </xf>
    <xf numFmtId="0" fontId="0" fillId="3" borderId="58" xfId="0" applyFill="1" applyBorder="1" applyAlignment="1">
      <alignment horizontal="center"/>
    </xf>
    <xf numFmtId="0" fontId="29" fillId="0" borderId="0" xfId="0" applyFont="1" applyAlignment="1">
      <alignment wrapText="1"/>
    </xf>
    <xf numFmtId="0" fontId="0" fillId="0" borderId="0" xfId="0" applyAlignment="1">
      <alignment wrapText="1"/>
    </xf>
    <xf numFmtId="0" fontId="26" fillId="0" borderId="29" xfId="0" applyFont="1" applyBorder="1" applyAlignment="1">
      <alignment horizontal="center"/>
    </xf>
    <xf numFmtId="0" fontId="26" fillId="0" borderId="34" xfId="0" applyFont="1" applyBorder="1" applyAlignment="1">
      <alignment horizontal="center"/>
    </xf>
    <xf numFmtId="0" fontId="26" fillId="0" borderId="61" xfId="0" applyFont="1" applyBorder="1" applyAlignment="1">
      <alignment horizontal="center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69"/>
  <sheetViews>
    <sheetView tabSelected="1" workbookViewId="0">
      <selection activeCell="C36" sqref="C36"/>
    </sheetView>
  </sheetViews>
  <sheetFormatPr defaultColWidth="7.85546875" defaultRowHeight="12.75" x14ac:dyDescent="0.2"/>
  <cols>
    <col min="1" max="1" width="5" style="84" customWidth="1"/>
    <col min="2" max="2" width="22.85546875" style="84" customWidth="1"/>
    <col min="3" max="3" width="9.85546875" style="92" customWidth="1"/>
    <col min="4" max="4" width="9.85546875" style="84" customWidth="1"/>
    <col min="5" max="5" width="9.85546875" style="102" customWidth="1"/>
    <col min="6" max="9" width="9.85546875" style="84" customWidth="1"/>
    <col min="10" max="16384" width="7.85546875" style="84"/>
  </cols>
  <sheetData>
    <row r="1" spans="1:9" s="1" customFormat="1" ht="18" x14ac:dyDescent="0.25">
      <c r="B1" s="94" t="s">
        <v>392</v>
      </c>
      <c r="C1" s="2"/>
      <c r="E1" s="188"/>
    </row>
    <row r="2" spans="1:9" s="1" customFormat="1" ht="15.75" x14ac:dyDescent="0.25">
      <c r="B2" s="156" t="s">
        <v>393</v>
      </c>
      <c r="C2" s="156"/>
      <c r="D2" s="156"/>
      <c r="E2" s="189"/>
      <c r="F2" s="156"/>
      <c r="G2" s="156"/>
      <c r="H2" s="156"/>
      <c r="I2" s="156"/>
    </row>
    <row r="3" spans="1:9" s="1" customFormat="1" ht="15.75" x14ac:dyDescent="0.25">
      <c r="B3" s="157"/>
      <c r="C3" s="2"/>
      <c r="E3" s="189"/>
      <c r="F3" s="156"/>
      <c r="G3" s="156"/>
      <c r="H3" s="156"/>
      <c r="I3" s="156"/>
    </row>
    <row r="4" spans="1:9" ht="13.5" thickBot="1" x14ac:dyDescent="0.25">
      <c r="B4" s="3" t="s">
        <v>152</v>
      </c>
      <c r="I4" s="123"/>
    </row>
    <row r="5" spans="1:9" s="3" customFormat="1" x14ac:dyDescent="0.2">
      <c r="A5" s="200"/>
      <c r="B5" s="4"/>
      <c r="C5" s="5" t="s">
        <v>2</v>
      </c>
      <c r="D5" s="155" t="s">
        <v>133</v>
      </c>
      <c r="E5" s="190" t="s">
        <v>100</v>
      </c>
      <c r="F5" s="6" t="s">
        <v>4</v>
      </c>
      <c r="G5" s="149" t="s">
        <v>5</v>
      </c>
      <c r="H5" s="196" t="s">
        <v>4</v>
      </c>
      <c r="I5" s="206" t="s">
        <v>346</v>
      </c>
    </row>
    <row r="6" spans="1:9" s="3" customFormat="1" ht="13.5" thickBot="1" x14ac:dyDescent="0.25">
      <c r="A6" s="201"/>
      <c r="B6" s="7"/>
      <c r="C6" s="8">
        <v>2016</v>
      </c>
      <c r="D6" s="8">
        <v>2016</v>
      </c>
      <c r="E6" s="191" t="s">
        <v>95</v>
      </c>
      <c r="F6" s="72"/>
      <c r="G6" s="148">
        <v>42735</v>
      </c>
      <c r="H6" s="62" t="s">
        <v>6</v>
      </c>
      <c r="I6" s="151" t="s">
        <v>347</v>
      </c>
    </row>
    <row r="7" spans="1:9" x14ac:dyDescent="0.2">
      <c r="A7" s="202"/>
      <c r="B7" s="91" t="s">
        <v>7</v>
      </c>
      <c r="C7" s="9">
        <f>Příjmy!F128</f>
        <v>76351</v>
      </c>
      <c r="D7" s="13">
        <f>+Příjmy!G128</f>
        <v>0</v>
      </c>
      <c r="E7" s="9">
        <f>SUM(C7:D7)</f>
        <v>76351</v>
      </c>
      <c r="F7" s="73">
        <f>C7/C11</f>
        <v>0.54620700509357289</v>
      </c>
      <c r="G7" s="116">
        <f>+Příjmy!I128</f>
        <v>83719.080070000011</v>
      </c>
      <c r="H7" s="197">
        <f t="shared" ref="H7:H14" si="0">G7/$E7*100</f>
        <v>109.65027317258453</v>
      </c>
      <c r="I7" s="212">
        <f t="shared" ref="I7:I14" si="1">G7-E7</f>
        <v>7368.0800700000109</v>
      </c>
    </row>
    <row r="8" spans="1:9" x14ac:dyDescent="0.2">
      <c r="A8" s="202"/>
      <c r="B8" s="91" t="s">
        <v>8</v>
      </c>
      <c r="C8" s="9">
        <f>Příjmy!F129</f>
        <v>25919</v>
      </c>
      <c r="D8" s="13">
        <f>+Příjmy!G129</f>
        <v>55</v>
      </c>
      <c r="E8" s="9">
        <f>SUM(C8:D8)</f>
        <v>25974</v>
      </c>
      <c r="F8" s="73">
        <f>C8/C11</f>
        <v>0.18542179362444916</v>
      </c>
      <c r="G8" s="116">
        <f>+Příjmy!I129</f>
        <v>25921.206150000005</v>
      </c>
      <c r="H8" s="197">
        <f t="shared" si="0"/>
        <v>99.796743474243499</v>
      </c>
      <c r="I8" s="212">
        <f t="shared" si="1"/>
        <v>-52.793849999994563</v>
      </c>
    </row>
    <row r="9" spans="1:9" x14ac:dyDescent="0.2">
      <c r="A9" s="202"/>
      <c r="B9" s="91" t="s">
        <v>9</v>
      </c>
      <c r="C9" s="9">
        <f>Příjmy!F132</f>
        <v>5391</v>
      </c>
      <c r="D9" s="13">
        <f>+Příjmy!G132</f>
        <v>354</v>
      </c>
      <c r="E9" s="9">
        <f>SUM(C9:D9)</f>
        <v>5745</v>
      </c>
      <c r="F9" s="73">
        <f>C9/C11</f>
        <v>3.8566645681909234E-2</v>
      </c>
      <c r="G9" s="116">
        <f>+Příjmy!I132</f>
        <v>6847.5430000000006</v>
      </c>
      <c r="H9" s="197">
        <f t="shared" si="0"/>
        <v>119.19134899912969</v>
      </c>
      <c r="I9" s="212">
        <f t="shared" si="1"/>
        <v>1102.5430000000006</v>
      </c>
    </row>
    <row r="10" spans="1:9" x14ac:dyDescent="0.2">
      <c r="A10" s="202"/>
      <c r="B10" s="91" t="s">
        <v>10</v>
      </c>
      <c r="C10" s="9">
        <f>Příjmy!F130+Příjmy!F133</f>
        <v>32123</v>
      </c>
      <c r="D10" s="13">
        <f>+Příjmy!G130+Příjmy!G133</f>
        <v>3137.3507200000004</v>
      </c>
      <c r="E10" s="9">
        <f>SUM(C10:D10)</f>
        <v>35260.350720000002</v>
      </c>
      <c r="F10" s="73">
        <f>C10/C11</f>
        <v>0.22980455560006868</v>
      </c>
      <c r="G10" s="116">
        <f>+Příjmy!I130+Příjmy!I133</f>
        <v>35266.950249999994</v>
      </c>
      <c r="H10" s="197">
        <f t="shared" si="0"/>
        <v>100.01871657503465</v>
      </c>
      <c r="I10" s="212">
        <f t="shared" si="1"/>
        <v>6.5995299999922281</v>
      </c>
    </row>
    <row r="11" spans="1:9" s="3" customFormat="1" x14ac:dyDescent="0.2">
      <c r="A11" s="203"/>
      <c r="B11" s="10" t="s">
        <v>11</v>
      </c>
      <c r="C11" s="11">
        <f>SUM(C7:C10)</f>
        <v>139784</v>
      </c>
      <c r="D11" s="81">
        <f>SUM(D7:D10)</f>
        <v>3546.3507200000004</v>
      </c>
      <c r="E11" s="11">
        <f>SUM(E7:E10)</f>
        <v>143330.35071999999</v>
      </c>
      <c r="F11" s="74">
        <f>SUM(F7:F10)</f>
        <v>1</v>
      </c>
      <c r="G11" s="11">
        <f>SUM(G7:G10)</f>
        <v>151754.77947000001</v>
      </c>
      <c r="H11" s="198">
        <f t="shared" si="0"/>
        <v>105.87763073744053</v>
      </c>
      <c r="I11" s="213">
        <f t="shared" si="1"/>
        <v>8424.428750000021</v>
      </c>
    </row>
    <row r="12" spans="1:9" x14ac:dyDescent="0.2">
      <c r="A12" s="202"/>
      <c r="B12" s="91" t="s">
        <v>12</v>
      </c>
      <c r="C12" s="9">
        <f>+Výdaje!E107</f>
        <v>117440</v>
      </c>
      <c r="D12" s="13">
        <f>+Výdaje!H107</f>
        <v>9919.3507200000004</v>
      </c>
      <c r="E12" s="9">
        <f>SUM(C12:D12)</f>
        <v>127359.35072</v>
      </c>
      <c r="F12" s="73">
        <f>C12/C14</f>
        <v>0.60133436423125564</v>
      </c>
      <c r="G12" s="238">
        <f>Výdaje!M107</f>
        <v>117409.19490000002</v>
      </c>
      <c r="H12" s="197">
        <f t="shared" si="0"/>
        <v>92.187337825021231</v>
      </c>
      <c r="I12" s="212">
        <f t="shared" si="1"/>
        <v>-9950.1558199999854</v>
      </c>
    </row>
    <row r="13" spans="1:9" x14ac:dyDescent="0.2">
      <c r="A13" s="202"/>
      <c r="B13" s="91" t="s">
        <v>13</v>
      </c>
      <c r="C13" s="9">
        <f>+Výdaje!F107</f>
        <v>77859</v>
      </c>
      <c r="D13" s="13">
        <f>+Výdaje!I107</f>
        <v>-6373</v>
      </c>
      <c r="E13" s="9">
        <f>SUM(C13:D13)</f>
        <v>71486</v>
      </c>
      <c r="F13" s="73">
        <f>C13/C14</f>
        <v>0.39866563576874431</v>
      </c>
      <c r="G13" s="238">
        <f>Výdaje!N107</f>
        <v>17781.251100000001</v>
      </c>
      <c r="H13" s="197">
        <f t="shared" si="0"/>
        <v>24.87375304255379</v>
      </c>
      <c r="I13" s="212">
        <f t="shared" si="1"/>
        <v>-53704.748899999999</v>
      </c>
    </row>
    <row r="14" spans="1:9" s="3" customFormat="1" x14ac:dyDescent="0.2">
      <c r="A14" s="203"/>
      <c r="B14" s="10" t="s">
        <v>14</v>
      </c>
      <c r="C14" s="11">
        <f>SUM(C12:C13)</f>
        <v>195299</v>
      </c>
      <c r="D14" s="81">
        <f>SUM(D12:D13)</f>
        <v>3546.3507200000004</v>
      </c>
      <c r="E14" s="11">
        <f>SUM(E12:E13)</f>
        <v>198845.35071999999</v>
      </c>
      <c r="F14" s="74">
        <v>1</v>
      </c>
      <c r="G14" s="117">
        <f>SUM(G12:G13)</f>
        <v>135190.44600000003</v>
      </c>
      <c r="H14" s="198">
        <f t="shared" si="0"/>
        <v>67.987732934407745</v>
      </c>
      <c r="I14" s="213">
        <f t="shared" si="1"/>
        <v>-63654.904719999962</v>
      </c>
    </row>
    <row r="15" spans="1:9" x14ac:dyDescent="0.2">
      <c r="A15" s="202"/>
      <c r="B15" s="91"/>
      <c r="C15" s="9"/>
      <c r="D15" s="82"/>
      <c r="E15" s="9"/>
      <c r="F15" s="75"/>
      <c r="G15" s="116"/>
      <c r="H15" s="198"/>
      <c r="I15" s="146"/>
    </row>
    <row r="16" spans="1:9" s="3" customFormat="1" x14ac:dyDescent="0.2">
      <c r="A16" s="203"/>
      <c r="B16" s="10" t="s">
        <v>15</v>
      </c>
      <c r="C16" s="11">
        <f>C11-C14</f>
        <v>-55515</v>
      </c>
      <c r="D16" s="11">
        <f>D11-D14</f>
        <v>0</v>
      </c>
      <c r="E16" s="11">
        <f>E11-E14</f>
        <v>-55515</v>
      </c>
      <c r="F16" s="76"/>
      <c r="G16" s="117">
        <f>G11-G14</f>
        <v>16564.333469999983</v>
      </c>
      <c r="H16" s="197">
        <f>G16/$E16*100</f>
        <v>-29.83758168062683</v>
      </c>
      <c r="I16" s="146"/>
    </row>
    <row r="17" spans="1:9" x14ac:dyDescent="0.2">
      <c r="A17" s="202"/>
      <c r="B17" s="91"/>
      <c r="C17" s="9"/>
      <c r="D17" s="82"/>
      <c r="E17" s="9"/>
      <c r="F17" s="75"/>
      <c r="G17" s="116"/>
      <c r="H17" s="198"/>
      <c r="I17" s="146"/>
    </row>
    <row r="18" spans="1:9" s="3" customFormat="1" x14ac:dyDescent="0.2">
      <c r="A18" s="204" t="s">
        <v>16</v>
      </c>
      <c r="B18" s="10" t="s">
        <v>17</v>
      </c>
      <c r="C18" s="11"/>
      <c r="D18" s="83"/>
      <c r="E18" s="11"/>
      <c r="F18" s="76"/>
      <c r="G18" s="117"/>
      <c r="H18" s="198"/>
      <c r="I18" s="146"/>
    </row>
    <row r="19" spans="1:9" x14ac:dyDescent="0.2">
      <c r="A19" s="202">
        <v>8124</v>
      </c>
      <c r="B19" s="91" t="s">
        <v>18</v>
      </c>
      <c r="C19" s="145">
        <v>0</v>
      </c>
      <c r="D19" s="147"/>
      <c r="E19" s="9">
        <f>SUM(C19:D19)</f>
        <v>0</v>
      </c>
      <c r="F19" s="75"/>
      <c r="G19" s="9"/>
      <c r="H19" s="197"/>
      <c r="I19" s="244"/>
    </row>
    <row r="20" spans="1:9" x14ac:dyDescent="0.2">
      <c r="A20" s="202">
        <v>8123</v>
      </c>
      <c r="B20" s="91" t="s">
        <v>401</v>
      </c>
      <c r="C20" s="13">
        <v>0</v>
      </c>
      <c r="D20" s="13"/>
      <c r="E20" s="9">
        <f>SUM(C20:D20)</f>
        <v>0</v>
      </c>
      <c r="F20" s="75"/>
      <c r="G20" s="39"/>
      <c r="H20" s="197"/>
      <c r="I20" s="146"/>
    </row>
    <row r="21" spans="1:9" x14ac:dyDescent="0.2">
      <c r="A21" s="202">
        <v>8115</v>
      </c>
      <c r="B21" s="91" t="s">
        <v>402</v>
      </c>
      <c r="C21" s="145">
        <v>55515</v>
      </c>
      <c r="D21" s="13"/>
      <c r="E21" s="9">
        <f>SUM(C21:D21)</f>
        <v>55515</v>
      </c>
      <c r="F21" s="75"/>
      <c r="G21" s="116">
        <v>55515</v>
      </c>
      <c r="H21" s="197">
        <f>G21/$E21*100</f>
        <v>100</v>
      </c>
      <c r="I21" s="146"/>
    </row>
    <row r="22" spans="1:9" x14ac:dyDescent="0.2">
      <c r="A22" s="202">
        <v>8115</v>
      </c>
      <c r="B22" s="10" t="s">
        <v>135</v>
      </c>
      <c r="C22" s="81">
        <f>-C19-C20+C24-C21</f>
        <v>0</v>
      </c>
      <c r="D22" s="81">
        <f>-D19-D20+D24-D21</f>
        <v>0</v>
      </c>
      <c r="E22" s="81">
        <f>-E19-E20+E24-E21</f>
        <v>0</v>
      </c>
      <c r="F22" s="75"/>
      <c r="G22" s="81">
        <f>-G19-G20+G24-G21</f>
        <v>-72079.333469999983</v>
      </c>
      <c r="H22" s="198"/>
      <c r="I22" s="146"/>
    </row>
    <row r="23" spans="1:9" s="3" customFormat="1" x14ac:dyDescent="0.2">
      <c r="A23" s="203"/>
      <c r="B23" s="91"/>
      <c r="C23" s="11"/>
      <c r="D23" s="14"/>
      <c r="E23" s="457"/>
      <c r="F23" s="77"/>
      <c r="G23" s="117"/>
      <c r="H23" s="198"/>
      <c r="I23" s="146"/>
    </row>
    <row r="24" spans="1:9" ht="13.5" thickBot="1" x14ac:dyDescent="0.25">
      <c r="A24" s="205"/>
      <c r="B24" s="121" t="s">
        <v>19</v>
      </c>
      <c r="C24" s="71">
        <f>-C16</f>
        <v>55515</v>
      </c>
      <c r="D24" s="162">
        <f>-D16</f>
        <v>0</v>
      </c>
      <c r="E24" s="458">
        <f>-E16</f>
        <v>55515</v>
      </c>
      <c r="F24" s="78"/>
      <c r="G24" s="118">
        <f>-G16</f>
        <v>-16564.333469999983</v>
      </c>
      <c r="H24" s="199"/>
      <c r="I24" s="150"/>
    </row>
    <row r="25" spans="1:9" x14ac:dyDescent="0.2">
      <c r="C25" s="15"/>
      <c r="E25" s="58"/>
      <c r="F25" s="16"/>
      <c r="G25" s="16"/>
      <c r="H25" s="16"/>
    </row>
    <row r="26" spans="1:9" x14ac:dyDescent="0.2">
      <c r="B26" s="3"/>
      <c r="C26" s="59"/>
      <c r="D26" s="215"/>
      <c r="E26" s="215"/>
      <c r="F26" s="215"/>
      <c r="G26" s="215"/>
      <c r="H26" s="215"/>
      <c r="I26" s="215"/>
    </row>
    <row r="27" spans="1:9" x14ac:dyDescent="0.2">
      <c r="B27" s="381"/>
      <c r="C27" s="380"/>
      <c r="E27" s="412"/>
    </row>
    <row r="28" spans="1:9" x14ac:dyDescent="0.2">
      <c r="B28" s="381"/>
      <c r="C28" s="382"/>
      <c r="D28" s="106"/>
      <c r="E28" s="316"/>
      <c r="F28" s="316"/>
      <c r="G28" s="106"/>
      <c r="H28" s="316"/>
      <c r="I28" s="106"/>
    </row>
    <row r="29" spans="1:9" x14ac:dyDescent="0.2">
      <c r="B29" s="376"/>
      <c r="C29" s="194"/>
      <c r="D29" s="194"/>
      <c r="E29" s="412"/>
      <c r="F29" s="194"/>
      <c r="G29" s="194"/>
      <c r="H29" s="194"/>
      <c r="I29" s="194"/>
    </row>
    <row r="30" spans="1:9" x14ac:dyDescent="0.2">
      <c r="B30" s="138"/>
      <c r="C30" s="309"/>
      <c r="D30" s="106"/>
      <c r="E30" s="310"/>
      <c r="F30" s="310"/>
      <c r="G30" s="106"/>
      <c r="H30" s="310"/>
      <c r="I30" s="106"/>
    </row>
    <row r="31" spans="1:9" x14ac:dyDescent="0.2">
      <c r="B31" s="138"/>
      <c r="C31" s="311"/>
      <c r="D31" s="106"/>
      <c r="E31" s="312"/>
      <c r="F31" s="313"/>
      <c r="G31" s="106"/>
      <c r="H31" s="106"/>
      <c r="I31" s="106"/>
    </row>
    <row r="32" spans="1:9" x14ac:dyDescent="0.2">
      <c r="B32" s="340"/>
      <c r="C32" s="341"/>
      <c r="D32" s="339"/>
      <c r="E32" s="342"/>
      <c r="F32" s="343"/>
      <c r="G32" s="106"/>
      <c r="H32" s="106"/>
      <c r="I32" s="106"/>
    </row>
    <row r="33" spans="2:9" x14ac:dyDescent="0.2">
      <c r="B33" s="340"/>
      <c r="C33" s="344"/>
      <c r="D33" s="345"/>
      <c r="E33" s="346"/>
      <c r="F33" s="345"/>
      <c r="G33" s="106"/>
      <c r="H33" s="106"/>
      <c r="I33" s="106"/>
    </row>
    <row r="34" spans="2:9" x14ac:dyDescent="0.2">
      <c r="B34" s="340"/>
      <c r="C34" s="347"/>
      <c r="D34" s="347"/>
      <c r="E34" s="347"/>
      <c r="F34" s="347"/>
      <c r="G34" s="106"/>
      <c r="H34" s="106"/>
      <c r="I34" s="106"/>
    </row>
    <row r="35" spans="2:9" x14ac:dyDescent="0.2">
      <c r="B35" s="138"/>
      <c r="C35" s="311"/>
      <c r="D35" s="106"/>
      <c r="E35" s="139"/>
      <c r="F35" s="347"/>
      <c r="G35" s="106"/>
      <c r="H35" s="106"/>
      <c r="I35" s="106"/>
    </row>
    <row r="36" spans="2:9" x14ac:dyDescent="0.2">
      <c r="B36" s="138"/>
      <c r="C36" s="311"/>
      <c r="D36" s="106"/>
      <c r="E36" s="139"/>
      <c r="F36" s="347"/>
      <c r="G36" s="106"/>
      <c r="H36" s="106"/>
      <c r="I36" s="106"/>
    </row>
    <row r="37" spans="2:9" x14ac:dyDescent="0.2">
      <c r="B37" s="348"/>
      <c r="C37" s="311"/>
      <c r="D37" s="106"/>
      <c r="E37" s="139"/>
      <c r="F37" s="347"/>
      <c r="G37" s="106"/>
      <c r="H37" s="106"/>
      <c r="I37" s="106"/>
    </row>
    <row r="38" spans="2:9" ht="15" customHeight="1" x14ac:dyDescent="0.2">
      <c r="B38" s="348"/>
      <c r="C38" s="311"/>
      <c r="D38" s="106"/>
      <c r="E38" s="139"/>
      <c r="F38" s="347"/>
      <c r="G38" s="106"/>
      <c r="H38" s="106"/>
      <c r="I38" s="106"/>
    </row>
    <row r="39" spans="2:9" x14ac:dyDescent="0.2">
      <c r="B39" s="348"/>
      <c r="C39" s="311"/>
      <c r="D39" s="106"/>
      <c r="E39" s="139"/>
      <c r="F39" s="347"/>
      <c r="G39" s="106"/>
      <c r="H39" s="106"/>
      <c r="I39" s="106"/>
    </row>
    <row r="40" spans="2:9" x14ac:dyDescent="0.2">
      <c r="B40" s="348"/>
      <c r="C40" s="311"/>
      <c r="D40" s="106"/>
      <c r="E40" s="139"/>
      <c r="F40" s="347"/>
      <c r="G40" s="106"/>
      <c r="H40" s="106"/>
      <c r="I40" s="106"/>
    </row>
    <row r="41" spans="2:9" x14ac:dyDescent="0.2">
      <c r="B41" s="348"/>
      <c r="C41" s="311"/>
      <c r="D41" s="106"/>
      <c r="E41" s="139"/>
      <c r="F41" s="347"/>
      <c r="G41" s="106"/>
      <c r="H41" s="106"/>
      <c r="I41" s="106"/>
    </row>
    <row r="42" spans="2:9" x14ac:dyDescent="0.2">
      <c r="B42" s="348"/>
      <c r="C42" s="311"/>
      <c r="D42" s="106"/>
      <c r="E42" s="139"/>
      <c r="F42" s="347"/>
      <c r="G42" s="106"/>
      <c r="H42" s="106"/>
      <c r="I42" s="106"/>
    </row>
    <row r="43" spans="2:9" x14ac:dyDescent="0.2">
      <c r="B43" s="348"/>
      <c r="C43" s="311"/>
      <c r="D43" s="106"/>
      <c r="E43" s="139"/>
      <c r="F43" s="347"/>
      <c r="G43" s="106"/>
      <c r="H43" s="106"/>
      <c r="I43" s="106"/>
    </row>
    <row r="44" spans="2:9" x14ac:dyDescent="0.2">
      <c r="B44" s="348"/>
      <c r="C44" s="311"/>
      <c r="D44" s="106"/>
      <c r="E44" s="139"/>
      <c r="F44" s="347"/>
      <c r="G44" s="106"/>
      <c r="H44" s="106"/>
      <c r="I44" s="106"/>
    </row>
    <row r="45" spans="2:9" x14ac:dyDescent="0.2">
      <c r="B45" s="348"/>
      <c r="C45" s="311"/>
      <c r="D45" s="106"/>
      <c r="E45" s="139"/>
      <c r="F45" s="347"/>
      <c r="G45" s="106"/>
      <c r="H45" s="106"/>
      <c r="I45" s="106"/>
    </row>
    <row r="46" spans="2:9" x14ac:dyDescent="0.2">
      <c r="B46" s="349"/>
      <c r="C46" s="311"/>
      <c r="D46" s="106"/>
      <c r="E46" s="139"/>
      <c r="F46" s="347"/>
      <c r="G46" s="106"/>
      <c r="H46" s="106"/>
      <c r="I46" s="106"/>
    </row>
    <row r="47" spans="2:9" x14ac:dyDescent="0.2">
      <c r="B47" s="349"/>
      <c r="C47" s="311"/>
      <c r="D47" s="106"/>
      <c r="E47" s="139"/>
      <c r="F47" s="347"/>
      <c r="G47" s="106"/>
      <c r="H47" s="106"/>
      <c r="I47" s="106"/>
    </row>
    <row r="48" spans="2:9" x14ac:dyDescent="0.2">
      <c r="B48" s="348"/>
      <c r="C48" s="311"/>
      <c r="D48" s="106"/>
      <c r="E48" s="139"/>
      <c r="F48" s="347"/>
      <c r="G48" s="106"/>
      <c r="H48" s="106"/>
      <c r="I48" s="106"/>
    </row>
    <row r="49" spans="2:9" x14ac:dyDescent="0.2">
      <c r="B49" s="348"/>
      <c r="C49" s="311"/>
      <c r="D49" s="106"/>
      <c r="E49" s="139"/>
      <c r="F49" s="347"/>
      <c r="G49" s="106"/>
      <c r="H49" s="106"/>
      <c r="I49" s="106"/>
    </row>
    <row r="50" spans="2:9" x14ac:dyDescent="0.2">
      <c r="B50" s="348"/>
      <c r="C50" s="311"/>
      <c r="D50" s="106"/>
      <c r="E50" s="139"/>
      <c r="F50" s="347"/>
      <c r="G50" s="106"/>
      <c r="H50" s="106"/>
      <c r="I50" s="106"/>
    </row>
    <row r="51" spans="2:9" x14ac:dyDescent="0.2">
      <c r="B51" s="348"/>
      <c r="C51" s="311"/>
      <c r="D51" s="106"/>
      <c r="E51" s="139"/>
      <c r="F51" s="347"/>
      <c r="G51" s="106"/>
      <c r="H51" s="106"/>
      <c r="I51" s="106"/>
    </row>
    <row r="52" spans="2:9" x14ac:dyDescent="0.2">
      <c r="B52" s="348"/>
      <c r="C52" s="311"/>
      <c r="D52" s="106"/>
      <c r="E52" s="139"/>
      <c r="F52" s="347"/>
      <c r="G52" s="106"/>
      <c r="H52" s="106"/>
      <c r="I52" s="106"/>
    </row>
    <row r="53" spans="2:9" x14ac:dyDescent="0.2">
      <c r="B53" s="348"/>
      <c r="C53" s="311"/>
      <c r="D53" s="106"/>
      <c r="E53" s="139"/>
      <c r="F53" s="347"/>
      <c r="G53" s="106"/>
      <c r="H53" s="106"/>
      <c r="I53" s="106"/>
    </row>
    <row r="54" spans="2:9" x14ac:dyDescent="0.2">
      <c r="B54" s="348"/>
      <c r="C54" s="311"/>
      <c r="D54" s="106"/>
      <c r="E54" s="139"/>
      <c r="F54" s="347"/>
      <c r="G54" s="106"/>
      <c r="H54" s="106"/>
      <c r="I54" s="106"/>
    </row>
    <row r="55" spans="2:9" x14ac:dyDescent="0.2">
      <c r="B55" s="348"/>
      <c r="C55" s="311"/>
      <c r="D55" s="106"/>
      <c r="E55" s="139"/>
      <c r="F55" s="347"/>
      <c r="G55" s="106"/>
      <c r="H55" s="106"/>
      <c r="I55" s="106"/>
    </row>
    <row r="56" spans="2:9" x14ac:dyDescent="0.2">
      <c r="B56" s="348"/>
      <c r="C56" s="311"/>
      <c r="D56" s="106"/>
      <c r="E56" s="139"/>
      <c r="F56" s="347"/>
      <c r="G56" s="106"/>
      <c r="H56" s="106"/>
      <c r="I56" s="106"/>
    </row>
    <row r="57" spans="2:9" x14ac:dyDescent="0.2">
      <c r="B57" s="348"/>
      <c r="C57" s="311"/>
      <c r="D57" s="106"/>
      <c r="E57" s="139"/>
      <c r="F57" s="347"/>
      <c r="G57" s="106"/>
      <c r="H57" s="106"/>
      <c r="I57" s="106"/>
    </row>
    <row r="58" spans="2:9" x14ac:dyDescent="0.2">
      <c r="B58" s="348"/>
      <c r="C58" s="311"/>
      <c r="D58" s="106"/>
      <c r="E58" s="139"/>
      <c r="F58" s="347"/>
      <c r="G58" s="106"/>
      <c r="H58" s="106"/>
      <c r="I58" s="106"/>
    </row>
    <row r="59" spans="2:9" x14ac:dyDescent="0.2">
      <c r="B59" s="349"/>
      <c r="C59" s="311"/>
      <c r="D59" s="106"/>
      <c r="E59" s="139"/>
      <c r="F59" s="347"/>
      <c r="G59" s="106"/>
      <c r="H59" s="106"/>
      <c r="I59" s="106"/>
    </row>
    <row r="60" spans="2:9" x14ac:dyDescent="0.2">
      <c r="B60" s="349"/>
      <c r="C60" s="311"/>
      <c r="D60" s="106"/>
      <c r="E60" s="139"/>
      <c r="F60" s="347"/>
      <c r="G60" s="106"/>
      <c r="H60" s="106"/>
      <c r="I60" s="106"/>
    </row>
    <row r="61" spans="2:9" x14ac:dyDescent="0.2">
      <c r="B61" s="349"/>
      <c r="C61" s="311"/>
      <c r="D61" s="106"/>
      <c r="E61" s="139"/>
      <c r="F61" s="347"/>
      <c r="G61" s="106"/>
      <c r="H61" s="106"/>
      <c r="I61" s="106"/>
    </row>
    <row r="62" spans="2:9" x14ac:dyDescent="0.2">
      <c r="B62" s="349"/>
      <c r="C62" s="311"/>
      <c r="D62" s="106"/>
      <c r="E62" s="139"/>
      <c r="F62" s="347"/>
      <c r="G62" s="106"/>
      <c r="H62" s="106"/>
      <c r="I62" s="106"/>
    </row>
    <row r="63" spans="2:9" x14ac:dyDescent="0.2">
      <c r="B63" s="349"/>
      <c r="C63" s="311"/>
      <c r="D63" s="106"/>
      <c r="E63" s="139"/>
      <c r="F63" s="347"/>
      <c r="G63" s="106"/>
      <c r="H63" s="106"/>
      <c r="I63" s="106"/>
    </row>
    <row r="64" spans="2:9" x14ac:dyDescent="0.2">
      <c r="B64" s="349"/>
      <c r="C64" s="311"/>
      <c r="D64" s="106"/>
      <c r="E64" s="139"/>
      <c r="F64" s="347"/>
      <c r="G64" s="106"/>
      <c r="H64" s="106"/>
      <c r="I64" s="106"/>
    </row>
    <row r="65" spans="2:9" x14ac:dyDescent="0.2">
      <c r="B65" s="349"/>
      <c r="C65" s="311"/>
      <c r="D65" s="106"/>
      <c r="E65" s="139"/>
      <c r="F65" s="347"/>
      <c r="G65" s="106"/>
      <c r="H65" s="106"/>
      <c r="I65" s="106"/>
    </row>
    <row r="66" spans="2:9" x14ac:dyDescent="0.2">
      <c r="B66" s="349"/>
      <c r="C66" s="311"/>
      <c r="D66" s="106"/>
      <c r="E66" s="139"/>
      <c r="F66" s="347"/>
      <c r="G66" s="106"/>
      <c r="H66" s="106"/>
      <c r="I66" s="106"/>
    </row>
    <row r="67" spans="2:9" x14ac:dyDescent="0.2">
      <c r="B67" s="349"/>
      <c r="C67" s="311"/>
      <c r="D67" s="106"/>
      <c r="E67" s="139"/>
      <c r="F67" s="347"/>
      <c r="G67" s="106"/>
      <c r="H67" s="106"/>
      <c r="I67" s="106"/>
    </row>
    <row r="68" spans="2:9" x14ac:dyDescent="0.2">
      <c r="B68" s="349"/>
      <c r="C68" s="311"/>
      <c r="D68" s="106"/>
      <c r="E68" s="139"/>
      <c r="F68" s="347"/>
      <c r="G68" s="106"/>
      <c r="H68" s="106"/>
      <c r="I68" s="106"/>
    </row>
    <row r="69" spans="2:9" x14ac:dyDescent="0.2">
      <c r="B69" s="106"/>
      <c r="C69" s="311"/>
      <c r="D69" s="106"/>
      <c r="E69" s="139"/>
      <c r="F69" s="311"/>
      <c r="G69" s="106"/>
      <c r="H69" s="106"/>
      <c r="I69" s="106"/>
    </row>
  </sheetData>
  <phoneticPr fontId="6" type="noConversion"/>
  <pageMargins left="0.86614173228346458" right="0.27559055118110237" top="0.98425196850393704" bottom="0" header="0.23622047244094491" footer="1.3"/>
  <pageSetup paperSize="9" orientation="landscape" verticalDpi="300" r:id="rId1"/>
  <headerFooter alignWithMargins="0">
    <oddHeader>&amp;R&amp;P. strana</oddHeader>
    <oddFooter>&amp;LV Jilemnici 31.5.2017&amp;RIng. Miroslava Kynčlová
vedoucí finančního odboru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L149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138" sqref="E138"/>
    </sheetView>
  </sheetViews>
  <sheetFormatPr defaultColWidth="7.85546875" defaultRowHeight="12.75" x14ac:dyDescent="0.2"/>
  <cols>
    <col min="1" max="1" width="4" style="84" customWidth="1"/>
    <col min="2" max="2" width="4.42578125" style="84" customWidth="1"/>
    <col min="3" max="4" width="5.28515625" style="84" customWidth="1"/>
    <col min="5" max="5" width="31.85546875" style="84" customWidth="1"/>
    <col min="6" max="6" width="8.7109375" style="102" bestFit="1" customWidth="1"/>
    <col min="7" max="7" width="7.28515625" style="92" customWidth="1"/>
    <col min="8" max="8" width="11" style="138" customWidth="1"/>
    <col min="9" max="9" width="11" style="102" customWidth="1"/>
    <col min="10" max="10" width="7.7109375" style="84" customWidth="1"/>
    <col min="11" max="11" width="7.7109375" style="164" customWidth="1"/>
    <col min="12" max="12" width="18.140625" style="237" customWidth="1"/>
    <col min="13" max="16384" width="7.85546875" style="84"/>
  </cols>
  <sheetData>
    <row r="1" spans="1:12" ht="18" x14ac:dyDescent="0.25">
      <c r="A1" s="94" t="s">
        <v>391</v>
      </c>
      <c r="B1" s="17"/>
      <c r="C1" s="95"/>
      <c r="D1" s="17"/>
      <c r="E1" s="17"/>
      <c r="F1" s="143"/>
      <c r="G1" s="96"/>
      <c r="H1" s="135"/>
      <c r="I1" s="143"/>
      <c r="J1" s="97"/>
      <c r="K1" s="96"/>
      <c r="L1" s="217"/>
    </row>
    <row r="2" spans="1:12" x14ac:dyDescent="0.2">
      <c r="A2" s="18"/>
      <c r="B2" s="18"/>
      <c r="C2" s="18"/>
      <c r="D2" s="18"/>
      <c r="E2" s="18"/>
      <c r="F2" s="160" t="s">
        <v>145</v>
      </c>
      <c r="G2" s="152" t="s">
        <v>133</v>
      </c>
      <c r="H2" s="136" t="s">
        <v>100</v>
      </c>
      <c r="I2" s="160" t="s">
        <v>5</v>
      </c>
      <c r="J2" s="19" t="s">
        <v>5</v>
      </c>
      <c r="K2" s="240" t="s">
        <v>201</v>
      </c>
      <c r="L2" s="218" t="s">
        <v>20</v>
      </c>
    </row>
    <row r="3" spans="1:12" ht="13.5" thickBot="1" x14ac:dyDescent="0.25">
      <c r="A3" s="20"/>
      <c r="B3" s="20" t="s">
        <v>21</v>
      </c>
      <c r="C3" s="21" t="s">
        <v>22</v>
      </c>
      <c r="D3" s="20" t="s">
        <v>23</v>
      </c>
      <c r="E3" s="20" t="s">
        <v>24</v>
      </c>
      <c r="F3" s="133" t="s">
        <v>317</v>
      </c>
      <c r="G3" s="133" t="s">
        <v>317</v>
      </c>
      <c r="H3" s="134" t="s">
        <v>95</v>
      </c>
      <c r="I3" s="395" t="s">
        <v>344</v>
      </c>
      <c r="J3" s="21" t="s">
        <v>4</v>
      </c>
      <c r="K3" s="163" t="s">
        <v>195</v>
      </c>
      <c r="L3" s="22" t="s">
        <v>107</v>
      </c>
    </row>
    <row r="4" spans="1:12" x14ac:dyDescent="0.2">
      <c r="A4" s="99" t="s">
        <v>25</v>
      </c>
      <c r="B4" s="69"/>
      <c r="C4" s="99"/>
      <c r="D4" s="69"/>
      <c r="E4" s="99" t="s">
        <v>26</v>
      </c>
      <c r="F4" s="68"/>
      <c r="G4" s="100"/>
      <c r="H4" s="137"/>
      <c r="I4" s="68"/>
      <c r="J4" s="24"/>
      <c r="K4" s="100"/>
      <c r="L4" s="93"/>
    </row>
    <row r="5" spans="1:12" x14ac:dyDescent="0.2">
      <c r="A5" s="85" t="s">
        <v>27</v>
      </c>
      <c r="B5" s="26"/>
      <c r="C5" s="85"/>
      <c r="D5" s="26"/>
      <c r="E5" s="26"/>
      <c r="F5" s="64">
        <f>SUM(F6:F13)</f>
        <v>59100</v>
      </c>
      <c r="G5" s="64">
        <f>SUM(G6:G13)</f>
        <v>0</v>
      </c>
      <c r="H5" s="64">
        <f>SUM(H6:H13)</f>
        <v>59100</v>
      </c>
      <c r="I5" s="64">
        <f>SUM(I6:I13)</f>
        <v>65209.220859999994</v>
      </c>
      <c r="J5" s="192">
        <f t="shared" ref="J5:J13" si="0">I5/$H5*100</f>
        <v>110.33709113367173</v>
      </c>
      <c r="K5" s="317">
        <f>SUM(K6:K13)</f>
        <v>6109.2208600000004</v>
      </c>
      <c r="L5" s="219"/>
    </row>
    <row r="6" spans="1:12" x14ac:dyDescent="0.2">
      <c r="A6" s="98" t="s">
        <v>28</v>
      </c>
      <c r="B6" s="23">
        <v>1111</v>
      </c>
      <c r="C6" s="98"/>
      <c r="D6" s="101"/>
      <c r="E6" s="23" t="s">
        <v>112</v>
      </c>
      <c r="F6" s="63">
        <v>12600</v>
      </c>
      <c r="G6" s="63"/>
      <c r="H6" s="63">
        <f t="shared" ref="H6:H13" si="1">SUM(F6:G6)</f>
        <v>12600</v>
      </c>
      <c r="I6" s="63">
        <v>13789.38751</v>
      </c>
      <c r="J6" s="28">
        <f t="shared" si="0"/>
        <v>109.43958341269841</v>
      </c>
      <c r="K6" s="241">
        <f t="shared" ref="K6:K13" si="2">I6-H6</f>
        <v>1189.3875100000005</v>
      </c>
      <c r="L6" s="28" t="s">
        <v>117</v>
      </c>
    </row>
    <row r="7" spans="1:12" x14ac:dyDescent="0.2">
      <c r="A7" s="98"/>
      <c r="B7" s="23">
        <v>1112</v>
      </c>
      <c r="C7" s="98"/>
      <c r="D7" s="98"/>
      <c r="E7" s="23" t="s">
        <v>209</v>
      </c>
      <c r="F7" s="63">
        <v>150</v>
      </c>
      <c r="G7" s="63"/>
      <c r="H7" s="63">
        <f t="shared" si="1"/>
        <v>150</v>
      </c>
      <c r="I7" s="63">
        <v>379.76963000000001</v>
      </c>
      <c r="J7" s="28">
        <f t="shared" si="0"/>
        <v>253.17975333333337</v>
      </c>
      <c r="K7" s="241">
        <f t="shared" si="2"/>
        <v>229.76963000000001</v>
      </c>
      <c r="L7" s="28" t="s">
        <v>117</v>
      </c>
    </row>
    <row r="8" spans="1:12" x14ac:dyDescent="0.2">
      <c r="A8" s="98"/>
      <c r="B8" s="23">
        <v>1113</v>
      </c>
      <c r="C8" s="98"/>
      <c r="D8" s="98"/>
      <c r="E8" s="23" t="s">
        <v>114</v>
      </c>
      <c r="F8" s="63">
        <v>1350</v>
      </c>
      <c r="G8" s="63"/>
      <c r="H8" s="63">
        <f t="shared" si="1"/>
        <v>1350</v>
      </c>
      <c r="I8" s="63">
        <v>1494.39456</v>
      </c>
      <c r="J8" s="28">
        <f t="shared" si="0"/>
        <v>110.69589333333334</v>
      </c>
      <c r="K8" s="241">
        <f t="shared" si="2"/>
        <v>144.39455999999996</v>
      </c>
      <c r="L8" s="28" t="s">
        <v>117</v>
      </c>
    </row>
    <row r="9" spans="1:12" x14ac:dyDescent="0.2">
      <c r="A9" s="98"/>
      <c r="B9" s="23">
        <v>1121</v>
      </c>
      <c r="C9" s="98"/>
      <c r="D9" s="98"/>
      <c r="E9" s="23" t="s">
        <v>115</v>
      </c>
      <c r="F9" s="63">
        <v>12500</v>
      </c>
      <c r="G9" s="63"/>
      <c r="H9" s="63">
        <f t="shared" si="1"/>
        <v>12500</v>
      </c>
      <c r="I9" s="63">
        <v>15442.67463</v>
      </c>
      <c r="J9" s="28">
        <f t="shared" si="0"/>
        <v>123.54139704000001</v>
      </c>
      <c r="K9" s="241">
        <f t="shared" si="2"/>
        <v>2942.6746299999995</v>
      </c>
      <c r="L9" s="28" t="s">
        <v>117</v>
      </c>
    </row>
    <row r="10" spans="1:12" x14ac:dyDescent="0.2">
      <c r="A10" s="98"/>
      <c r="B10" s="23">
        <v>1211</v>
      </c>
      <c r="C10" s="98"/>
      <c r="D10" s="98"/>
      <c r="E10" s="23" t="s">
        <v>113</v>
      </c>
      <c r="F10" s="63">
        <v>27000</v>
      </c>
      <c r="G10" s="63"/>
      <c r="H10" s="63">
        <f t="shared" si="1"/>
        <v>27000</v>
      </c>
      <c r="I10" s="63">
        <v>28298.68116</v>
      </c>
      <c r="J10" s="28">
        <f t="shared" si="0"/>
        <v>104.80993022222222</v>
      </c>
      <c r="K10" s="241">
        <f t="shared" si="2"/>
        <v>1298.6811600000001</v>
      </c>
      <c r="L10" s="28" t="s">
        <v>117</v>
      </c>
    </row>
    <row r="11" spans="1:12" x14ac:dyDescent="0.2">
      <c r="A11" s="98"/>
      <c r="B11" s="23">
        <v>1111</v>
      </c>
      <c r="C11" s="98"/>
      <c r="D11" s="23">
        <v>2</v>
      </c>
      <c r="E11" s="23" t="s">
        <v>126</v>
      </c>
      <c r="F11" s="63">
        <v>1500</v>
      </c>
      <c r="G11" s="63"/>
      <c r="H11" s="63">
        <f>SUM(F11:G11)</f>
        <v>1500</v>
      </c>
      <c r="I11" s="63">
        <v>1722.1372200000001</v>
      </c>
      <c r="J11" s="28">
        <f t="shared" si="0"/>
        <v>114.80914799999999</v>
      </c>
      <c r="K11" s="241">
        <f t="shared" si="2"/>
        <v>222.13722000000007</v>
      </c>
      <c r="L11" s="220"/>
    </row>
    <row r="12" spans="1:12" x14ac:dyDescent="0.2">
      <c r="A12" s="98"/>
      <c r="B12" s="23">
        <v>1112</v>
      </c>
      <c r="C12" s="98"/>
      <c r="D12" s="23">
        <v>2</v>
      </c>
      <c r="E12" s="23" t="s">
        <v>208</v>
      </c>
      <c r="F12" s="63">
        <v>900</v>
      </c>
      <c r="G12" s="63"/>
      <c r="H12" s="63">
        <f>SUM(F12:G12)</f>
        <v>900</v>
      </c>
      <c r="I12" s="63">
        <v>984.79615000000001</v>
      </c>
      <c r="J12" s="28">
        <f t="shared" si="0"/>
        <v>109.42179444444444</v>
      </c>
      <c r="K12" s="241">
        <f t="shared" si="2"/>
        <v>84.796150000000011</v>
      </c>
      <c r="L12" s="449"/>
    </row>
    <row r="13" spans="1:12" x14ac:dyDescent="0.2">
      <c r="A13" s="98"/>
      <c r="B13" s="23">
        <v>1122</v>
      </c>
      <c r="C13" s="98"/>
      <c r="D13" s="98"/>
      <c r="E13" s="23" t="s">
        <v>116</v>
      </c>
      <c r="F13" s="63">
        <v>3100</v>
      </c>
      <c r="G13" s="63"/>
      <c r="H13" s="63">
        <f t="shared" si="1"/>
        <v>3100</v>
      </c>
      <c r="I13" s="63">
        <v>3097.38</v>
      </c>
      <c r="J13" s="28">
        <f t="shared" si="0"/>
        <v>99.915483870967748</v>
      </c>
      <c r="K13" s="241">
        <f t="shared" si="2"/>
        <v>-2.6199999999998909</v>
      </c>
      <c r="L13" s="101" t="s">
        <v>162</v>
      </c>
    </row>
    <row r="14" spans="1:12" x14ac:dyDescent="0.2">
      <c r="A14" s="85" t="s">
        <v>29</v>
      </c>
      <c r="B14" s="26"/>
      <c r="C14" s="85"/>
      <c r="D14" s="26"/>
      <c r="E14" s="26"/>
      <c r="F14" s="64"/>
      <c r="G14" s="64"/>
      <c r="H14" s="64"/>
      <c r="I14" s="64"/>
      <c r="J14" s="28"/>
      <c r="K14" s="242"/>
      <c r="L14" s="334"/>
    </row>
    <row r="15" spans="1:12" x14ac:dyDescent="0.2">
      <c r="A15" s="98"/>
      <c r="B15" s="98"/>
      <c r="C15" s="98"/>
      <c r="D15" s="98"/>
      <c r="E15" s="26" t="s">
        <v>155</v>
      </c>
      <c r="F15" s="64">
        <f>SUM(F16:F26)</f>
        <v>5327</v>
      </c>
      <c r="G15" s="64">
        <f>SUM(G16:G26)</f>
        <v>0</v>
      </c>
      <c r="H15" s="64">
        <f>SUM(H16:H26)</f>
        <v>5327</v>
      </c>
      <c r="I15" s="64">
        <f>SUM(I16:I26)</f>
        <v>5375.1890000000003</v>
      </c>
      <c r="J15" s="192">
        <f t="shared" ref="J15:J27" si="3">I15/$H15*100</f>
        <v>100.90461798385584</v>
      </c>
      <c r="K15" s="317">
        <f>SUM(K16:K26)</f>
        <v>48.189000000000021</v>
      </c>
      <c r="L15" s="101"/>
    </row>
    <row r="16" spans="1:12" x14ac:dyDescent="0.2">
      <c r="A16" s="98"/>
      <c r="B16" s="23">
        <v>1361</v>
      </c>
      <c r="D16" s="101" t="s">
        <v>143</v>
      </c>
      <c r="E16" s="23" t="s">
        <v>30</v>
      </c>
      <c r="F16" s="63">
        <v>180</v>
      </c>
      <c r="G16" s="63"/>
      <c r="H16" s="63">
        <f t="shared" ref="H16:H24" si="4">SUM(F16:G16)</f>
        <v>180</v>
      </c>
      <c r="I16" s="63">
        <f>13.85+115.466+1+66.5</f>
        <v>196.816</v>
      </c>
      <c r="J16" s="28">
        <f t="shared" si="3"/>
        <v>109.34222222222223</v>
      </c>
      <c r="K16" s="241">
        <f t="shared" ref="K16:K26" si="5">I16-H16</f>
        <v>16.816000000000003</v>
      </c>
      <c r="L16" s="221"/>
    </row>
    <row r="17" spans="1:12" x14ac:dyDescent="0.2">
      <c r="A17" s="98"/>
      <c r="B17" s="23">
        <v>1361</v>
      </c>
      <c r="C17" s="98"/>
      <c r="D17" s="23">
        <v>7</v>
      </c>
      <c r="E17" s="23" t="s">
        <v>175</v>
      </c>
      <c r="F17" s="63">
        <f>1100+200</f>
        <v>1300</v>
      </c>
      <c r="G17" s="63"/>
      <c r="H17" s="63">
        <f t="shared" si="4"/>
        <v>1300</v>
      </c>
      <c r="I17" s="63">
        <v>1616.655</v>
      </c>
      <c r="J17" s="28">
        <f t="shared" si="3"/>
        <v>124.35807692307692</v>
      </c>
      <c r="K17" s="241">
        <f t="shared" si="5"/>
        <v>316.65499999999997</v>
      </c>
      <c r="L17" s="221"/>
    </row>
    <row r="18" spans="1:12" x14ac:dyDescent="0.2">
      <c r="A18" s="98"/>
      <c r="B18" s="23">
        <v>1361</v>
      </c>
      <c r="C18" s="98"/>
      <c r="D18" s="23">
        <v>10.23</v>
      </c>
      <c r="E18" s="103" t="s">
        <v>177</v>
      </c>
      <c r="F18" s="63">
        <f>30+75</f>
        <v>105</v>
      </c>
      <c r="G18" s="63"/>
      <c r="H18" s="63">
        <f t="shared" si="4"/>
        <v>105</v>
      </c>
      <c r="I18" s="63">
        <f>35.55+60.405</f>
        <v>95.954999999999998</v>
      </c>
      <c r="J18" s="28">
        <f t="shared" si="3"/>
        <v>91.385714285714286</v>
      </c>
      <c r="K18" s="241">
        <f t="shared" si="5"/>
        <v>-9.0450000000000017</v>
      </c>
      <c r="L18" s="221"/>
    </row>
    <row r="19" spans="1:12" x14ac:dyDescent="0.2">
      <c r="A19" s="98"/>
      <c r="B19" s="23">
        <v>1361</v>
      </c>
      <c r="C19" s="98"/>
      <c r="D19" s="23">
        <v>11</v>
      </c>
      <c r="E19" s="23" t="s">
        <v>31</v>
      </c>
      <c r="F19" s="63">
        <v>280</v>
      </c>
      <c r="G19" s="63"/>
      <c r="H19" s="63">
        <f t="shared" si="4"/>
        <v>280</v>
      </c>
      <c r="I19" s="63">
        <v>179.88</v>
      </c>
      <c r="J19" s="28">
        <f t="shared" si="3"/>
        <v>64.242857142857147</v>
      </c>
      <c r="K19" s="241">
        <f t="shared" si="5"/>
        <v>-100.12</v>
      </c>
      <c r="L19" s="221"/>
    </row>
    <row r="20" spans="1:12" x14ac:dyDescent="0.2">
      <c r="A20" s="98"/>
      <c r="B20" s="23">
        <v>1361</v>
      </c>
      <c r="C20" s="98"/>
      <c r="D20" s="23">
        <v>24</v>
      </c>
      <c r="E20" s="23" t="s">
        <v>178</v>
      </c>
      <c r="F20" s="63">
        <v>30</v>
      </c>
      <c r="G20" s="63"/>
      <c r="H20" s="63">
        <f t="shared" si="4"/>
        <v>30</v>
      </c>
      <c r="I20" s="63">
        <v>26.7</v>
      </c>
      <c r="J20" s="28">
        <f t="shared" si="3"/>
        <v>89</v>
      </c>
      <c r="K20" s="241">
        <f t="shared" si="5"/>
        <v>-3.3000000000000007</v>
      </c>
      <c r="L20" s="221"/>
    </row>
    <row r="21" spans="1:12" x14ac:dyDescent="0.2">
      <c r="A21" s="98"/>
      <c r="B21" s="23">
        <v>1361</v>
      </c>
      <c r="C21" s="98"/>
      <c r="D21" s="23">
        <v>26</v>
      </c>
      <c r="E21" s="23" t="s">
        <v>179</v>
      </c>
      <c r="F21" s="63">
        <v>2200</v>
      </c>
      <c r="G21" s="63"/>
      <c r="H21" s="63">
        <f t="shared" si="4"/>
        <v>2200</v>
      </c>
      <c r="I21" s="63">
        <f>0.4+2136.955</f>
        <v>2137.355</v>
      </c>
      <c r="J21" s="28">
        <f t="shared" si="3"/>
        <v>97.152500000000003</v>
      </c>
      <c r="K21" s="241">
        <f t="shared" si="5"/>
        <v>-62.644999999999982</v>
      </c>
      <c r="L21" s="221"/>
    </row>
    <row r="22" spans="1:12" x14ac:dyDescent="0.2">
      <c r="A22" s="98"/>
      <c r="B22" s="23">
        <v>1353</v>
      </c>
      <c r="C22" s="98"/>
      <c r="D22" s="23">
        <v>26</v>
      </c>
      <c r="E22" s="23" t="s">
        <v>207</v>
      </c>
      <c r="F22" s="63">
        <v>400</v>
      </c>
      <c r="G22" s="63"/>
      <c r="H22" s="63">
        <f t="shared" si="4"/>
        <v>400</v>
      </c>
      <c r="I22" s="63">
        <v>373.05</v>
      </c>
      <c r="J22" s="28">
        <f t="shared" si="3"/>
        <v>93.262500000000003</v>
      </c>
      <c r="K22" s="241">
        <f t="shared" si="5"/>
        <v>-26.949999999999989</v>
      </c>
      <c r="L22" s="221"/>
    </row>
    <row r="23" spans="1:12" x14ac:dyDescent="0.2">
      <c r="A23" s="98"/>
      <c r="B23" s="23">
        <v>1361</v>
      </c>
      <c r="C23" s="98"/>
      <c r="D23" s="23">
        <v>32.33</v>
      </c>
      <c r="E23" s="23" t="s">
        <v>139</v>
      </c>
      <c r="F23" s="63">
        <f>40+700</f>
        <v>740</v>
      </c>
      <c r="G23" s="63"/>
      <c r="H23" s="63">
        <f t="shared" si="4"/>
        <v>740</v>
      </c>
      <c r="I23" s="63">
        <f>636.4+41.7</f>
        <v>678.1</v>
      </c>
      <c r="J23" s="28">
        <f t="shared" si="3"/>
        <v>91.635135135135144</v>
      </c>
      <c r="K23" s="241">
        <f t="shared" si="5"/>
        <v>-61.899999999999977</v>
      </c>
      <c r="L23" s="221"/>
    </row>
    <row r="24" spans="1:12" x14ac:dyDescent="0.2">
      <c r="A24" s="98"/>
      <c r="B24" s="23">
        <v>1361</v>
      </c>
      <c r="C24" s="98"/>
      <c r="D24" s="23">
        <v>35</v>
      </c>
      <c r="E24" s="23" t="s">
        <v>247</v>
      </c>
      <c r="F24" s="63">
        <v>75</v>
      </c>
      <c r="G24" s="63"/>
      <c r="H24" s="63">
        <f t="shared" si="4"/>
        <v>75</v>
      </c>
      <c r="I24" s="63">
        <v>51.8</v>
      </c>
      <c r="J24" s="28">
        <f t="shared" si="3"/>
        <v>69.066666666666663</v>
      </c>
      <c r="K24" s="241">
        <f t="shared" si="5"/>
        <v>-23.200000000000003</v>
      </c>
      <c r="L24" s="221"/>
    </row>
    <row r="25" spans="1:12" x14ac:dyDescent="0.2">
      <c r="A25" s="98"/>
      <c r="B25" s="23">
        <v>1361</v>
      </c>
      <c r="C25" s="98"/>
      <c r="D25" s="23">
        <v>40</v>
      </c>
      <c r="E25" s="23" t="s">
        <v>32</v>
      </c>
      <c r="F25" s="63">
        <v>15</v>
      </c>
      <c r="G25" s="63"/>
      <c r="H25" s="63">
        <f>SUM(F25:G25)</f>
        <v>15</v>
      </c>
      <c r="I25" s="63">
        <v>18</v>
      </c>
      <c r="J25" s="28">
        <f t="shared" si="3"/>
        <v>120</v>
      </c>
      <c r="K25" s="241">
        <f t="shared" si="5"/>
        <v>3</v>
      </c>
      <c r="L25" s="221"/>
    </row>
    <row r="26" spans="1:12" x14ac:dyDescent="0.2">
      <c r="A26" s="98"/>
      <c r="B26" s="23">
        <v>1361</v>
      </c>
      <c r="C26" s="98"/>
      <c r="D26" s="101" t="s">
        <v>206</v>
      </c>
      <c r="E26" s="23" t="s">
        <v>103</v>
      </c>
      <c r="F26" s="63">
        <v>2</v>
      </c>
      <c r="G26" s="63"/>
      <c r="H26" s="63">
        <f>SUM(F26:G26)</f>
        <v>2</v>
      </c>
      <c r="I26" s="63">
        <f>0.033+0.845</f>
        <v>0.878</v>
      </c>
      <c r="J26" s="28">
        <f t="shared" si="3"/>
        <v>43.9</v>
      </c>
      <c r="K26" s="241">
        <f t="shared" si="5"/>
        <v>-1.1219999999999999</v>
      </c>
      <c r="L26" s="221"/>
    </row>
    <row r="27" spans="1:12" x14ac:dyDescent="0.2">
      <c r="A27" s="98"/>
      <c r="B27" s="98"/>
      <c r="C27" s="98"/>
      <c r="D27" s="98"/>
      <c r="E27" s="26" t="s">
        <v>280</v>
      </c>
      <c r="F27" s="64">
        <f>SUM(F28:F29)</f>
        <v>4500</v>
      </c>
      <c r="G27" s="64">
        <f>SUM(G28:G29)</f>
        <v>0</v>
      </c>
      <c r="H27" s="64">
        <f>SUM(H28:H29)</f>
        <v>4500</v>
      </c>
      <c r="I27" s="64">
        <f>SUM(I28:I29)</f>
        <v>5464.1190399999996</v>
      </c>
      <c r="J27" s="192">
        <f t="shared" si="3"/>
        <v>121.42486755555555</v>
      </c>
      <c r="K27" s="317">
        <f>SUM(K28:K29)</f>
        <v>964.11903999999959</v>
      </c>
      <c r="L27" s="101"/>
    </row>
    <row r="28" spans="1:12" x14ac:dyDescent="0.2">
      <c r="A28" s="98"/>
      <c r="B28" s="23">
        <v>1332.1333999999999</v>
      </c>
      <c r="C28" s="98"/>
      <c r="D28" s="23">
        <v>23.12</v>
      </c>
      <c r="E28" s="23" t="s">
        <v>111</v>
      </c>
      <c r="F28" s="63"/>
      <c r="G28" s="63"/>
      <c r="H28" s="63">
        <f>SUM(F28:G28)</f>
        <v>0</v>
      </c>
      <c r="I28" s="63">
        <f>76</f>
        <v>76</v>
      </c>
      <c r="J28" s="28"/>
      <c r="K28" s="241">
        <f>I28-H28</f>
        <v>76</v>
      </c>
      <c r="L28" s="221"/>
    </row>
    <row r="29" spans="1:12" x14ac:dyDescent="0.2">
      <c r="A29" s="98"/>
      <c r="B29" s="23">
        <v>1351.1355000000001</v>
      </c>
      <c r="C29" s="98"/>
      <c r="D29" s="23">
        <v>401</v>
      </c>
      <c r="E29" s="23" t="s">
        <v>142</v>
      </c>
      <c r="F29" s="63">
        <v>4500</v>
      </c>
      <c r="G29" s="63"/>
      <c r="H29" s="63">
        <f>SUM(F29:G29)</f>
        <v>4500</v>
      </c>
      <c r="I29" s="63">
        <f>5098.42761+289.69143</f>
        <v>5388.1190399999996</v>
      </c>
      <c r="J29" s="28">
        <f t="shared" ref="J29:J37" si="6">I29/$H29*100</f>
        <v>119.73597866666665</v>
      </c>
      <c r="K29" s="241">
        <f>I29-H29</f>
        <v>888.11903999999959</v>
      </c>
      <c r="L29" s="221"/>
    </row>
    <row r="30" spans="1:12" x14ac:dyDescent="0.2">
      <c r="A30" s="98"/>
      <c r="B30" s="98"/>
      <c r="C30" s="98"/>
      <c r="D30" s="98"/>
      <c r="E30" s="26" t="s">
        <v>156</v>
      </c>
      <c r="F30" s="64">
        <f>SUM(F31:F35)</f>
        <v>3424</v>
      </c>
      <c r="G30" s="64">
        <f>SUM(G31:G35)</f>
        <v>0</v>
      </c>
      <c r="H30" s="64">
        <f>SUM(H31:H35)</f>
        <v>3424</v>
      </c>
      <c r="I30" s="64">
        <f>SUM(I31:I35)</f>
        <v>3649.9573999999998</v>
      </c>
      <c r="J30" s="192">
        <f t="shared" si="6"/>
        <v>106.59922313084111</v>
      </c>
      <c r="K30" s="317">
        <f>SUM(K31:K35)</f>
        <v>225.95739999999984</v>
      </c>
      <c r="L30" s="334"/>
    </row>
    <row r="31" spans="1:12" x14ac:dyDescent="0.2">
      <c r="A31" s="98"/>
      <c r="B31" s="23">
        <v>1340</v>
      </c>
      <c r="C31" s="98"/>
      <c r="D31" s="23">
        <v>240</v>
      </c>
      <c r="E31" s="23" t="s">
        <v>105</v>
      </c>
      <c r="F31" s="63">
        <v>3094</v>
      </c>
      <c r="G31" s="63"/>
      <c r="H31" s="63">
        <f>SUM(F31:G31)</f>
        <v>3094</v>
      </c>
      <c r="I31" s="63">
        <v>3235.1963999999998</v>
      </c>
      <c r="J31" s="28">
        <f t="shared" si="6"/>
        <v>104.56355526826115</v>
      </c>
      <c r="K31" s="241">
        <f>I31-H31</f>
        <v>141.19639999999981</v>
      </c>
      <c r="L31" s="101" t="s">
        <v>286</v>
      </c>
    </row>
    <row r="32" spans="1:12" x14ac:dyDescent="0.2">
      <c r="A32" s="98"/>
      <c r="B32" s="23">
        <v>1341</v>
      </c>
      <c r="C32" s="98"/>
      <c r="D32" s="23">
        <v>5</v>
      </c>
      <c r="E32" s="23" t="s">
        <v>108</v>
      </c>
      <c r="F32" s="63">
        <v>135</v>
      </c>
      <c r="G32" s="63"/>
      <c r="H32" s="63">
        <f>SUM(F32:G32)</f>
        <v>135</v>
      </c>
      <c r="I32" s="63">
        <v>134.411</v>
      </c>
      <c r="J32" s="28">
        <f t="shared" si="6"/>
        <v>99.563703703703709</v>
      </c>
      <c r="K32" s="241">
        <f>I32-H32</f>
        <v>-0.58899999999999864</v>
      </c>
      <c r="L32" s="101"/>
    </row>
    <row r="33" spans="1:12" x14ac:dyDescent="0.2">
      <c r="A33" s="98"/>
      <c r="B33" s="23">
        <v>1343</v>
      </c>
      <c r="C33" s="98"/>
      <c r="D33" s="23">
        <v>30</v>
      </c>
      <c r="E33" s="23" t="s">
        <v>109</v>
      </c>
      <c r="F33" s="63">
        <v>80</v>
      </c>
      <c r="G33" s="63"/>
      <c r="H33" s="63">
        <f>SUM(F33:G33)</f>
        <v>80</v>
      </c>
      <c r="I33" s="63">
        <v>106.91500000000001</v>
      </c>
      <c r="J33" s="28">
        <f t="shared" si="6"/>
        <v>133.64375000000001</v>
      </c>
      <c r="K33" s="241">
        <f>I33-H33</f>
        <v>26.915000000000006</v>
      </c>
      <c r="L33" s="101"/>
    </row>
    <row r="34" spans="1:12" x14ac:dyDescent="0.2">
      <c r="A34" s="98"/>
      <c r="B34" s="23">
        <v>1344</v>
      </c>
      <c r="C34" s="98"/>
      <c r="D34" s="23">
        <v>31</v>
      </c>
      <c r="E34" s="23" t="s">
        <v>110</v>
      </c>
      <c r="F34" s="63">
        <v>60</v>
      </c>
      <c r="G34" s="63"/>
      <c r="H34" s="63">
        <f>SUM(F34:G34)</f>
        <v>60</v>
      </c>
      <c r="I34" s="63">
        <v>108.604</v>
      </c>
      <c r="J34" s="28">
        <f t="shared" si="6"/>
        <v>181.00666666666666</v>
      </c>
      <c r="K34" s="241">
        <f>I34-H34</f>
        <v>48.603999999999999</v>
      </c>
      <c r="L34" s="101"/>
    </row>
    <row r="35" spans="1:12" ht="13.5" customHeight="1" x14ac:dyDescent="0.2">
      <c r="A35" s="98"/>
      <c r="B35" s="23">
        <v>1345</v>
      </c>
      <c r="C35" s="98"/>
      <c r="D35" s="23">
        <v>28</v>
      </c>
      <c r="E35" s="23" t="s">
        <v>388</v>
      </c>
      <c r="F35" s="63">
        <v>55</v>
      </c>
      <c r="G35" s="63"/>
      <c r="H35" s="63">
        <f>SUM(F35:G35)</f>
        <v>55</v>
      </c>
      <c r="I35" s="63">
        <f>59.315+5.516</f>
        <v>64.831000000000003</v>
      </c>
      <c r="J35" s="28">
        <f t="shared" si="6"/>
        <v>117.87454545454545</v>
      </c>
      <c r="K35" s="241">
        <f>I35-H35</f>
        <v>9.8310000000000031</v>
      </c>
      <c r="L35" s="101"/>
    </row>
    <row r="36" spans="1:12" x14ac:dyDescent="0.2">
      <c r="A36" s="85" t="s">
        <v>33</v>
      </c>
      <c r="B36" s="26"/>
      <c r="C36" s="85"/>
      <c r="D36" s="26"/>
      <c r="E36" s="26"/>
      <c r="F36" s="64">
        <f>SUM(F37)</f>
        <v>4000</v>
      </c>
      <c r="G36" s="64">
        <f>SUM(G37)</f>
        <v>0</v>
      </c>
      <c r="H36" s="64">
        <f>SUM(H37:H37)</f>
        <v>4000</v>
      </c>
      <c r="I36" s="64">
        <f>SUM(I37)</f>
        <v>4020.5937699999999</v>
      </c>
      <c r="J36" s="192">
        <f t="shared" si="6"/>
        <v>100.51484425</v>
      </c>
      <c r="K36" s="317">
        <f>SUM(K37:K37)</f>
        <v>20.59376999999995</v>
      </c>
      <c r="L36" s="222"/>
    </row>
    <row r="37" spans="1:12" ht="13.5" thickBot="1" x14ac:dyDescent="0.25">
      <c r="A37" s="98"/>
      <c r="B37" s="23">
        <v>1511</v>
      </c>
      <c r="C37" s="98" t="s">
        <v>34</v>
      </c>
      <c r="D37" s="98"/>
      <c r="E37" s="23" t="s">
        <v>186</v>
      </c>
      <c r="F37" s="63">
        <v>4000</v>
      </c>
      <c r="G37" s="63"/>
      <c r="H37" s="63">
        <f>SUM(F37:G37)</f>
        <v>4000</v>
      </c>
      <c r="I37" s="63">
        <v>4020.5937699999999</v>
      </c>
      <c r="J37" s="28">
        <f t="shared" si="6"/>
        <v>100.51484425</v>
      </c>
      <c r="K37" s="241">
        <f>I37-H37</f>
        <v>20.59376999999995</v>
      </c>
      <c r="L37" s="101"/>
    </row>
    <row r="38" spans="1:12" ht="18" customHeight="1" thickBot="1" x14ac:dyDescent="0.3">
      <c r="A38" s="104" t="s">
        <v>35</v>
      </c>
      <c r="B38" s="105"/>
      <c r="C38" s="104"/>
      <c r="D38" s="105"/>
      <c r="E38" s="104"/>
      <c r="F38" s="65">
        <f t="shared" ref="F38:J38" si="7">SUM(F5+F15+F27+F30+F36)</f>
        <v>76351</v>
      </c>
      <c r="G38" s="65">
        <f t="shared" si="7"/>
        <v>0</v>
      </c>
      <c r="H38" s="65">
        <f t="shared" si="7"/>
        <v>76351</v>
      </c>
      <c r="I38" s="65">
        <f t="shared" si="7"/>
        <v>83719.080070000011</v>
      </c>
      <c r="J38" s="65">
        <f t="shared" si="7"/>
        <v>539.78064405392422</v>
      </c>
      <c r="K38" s="321">
        <f>SUM(K5+K15+K27+K30+K36)</f>
        <v>7368.08007</v>
      </c>
      <c r="L38" s="65"/>
    </row>
    <row r="39" spans="1:12" x14ac:dyDescent="0.2">
      <c r="A39" s="99"/>
      <c r="B39" s="69"/>
      <c r="C39" s="99"/>
      <c r="D39" s="69"/>
      <c r="E39" s="99" t="s">
        <v>36</v>
      </c>
      <c r="F39" s="68"/>
      <c r="G39" s="68"/>
      <c r="H39" s="68"/>
      <c r="I39" s="68"/>
      <c r="J39" s="31"/>
      <c r="K39" s="322"/>
      <c r="L39" s="223"/>
    </row>
    <row r="40" spans="1:12" x14ac:dyDescent="0.2">
      <c r="A40" s="85" t="s">
        <v>37</v>
      </c>
      <c r="B40" s="26"/>
      <c r="C40" s="85"/>
      <c r="D40" s="26"/>
      <c r="E40" s="26"/>
      <c r="F40" s="64"/>
      <c r="G40" s="64"/>
      <c r="H40" s="64"/>
      <c r="I40" s="64"/>
      <c r="J40" s="28"/>
      <c r="K40" s="323"/>
      <c r="L40" s="222"/>
    </row>
    <row r="41" spans="1:12" x14ac:dyDescent="0.2">
      <c r="A41" s="98"/>
      <c r="B41" s="26"/>
      <c r="C41" s="98"/>
      <c r="D41" s="26"/>
      <c r="E41" s="26" t="s">
        <v>154</v>
      </c>
      <c r="F41" s="64">
        <f>SUM(F42:F57)</f>
        <v>9978</v>
      </c>
      <c r="G41" s="64">
        <f>SUM(G42:G57)</f>
        <v>0</v>
      </c>
      <c r="H41" s="64">
        <f>SUM(H42:H57)</f>
        <v>9978</v>
      </c>
      <c r="I41" s="64">
        <f>SUM(I42:I57)</f>
        <v>10384.87636</v>
      </c>
      <c r="J41" s="192">
        <f t="shared" ref="J41:J56" si="8">I41/$H41*100</f>
        <v>104.07773461615555</v>
      </c>
      <c r="K41" s="317">
        <f>SUM(K42:K57)</f>
        <v>406.87636000000015</v>
      </c>
      <c r="L41" s="101"/>
    </row>
    <row r="42" spans="1:12" x14ac:dyDescent="0.2">
      <c r="A42" s="98"/>
      <c r="B42" s="23">
        <v>2111</v>
      </c>
      <c r="C42" s="98">
        <v>1031</v>
      </c>
      <c r="D42" s="23">
        <v>201</v>
      </c>
      <c r="E42" s="23" t="s">
        <v>96</v>
      </c>
      <c r="F42" s="63">
        <v>400</v>
      </c>
      <c r="G42" s="63"/>
      <c r="H42" s="63">
        <f t="shared" ref="H42:H57" si="9">SUM(F42:G42)</f>
        <v>400</v>
      </c>
      <c r="I42" s="63">
        <v>1195.6594299999999</v>
      </c>
      <c r="J42" s="28">
        <f t="shared" si="8"/>
        <v>298.91485749999998</v>
      </c>
      <c r="K42" s="241">
        <f t="shared" ref="K42:K57" si="10">I42-H42</f>
        <v>795.65942999999993</v>
      </c>
      <c r="L42" s="101"/>
    </row>
    <row r="43" spans="1:12" x14ac:dyDescent="0.2">
      <c r="A43" s="98"/>
      <c r="B43" s="23">
        <v>2111</v>
      </c>
      <c r="C43" s="98">
        <v>2219</v>
      </c>
      <c r="D43" s="23">
        <v>43</v>
      </c>
      <c r="E43" s="23" t="s">
        <v>182</v>
      </c>
      <c r="F43" s="63">
        <v>1050</v>
      </c>
      <c r="G43" s="63"/>
      <c r="H43" s="63">
        <f t="shared" si="9"/>
        <v>1050</v>
      </c>
      <c r="I43" s="63">
        <v>1024.644</v>
      </c>
      <c r="J43" s="28">
        <f t="shared" si="8"/>
        <v>97.585142857142856</v>
      </c>
      <c r="K43" s="241">
        <f t="shared" si="10"/>
        <v>-25.355999999999995</v>
      </c>
      <c r="L43" s="101"/>
    </row>
    <row r="44" spans="1:12" x14ac:dyDescent="0.2">
      <c r="A44" s="98"/>
      <c r="B44" s="23">
        <v>2111</v>
      </c>
      <c r="C44" s="98">
        <v>3314</v>
      </c>
      <c r="D44" s="23">
        <v>504</v>
      </c>
      <c r="E44" s="23" t="s">
        <v>181</v>
      </c>
      <c r="F44" s="63">
        <v>96</v>
      </c>
      <c r="G44" s="63"/>
      <c r="H44" s="63">
        <f t="shared" si="9"/>
        <v>96</v>
      </c>
      <c r="I44" s="63">
        <v>94.944999999999993</v>
      </c>
      <c r="J44" s="28">
        <f t="shared" si="8"/>
        <v>98.901041666666657</v>
      </c>
      <c r="K44" s="241">
        <f t="shared" si="10"/>
        <v>-1.0550000000000068</v>
      </c>
      <c r="L44" s="101"/>
    </row>
    <row r="45" spans="1:12" x14ac:dyDescent="0.2">
      <c r="A45" s="98"/>
      <c r="B45" s="23">
        <v>2111</v>
      </c>
      <c r="C45" s="394" t="s">
        <v>308</v>
      </c>
      <c r="D45" s="23">
        <v>41</v>
      </c>
      <c r="E45" s="23" t="s">
        <v>41</v>
      </c>
      <c r="F45" s="63">
        <v>80</v>
      </c>
      <c r="G45" s="63"/>
      <c r="H45" s="63">
        <f t="shared" si="9"/>
        <v>80</v>
      </c>
      <c r="I45" s="63">
        <v>48.04</v>
      </c>
      <c r="J45" s="28">
        <f t="shared" si="8"/>
        <v>60.050000000000004</v>
      </c>
      <c r="K45" s="241">
        <f t="shared" si="10"/>
        <v>-31.96</v>
      </c>
      <c r="L45" s="101"/>
    </row>
    <row r="46" spans="1:12" x14ac:dyDescent="0.2">
      <c r="A46" s="98"/>
      <c r="B46" s="23">
        <v>2111</v>
      </c>
      <c r="C46" s="98">
        <v>3349</v>
      </c>
      <c r="D46" s="23">
        <v>42</v>
      </c>
      <c r="E46" s="23" t="s">
        <v>38</v>
      </c>
      <c r="F46" s="63">
        <v>99</v>
      </c>
      <c r="G46" s="63"/>
      <c r="H46" s="63">
        <f t="shared" si="9"/>
        <v>99</v>
      </c>
      <c r="I46" s="63">
        <v>86.811000000000007</v>
      </c>
      <c r="J46" s="28">
        <f t="shared" si="8"/>
        <v>87.687878787878788</v>
      </c>
      <c r="K46" s="241">
        <f t="shared" si="10"/>
        <v>-12.188999999999993</v>
      </c>
      <c r="L46" s="101"/>
    </row>
    <row r="47" spans="1:12" x14ac:dyDescent="0.2">
      <c r="A47" s="98"/>
      <c r="B47" s="23">
        <v>2111</v>
      </c>
      <c r="C47" s="98">
        <v>3612</v>
      </c>
      <c r="D47" s="23" t="s">
        <v>340</v>
      </c>
      <c r="E47" s="23" t="s">
        <v>187</v>
      </c>
      <c r="F47" s="63">
        <v>3648</v>
      </c>
      <c r="G47" s="63"/>
      <c r="H47" s="63">
        <f t="shared" si="9"/>
        <v>3648</v>
      </c>
      <c r="I47" s="63">
        <f>826.06293-1.448+2067.02292</f>
        <v>2891.6378500000001</v>
      </c>
      <c r="J47" s="28">
        <f t="shared" si="8"/>
        <v>79.26638843201755</v>
      </c>
      <c r="K47" s="241">
        <f t="shared" si="10"/>
        <v>-756.36214999999993</v>
      </c>
      <c r="L47" s="101"/>
    </row>
    <row r="48" spans="1:12" x14ac:dyDescent="0.2">
      <c r="A48" s="98"/>
      <c r="B48" s="23">
        <v>2111</v>
      </c>
      <c r="C48" s="98">
        <v>3613</v>
      </c>
      <c r="D48" s="23">
        <v>703</v>
      </c>
      <c r="E48" s="23" t="s">
        <v>188</v>
      </c>
      <c r="F48" s="63">
        <v>355</v>
      </c>
      <c r="G48" s="63"/>
      <c r="H48" s="63">
        <f t="shared" si="9"/>
        <v>355</v>
      </c>
      <c r="I48" s="63">
        <v>282.96535999999998</v>
      </c>
      <c r="J48" s="28">
        <f t="shared" si="8"/>
        <v>79.708552112676045</v>
      </c>
      <c r="K48" s="241">
        <f t="shared" si="10"/>
        <v>-72.034640000000024</v>
      </c>
      <c r="L48" s="224"/>
    </row>
    <row r="49" spans="1:12" x14ac:dyDescent="0.2">
      <c r="A49" s="98"/>
      <c r="B49" s="23">
        <v>2111</v>
      </c>
      <c r="C49" s="98">
        <v>3632</v>
      </c>
      <c r="D49" s="23">
        <v>238</v>
      </c>
      <c r="E49" s="23" t="s">
        <v>39</v>
      </c>
      <c r="F49" s="63">
        <v>350</v>
      </c>
      <c r="G49" s="63"/>
      <c r="H49" s="63">
        <f t="shared" si="9"/>
        <v>350</v>
      </c>
      <c r="I49" s="63">
        <f>349.889+40.747</f>
        <v>390.63600000000002</v>
      </c>
      <c r="J49" s="28">
        <f t="shared" si="8"/>
        <v>111.61028571428572</v>
      </c>
      <c r="K49" s="241">
        <f t="shared" si="10"/>
        <v>40.636000000000024</v>
      </c>
      <c r="L49" s="101"/>
    </row>
    <row r="50" spans="1:12" x14ac:dyDescent="0.2">
      <c r="A50" s="98"/>
      <c r="B50" s="23">
        <v>2111</v>
      </c>
      <c r="C50" s="98">
        <v>3639</v>
      </c>
      <c r="D50" s="23">
        <v>21.318999999999999</v>
      </c>
      <c r="E50" s="23" t="s">
        <v>281</v>
      </c>
      <c r="F50" s="63">
        <v>72</v>
      </c>
      <c r="G50" s="63"/>
      <c r="H50" s="63">
        <f t="shared" si="9"/>
        <v>72</v>
      </c>
      <c r="I50" s="63">
        <f>33.006+69</f>
        <v>102.006</v>
      </c>
      <c r="J50" s="28">
        <f t="shared" si="8"/>
        <v>141.67499999999998</v>
      </c>
      <c r="K50" s="241">
        <f t="shared" si="10"/>
        <v>30.006</v>
      </c>
      <c r="L50" s="101"/>
    </row>
    <row r="51" spans="1:12" x14ac:dyDescent="0.2">
      <c r="A51" s="98"/>
      <c r="B51" s="23">
        <v>2111.2323999999999</v>
      </c>
      <c r="C51" s="98">
        <v>3639</v>
      </c>
      <c r="D51" s="23">
        <v>239</v>
      </c>
      <c r="E51" s="23" t="s">
        <v>153</v>
      </c>
      <c r="F51" s="63">
        <v>48</v>
      </c>
      <c r="G51" s="63"/>
      <c r="H51" s="63">
        <f t="shared" si="9"/>
        <v>48</v>
      </c>
      <c r="I51" s="63">
        <v>64.597999999999999</v>
      </c>
      <c r="J51" s="28">
        <f t="shared" si="8"/>
        <v>134.57916666666668</v>
      </c>
      <c r="K51" s="241">
        <f t="shared" si="10"/>
        <v>16.597999999999999</v>
      </c>
      <c r="L51" s="101"/>
    </row>
    <row r="52" spans="1:12" x14ac:dyDescent="0.2">
      <c r="A52" s="98"/>
      <c r="B52" s="23">
        <v>2111</v>
      </c>
      <c r="C52" s="98">
        <v>3639</v>
      </c>
      <c r="D52" s="23">
        <v>243</v>
      </c>
      <c r="E52" s="23" t="s">
        <v>94</v>
      </c>
      <c r="F52" s="63">
        <v>45</v>
      </c>
      <c r="G52" s="63"/>
      <c r="H52" s="63">
        <f t="shared" si="9"/>
        <v>45</v>
      </c>
      <c r="I52" s="63">
        <v>46.12</v>
      </c>
      <c r="J52" s="28">
        <f t="shared" si="8"/>
        <v>102.48888888888888</v>
      </c>
      <c r="K52" s="241">
        <f t="shared" si="10"/>
        <v>1.1199999999999974</v>
      </c>
      <c r="L52" s="101"/>
    </row>
    <row r="53" spans="1:12" x14ac:dyDescent="0.2">
      <c r="A53" s="98"/>
      <c r="B53" s="23">
        <v>2111</v>
      </c>
      <c r="C53" s="98">
        <v>4351</v>
      </c>
      <c r="D53" s="23">
        <v>227</v>
      </c>
      <c r="E53" s="23" t="s">
        <v>151</v>
      </c>
      <c r="F53" s="63">
        <f>560+100</f>
        <v>660</v>
      </c>
      <c r="G53" s="63"/>
      <c r="H53" s="63">
        <f t="shared" si="9"/>
        <v>660</v>
      </c>
      <c r="I53" s="63">
        <f>728.493+150+89.014</f>
        <v>967.50700000000006</v>
      </c>
      <c r="J53" s="28">
        <f t="shared" si="8"/>
        <v>146.5919696969697</v>
      </c>
      <c r="K53" s="241">
        <f t="shared" si="10"/>
        <v>307.50700000000006</v>
      </c>
      <c r="L53" s="101"/>
    </row>
    <row r="54" spans="1:12" x14ac:dyDescent="0.2">
      <c r="A54" s="98"/>
      <c r="B54" s="23">
        <v>2111</v>
      </c>
      <c r="C54" s="98">
        <v>6171</v>
      </c>
      <c r="D54" s="23">
        <v>911</v>
      </c>
      <c r="E54" s="23" t="s">
        <v>189</v>
      </c>
      <c r="F54" s="63">
        <f>60+30</f>
        <v>90</v>
      </c>
      <c r="G54" s="63"/>
      <c r="H54" s="63">
        <f t="shared" si="9"/>
        <v>90</v>
      </c>
      <c r="I54" s="63">
        <f>60+0.32+9.88+1.93+45.4425+15.15032+3.0554+5.96</f>
        <v>141.73822000000001</v>
      </c>
      <c r="J54" s="28">
        <f t="shared" si="8"/>
        <v>157.48691111111114</v>
      </c>
      <c r="K54" s="241">
        <f t="shared" si="10"/>
        <v>51.738220000000013</v>
      </c>
      <c r="L54" s="101"/>
    </row>
    <row r="55" spans="1:12" x14ac:dyDescent="0.2">
      <c r="A55" s="98"/>
      <c r="B55" s="23">
        <v>2119</v>
      </c>
      <c r="C55" s="98">
        <v>2121</v>
      </c>
      <c r="D55" s="23">
        <v>20</v>
      </c>
      <c r="E55" s="23" t="s">
        <v>248</v>
      </c>
      <c r="F55" s="63">
        <v>30</v>
      </c>
      <c r="G55" s="63"/>
      <c r="H55" s="63">
        <f t="shared" si="9"/>
        <v>30</v>
      </c>
      <c r="I55" s="63">
        <v>90.944999999999993</v>
      </c>
      <c r="J55" s="28">
        <f t="shared" si="8"/>
        <v>303.14999999999998</v>
      </c>
      <c r="K55" s="241">
        <f t="shared" si="10"/>
        <v>60.944999999999993</v>
      </c>
      <c r="L55" s="101"/>
    </row>
    <row r="56" spans="1:12" x14ac:dyDescent="0.2">
      <c r="A56" s="98"/>
      <c r="B56" s="23">
        <v>2122</v>
      </c>
      <c r="C56" s="98"/>
      <c r="D56" s="23"/>
      <c r="E56" s="23" t="s">
        <v>264</v>
      </c>
      <c r="F56" s="63">
        <v>2155</v>
      </c>
      <c r="G56" s="63"/>
      <c r="H56" s="63">
        <f t="shared" si="9"/>
        <v>2155</v>
      </c>
      <c r="I56" s="63">
        <f>606.324+222.581+338.422+362.754+2.482+627.884</f>
        <v>2160.4470000000001</v>
      </c>
      <c r="J56" s="445">
        <f t="shared" si="8"/>
        <v>100.25276102088168</v>
      </c>
      <c r="K56" s="241">
        <f t="shared" si="10"/>
        <v>5.4470000000001164</v>
      </c>
      <c r="L56" s="119"/>
    </row>
    <row r="57" spans="1:12" x14ac:dyDescent="0.2">
      <c r="A57" s="98"/>
      <c r="B57" s="23">
        <v>2324</v>
      </c>
      <c r="C57" s="98">
        <v>3725</v>
      </c>
      <c r="D57" s="23">
        <v>240</v>
      </c>
      <c r="E57" s="23" t="s">
        <v>123</v>
      </c>
      <c r="F57" s="63">
        <f>750+50</f>
        <v>800</v>
      </c>
      <c r="G57" s="63"/>
      <c r="H57" s="63">
        <f t="shared" si="9"/>
        <v>800</v>
      </c>
      <c r="I57" s="63">
        <f>65.44+720.7365+10</f>
        <v>796.17650000000003</v>
      </c>
      <c r="J57" s="28">
        <f>I57/$H57*100</f>
        <v>99.522062500000004</v>
      </c>
      <c r="K57" s="241">
        <f t="shared" si="10"/>
        <v>-3.8234999999999673</v>
      </c>
      <c r="L57" s="334"/>
    </row>
    <row r="58" spans="1:12" ht="15" customHeight="1" x14ac:dyDescent="0.2">
      <c r="A58" s="98"/>
      <c r="B58" s="98"/>
      <c r="C58" s="98"/>
      <c r="D58" s="98"/>
      <c r="E58" s="26" t="s">
        <v>42</v>
      </c>
      <c r="F58" s="64">
        <f>SUM(F59:F67)</f>
        <v>14227</v>
      </c>
      <c r="G58" s="64">
        <f>SUM(G59:G67)</f>
        <v>0</v>
      </c>
      <c r="H58" s="64">
        <f>SUM(H59:H67)</f>
        <v>14227</v>
      </c>
      <c r="I58" s="64">
        <f>SUM(I59:I67)</f>
        <v>13902.112410000002</v>
      </c>
      <c r="J58" s="192">
        <f t="shared" ref="J58:J80" si="11">I58/$H58*100</f>
        <v>97.716401279257752</v>
      </c>
      <c r="K58" s="317">
        <f>SUM(K59:K67)</f>
        <v>-324.88758999999914</v>
      </c>
      <c r="L58" s="101"/>
    </row>
    <row r="59" spans="1:12" x14ac:dyDescent="0.2">
      <c r="A59" s="98"/>
      <c r="B59" s="23">
        <v>2131</v>
      </c>
      <c r="C59" s="98">
        <v>1012</v>
      </c>
      <c r="D59" s="23">
        <v>38</v>
      </c>
      <c r="E59" s="23" t="s">
        <v>199</v>
      </c>
      <c r="F59" s="63">
        <v>445</v>
      </c>
      <c r="G59" s="63"/>
      <c r="H59" s="63">
        <f t="shared" ref="H59:H67" si="12">SUM(F59:G59)</f>
        <v>445</v>
      </c>
      <c r="I59" s="63">
        <v>476.5598</v>
      </c>
      <c r="J59" s="28">
        <f t="shared" si="11"/>
        <v>107.09208988764046</v>
      </c>
      <c r="K59" s="241">
        <f t="shared" ref="K59:K67" si="13">I59-H59</f>
        <v>31.559799999999996</v>
      </c>
      <c r="L59" s="101" t="s">
        <v>385</v>
      </c>
    </row>
    <row r="60" spans="1:12" x14ac:dyDescent="0.2">
      <c r="A60" s="98"/>
      <c r="B60" s="23">
        <v>2132</v>
      </c>
      <c r="C60" s="98">
        <v>2121</v>
      </c>
      <c r="D60" s="23">
        <v>237</v>
      </c>
      <c r="E60" s="23" t="s">
        <v>200</v>
      </c>
      <c r="F60" s="63">
        <f>1450+55</f>
        <v>1505</v>
      </c>
      <c r="G60" s="63"/>
      <c r="H60" s="63">
        <f t="shared" si="12"/>
        <v>1505</v>
      </c>
      <c r="I60" s="63">
        <f>52.093+1538.90833+0.33103</f>
        <v>1591.3323600000001</v>
      </c>
      <c r="J60" s="28">
        <f t="shared" ref="J60:J67" si="14">I60/$H60*100</f>
        <v>105.73636943521596</v>
      </c>
      <c r="K60" s="241">
        <f t="shared" si="13"/>
        <v>86.332360000000108</v>
      </c>
      <c r="L60" s="225"/>
    </row>
    <row r="61" spans="1:12" x14ac:dyDescent="0.2">
      <c r="A61" s="98"/>
      <c r="B61" s="23">
        <v>2132</v>
      </c>
      <c r="C61" s="98">
        <v>3612</v>
      </c>
      <c r="D61" s="23">
        <v>235</v>
      </c>
      <c r="E61" s="23" t="s">
        <v>150</v>
      </c>
      <c r="F61" s="63">
        <v>8200</v>
      </c>
      <c r="G61" s="63"/>
      <c r="H61" s="63">
        <f t="shared" si="12"/>
        <v>8200</v>
      </c>
      <c r="I61" s="63">
        <f>1910.21726+0.025+1706.822+2.801+4094.17102+38.7286</f>
        <v>7752.7648800000006</v>
      </c>
      <c r="J61" s="28">
        <f t="shared" si="14"/>
        <v>94.545913170731708</v>
      </c>
      <c r="K61" s="241">
        <f t="shared" si="13"/>
        <v>-447.23511999999937</v>
      </c>
      <c r="L61" s="101"/>
    </row>
    <row r="62" spans="1:12" x14ac:dyDescent="0.2">
      <c r="A62" s="98"/>
      <c r="B62" s="23">
        <v>2132</v>
      </c>
      <c r="C62" s="98">
        <v>3613</v>
      </c>
      <c r="D62" s="23">
        <v>236</v>
      </c>
      <c r="E62" s="23" t="s">
        <v>43</v>
      </c>
      <c r="F62" s="63">
        <v>759</v>
      </c>
      <c r="G62" s="63"/>
      <c r="H62" s="63">
        <f t="shared" si="12"/>
        <v>759</v>
      </c>
      <c r="I62" s="63">
        <f>755.522+2.758</f>
        <v>758.28000000000009</v>
      </c>
      <c r="J62" s="28">
        <f t="shared" si="14"/>
        <v>99.905138339920967</v>
      </c>
      <c r="K62" s="241">
        <f t="shared" si="13"/>
        <v>-0.7199999999999136</v>
      </c>
      <c r="L62" s="101"/>
    </row>
    <row r="63" spans="1:12" ht="13.5" customHeight="1" x14ac:dyDescent="0.2">
      <c r="A63" s="98"/>
      <c r="B63" s="23">
        <v>2132</v>
      </c>
      <c r="C63" s="98">
        <v>3634</v>
      </c>
      <c r="D63" s="23">
        <v>21</v>
      </c>
      <c r="E63" s="23" t="s">
        <v>44</v>
      </c>
      <c r="F63" s="63">
        <v>1806</v>
      </c>
      <c r="G63" s="63"/>
      <c r="H63" s="63">
        <f t="shared" si="12"/>
        <v>1806</v>
      </c>
      <c r="I63" s="63">
        <v>1806.6510000000001</v>
      </c>
      <c r="J63" s="28">
        <f t="shared" si="14"/>
        <v>100.03604651162792</v>
      </c>
      <c r="K63" s="241">
        <f t="shared" si="13"/>
        <v>0.6510000000000673</v>
      </c>
      <c r="L63" s="101"/>
    </row>
    <row r="64" spans="1:12" x14ac:dyDescent="0.2">
      <c r="A64" s="98"/>
      <c r="B64" s="23">
        <v>2132</v>
      </c>
      <c r="C64" s="98">
        <v>3639</v>
      </c>
      <c r="D64" s="23">
        <v>21</v>
      </c>
      <c r="E64" s="23" t="s">
        <v>184</v>
      </c>
      <c r="F64" s="63">
        <f>768-712+275+150</f>
        <v>481</v>
      </c>
      <c r="G64" s="63"/>
      <c r="H64" s="63">
        <f t="shared" si="12"/>
        <v>481</v>
      </c>
      <c r="I64" s="63">
        <v>498.72949999999997</v>
      </c>
      <c r="J64" s="28">
        <f t="shared" si="14"/>
        <v>103.68596673596673</v>
      </c>
      <c r="K64" s="241">
        <f t="shared" si="13"/>
        <v>17.729499999999973</v>
      </c>
      <c r="L64" s="101"/>
    </row>
    <row r="65" spans="1:12" x14ac:dyDescent="0.2">
      <c r="A65" s="98"/>
      <c r="B65" s="23">
        <v>2132</v>
      </c>
      <c r="C65" s="98">
        <v>3639</v>
      </c>
      <c r="D65" s="23">
        <v>319</v>
      </c>
      <c r="E65" s="23" t="s">
        <v>283</v>
      </c>
      <c r="F65" s="63">
        <v>274</v>
      </c>
      <c r="G65" s="63"/>
      <c r="H65" s="63">
        <f t="shared" si="12"/>
        <v>274</v>
      </c>
      <c r="I65" s="63">
        <v>274.428</v>
      </c>
      <c r="J65" s="28">
        <f t="shared" si="14"/>
        <v>100.15620437956206</v>
      </c>
      <c r="K65" s="241">
        <f t="shared" si="13"/>
        <v>0.42799999999999727</v>
      </c>
      <c r="L65" s="101"/>
    </row>
    <row r="66" spans="1:12" x14ac:dyDescent="0.2">
      <c r="A66" s="98"/>
      <c r="B66" s="23">
        <v>2133</v>
      </c>
      <c r="C66" s="98">
        <v>3639</v>
      </c>
      <c r="D66" s="23">
        <v>34</v>
      </c>
      <c r="E66" s="23" t="s">
        <v>183</v>
      </c>
      <c r="F66" s="63">
        <v>45</v>
      </c>
      <c r="G66" s="63"/>
      <c r="H66" s="63">
        <f t="shared" si="12"/>
        <v>45</v>
      </c>
      <c r="I66" s="63">
        <v>31.366869999999999</v>
      </c>
      <c r="J66" s="28">
        <f t="shared" si="14"/>
        <v>69.704155555555559</v>
      </c>
      <c r="K66" s="241">
        <f t="shared" si="13"/>
        <v>-13.633130000000001</v>
      </c>
      <c r="L66" s="101" t="s">
        <v>327</v>
      </c>
    </row>
    <row r="67" spans="1:12" x14ac:dyDescent="0.2">
      <c r="A67" s="98"/>
      <c r="B67" s="23">
        <v>2132</v>
      </c>
      <c r="C67" s="98">
        <v>4355</v>
      </c>
      <c r="D67" s="23">
        <v>311</v>
      </c>
      <c r="E67" s="23" t="s">
        <v>290</v>
      </c>
      <c r="F67" s="63">
        <v>712</v>
      </c>
      <c r="G67" s="63"/>
      <c r="H67" s="63">
        <f t="shared" si="12"/>
        <v>712</v>
      </c>
      <c r="I67" s="63">
        <v>712</v>
      </c>
      <c r="J67" s="28">
        <f t="shared" si="14"/>
        <v>100</v>
      </c>
      <c r="K67" s="241">
        <f t="shared" si="13"/>
        <v>0</v>
      </c>
      <c r="L67" s="101"/>
    </row>
    <row r="68" spans="1:12" ht="14.25" customHeight="1" x14ac:dyDescent="0.2">
      <c r="A68" s="98"/>
      <c r="B68" s="98"/>
      <c r="C68" s="98"/>
      <c r="D68" s="98"/>
      <c r="E68" s="26" t="s">
        <v>91</v>
      </c>
      <c r="F68" s="64">
        <f>SUM(F69:F72)</f>
        <v>150</v>
      </c>
      <c r="G68" s="64">
        <f>SUM(G69:G72)</f>
        <v>0</v>
      </c>
      <c r="H68" s="64">
        <f>SUM(H69:H72)</f>
        <v>150</v>
      </c>
      <c r="I68" s="64">
        <f>SUM(I69:I72)</f>
        <v>144.15231</v>
      </c>
      <c r="J68" s="192">
        <f t="shared" si="11"/>
        <v>96.10154</v>
      </c>
      <c r="K68" s="317">
        <f>SUM(K69:K72)</f>
        <v>-5.8476899999999965</v>
      </c>
      <c r="L68" s="226"/>
    </row>
    <row r="69" spans="1:12" x14ac:dyDescent="0.2">
      <c r="A69" s="98"/>
      <c r="B69" s="23">
        <v>2141</v>
      </c>
      <c r="C69" s="98">
        <v>6310</v>
      </c>
      <c r="D69" s="23">
        <v>314</v>
      </c>
      <c r="E69" s="23" t="s">
        <v>300</v>
      </c>
      <c r="F69" s="63">
        <v>50</v>
      </c>
      <c r="G69" s="63"/>
      <c r="H69" s="63">
        <f>SUM(F69:G69)</f>
        <v>50</v>
      </c>
      <c r="I69" s="63">
        <f>11.19373+0.68764+0.759</f>
        <v>12.640370000000001</v>
      </c>
      <c r="J69" s="28">
        <f t="shared" si="11"/>
        <v>25.280740000000002</v>
      </c>
      <c r="K69" s="241">
        <f>I69-H69</f>
        <v>-37.359629999999996</v>
      </c>
      <c r="L69" s="101"/>
    </row>
    <row r="70" spans="1:12" x14ac:dyDescent="0.2">
      <c r="A70" s="98"/>
      <c r="B70" s="23">
        <v>2143</v>
      </c>
      <c r="C70" s="98"/>
      <c r="D70" s="23"/>
      <c r="E70" s="23" t="s">
        <v>309</v>
      </c>
      <c r="F70" s="63"/>
      <c r="G70" s="63"/>
      <c r="H70" s="63"/>
      <c r="I70" s="63">
        <v>22.199940000000002</v>
      </c>
      <c r="J70" s="28"/>
      <c r="K70" s="241">
        <f>I70-H70</f>
        <v>22.199940000000002</v>
      </c>
      <c r="L70" s="101"/>
    </row>
    <row r="71" spans="1:12" x14ac:dyDescent="0.2">
      <c r="A71" s="98"/>
      <c r="B71" s="23">
        <v>2141</v>
      </c>
      <c r="C71" s="98">
        <v>6310</v>
      </c>
      <c r="D71" s="23">
        <v>245</v>
      </c>
      <c r="E71" s="23" t="s">
        <v>190</v>
      </c>
      <c r="F71" s="63">
        <v>95</v>
      </c>
      <c r="G71" s="63"/>
      <c r="H71" s="63">
        <f>SUM(F71:G71)</f>
        <v>95</v>
      </c>
      <c r="I71" s="63">
        <v>95.954999999999998</v>
      </c>
      <c r="J71" s="28">
        <f t="shared" si="11"/>
        <v>101.00526315789473</v>
      </c>
      <c r="K71" s="241">
        <f>I71-H71</f>
        <v>0.95499999999999829</v>
      </c>
      <c r="L71" s="101"/>
    </row>
    <row r="72" spans="1:12" ht="13.5" customHeight="1" x14ac:dyDescent="0.2">
      <c r="A72" s="98"/>
      <c r="B72" s="23">
        <v>2141</v>
      </c>
      <c r="C72" s="98">
        <v>6310</v>
      </c>
      <c r="D72" s="23">
        <v>318</v>
      </c>
      <c r="E72" s="23" t="s">
        <v>366</v>
      </c>
      <c r="F72" s="63">
        <v>5</v>
      </c>
      <c r="G72" s="63"/>
      <c r="H72" s="63">
        <f>SUM(F72:G72)</f>
        <v>5</v>
      </c>
      <c r="I72" s="63">
        <f>2.189+11.168</f>
        <v>13.356999999999999</v>
      </c>
      <c r="J72" s="28">
        <f t="shared" si="11"/>
        <v>267.14</v>
      </c>
      <c r="K72" s="241">
        <f>I72-H72</f>
        <v>8.3569999999999993</v>
      </c>
      <c r="L72" s="101"/>
    </row>
    <row r="73" spans="1:12" x14ac:dyDescent="0.2">
      <c r="A73" s="85" t="s">
        <v>138</v>
      </c>
      <c r="B73" s="26"/>
      <c r="C73" s="85"/>
      <c r="D73" s="26"/>
      <c r="E73" s="26"/>
      <c r="F73" s="64">
        <f>SUM(F74:F80)</f>
        <v>1564</v>
      </c>
      <c r="G73" s="64">
        <f>SUM(G74:G80)</f>
        <v>55</v>
      </c>
      <c r="H73" s="64">
        <f>SUM(H74:H80)</f>
        <v>1619</v>
      </c>
      <c r="I73" s="64">
        <f>SUM(I74:I80)</f>
        <v>1416.6599200000001</v>
      </c>
      <c r="J73" s="192">
        <f t="shared" si="11"/>
        <v>87.502156886967271</v>
      </c>
      <c r="K73" s="317">
        <f>SUM(K74:K80)</f>
        <v>-202.34007999999994</v>
      </c>
      <c r="L73" s="222"/>
    </row>
    <row r="74" spans="1:12" x14ac:dyDescent="0.2">
      <c r="A74" s="98"/>
      <c r="B74" s="23">
        <v>2212</v>
      </c>
      <c r="C74" s="98">
        <v>6171</v>
      </c>
      <c r="D74" s="23">
        <v>11</v>
      </c>
      <c r="E74" s="23" t="s">
        <v>144</v>
      </c>
      <c r="F74" s="63">
        <v>10</v>
      </c>
      <c r="G74" s="63"/>
      <c r="H74" s="63">
        <f t="shared" ref="H74:H80" si="15">SUM(F74:G74)</f>
        <v>10</v>
      </c>
      <c r="I74" s="63">
        <v>4.5</v>
      </c>
      <c r="J74" s="28">
        <f t="shared" si="11"/>
        <v>45</v>
      </c>
      <c r="K74" s="241">
        <f t="shared" ref="K74:K80" si="16">I74-H74</f>
        <v>-5.5</v>
      </c>
      <c r="L74" s="222"/>
    </row>
    <row r="75" spans="1:12" x14ac:dyDescent="0.2">
      <c r="B75" s="23">
        <v>2212</v>
      </c>
      <c r="C75" s="98">
        <v>6171</v>
      </c>
      <c r="D75" s="23">
        <v>14.33</v>
      </c>
      <c r="E75" s="23" t="s">
        <v>263</v>
      </c>
      <c r="F75" s="63">
        <f>10+60</f>
        <v>70</v>
      </c>
      <c r="G75" s="63"/>
      <c r="H75" s="63">
        <f t="shared" si="15"/>
        <v>70</v>
      </c>
      <c r="I75" s="63">
        <f>67.854+0.4+4.1</f>
        <v>72.353999999999999</v>
      </c>
      <c r="J75" s="28">
        <f t="shared" si="11"/>
        <v>103.36285714285714</v>
      </c>
      <c r="K75" s="241">
        <f t="shared" si="16"/>
        <v>2.3539999999999992</v>
      </c>
      <c r="L75" s="101"/>
    </row>
    <row r="76" spans="1:12" x14ac:dyDescent="0.2">
      <c r="A76" s="86"/>
      <c r="B76" s="23">
        <v>2212</v>
      </c>
      <c r="C76" s="98">
        <v>2169</v>
      </c>
      <c r="D76" s="23">
        <v>15</v>
      </c>
      <c r="E76" s="23" t="s">
        <v>174</v>
      </c>
      <c r="F76" s="63">
        <v>40</v>
      </c>
      <c r="G76" s="63"/>
      <c r="H76" s="63">
        <f t="shared" si="15"/>
        <v>40</v>
      </c>
      <c r="I76" s="63">
        <v>14.5</v>
      </c>
      <c r="J76" s="28">
        <f t="shared" si="11"/>
        <v>36.25</v>
      </c>
      <c r="K76" s="241">
        <f t="shared" si="16"/>
        <v>-25.5</v>
      </c>
      <c r="L76" s="411"/>
    </row>
    <row r="77" spans="1:12" x14ac:dyDescent="0.2">
      <c r="A77" s="98"/>
      <c r="B77" s="23">
        <v>2212</v>
      </c>
      <c r="C77" s="210" t="s">
        <v>196</v>
      </c>
      <c r="D77" s="23">
        <v>17</v>
      </c>
      <c r="E77" s="23" t="s">
        <v>141</v>
      </c>
      <c r="F77" s="63">
        <v>90</v>
      </c>
      <c r="G77" s="63"/>
      <c r="H77" s="63">
        <f t="shared" si="15"/>
        <v>90</v>
      </c>
      <c r="I77" s="63">
        <v>237.62</v>
      </c>
      <c r="J77" s="28">
        <f t="shared" si="11"/>
        <v>264.02222222222224</v>
      </c>
      <c r="K77" s="241">
        <f t="shared" si="16"/>
        <v>147.62</v>
      </c>
      <c r="L77" s="101"/>
    </row>
    <row r="78" spans="1:12" x14ac:dyDescent="0.2">
      <c r="A78" s="98"/>
      <c r="B78" s="23">
        <v>2212</v>
      </c>
      <c r="C78" s="98">
        <v>6171</v>
      </c>
      <c r="D78" s="23">
        <v>25.26</v>
      </c>
      <c r="E78" s="23" t="s">
        <v>140</v>
      </c>
      <c r="F78" s="63">
        <v>1200</v>
      </c>
      <c r="G78" s="63"/>
      <c r="H78" s="63">
        <f t="shared" si="15"/>
        <v>1200</v>
      </c>
      <c r="I78" s="63">
        <f>874.88592+6</f>
        <v>880.88592000000006</v>
      </c>
      <c r="J78" s="28">
        <f t="shared" si="11"/>
        <v>73.407160000000005</v>
      </c>
      <c r="K78" s="241">
        <f t="shared" si="16"/>
        <v>-319.11407999999994</v>
      </c>
      <c r="L78" s="101"/>
    </row>
    <row r="79" spans="1:12" x14ac:dyDescent="0.2">
      <c r="A79" s="98"/>
      <c r="B79" s="23">
        <v>2212</v>
      </c>
      <c r="C79" s="98">
        <v>6171</v>
      </c>
      <c r="D79" s="23">
        <v>30.13</v>
      </c>
      <c r="E79" s="23" t="s">
        <v>374</v>
      </c>
      <c r="F79" s="63">
        <v>4</v>
      </c>
      <c r="G79" s="63"/>
      <c r="H79" s="63">
        <f t="shared" si="15"/>
        <v>4</v>
      </c>
      <c r="I79" s="63"/>
      <c r="J79" s="28">
        <f t="shared" si="11"/>
        <v>0</v>
      </c>
      <c r="K79" s="241">
        <f t="shared" si="16"/>
        <v>-4</v>
      </c>
      <c r="L79" s="101"/>
    </row>
    <row r="80" spans="1:12" x14ac:dyDescent="0.2">
      <c r="A80" s="98"/>
      <c r="B80" s="23">
        <v>2212</v>
      </c>
      <c r="C80" s="98">
        <v>5311</v>
      </c>
      <c r="D80" s="23">
        <v>16</v>
      </c>
      <c r="E80" s="23" t="s">
        <v>45</v>
      </c>
      <c r="F80" s="63">
        <v>150</v>
      </c>
      <c r="G80" s="63">
        <v>55</v>
      </c>
      <c r="H80" s="63">
        <f t="shared" si="15"/>
        <v>205</v>
      </c>
      <c r="I80" s="63">
        <v>206.8</v>
      </c>
      <c r="J80" s="28">
        <f t="shared" si="11"/>
        <v>100.8780487804878</v>
      </c>
      <c r="K80" s="241">
        <f t="shared" si="16"/>
        <v>1.8000000000000114</v>
      </c>
      <c r="L80" s="101"/>
    </row>
    <row r="81" spans="1:12" x14ac:dyDescent="0.2">
      <c r="A81" s="85" t="s">
        <v>137</v>
      </c>
      <c r="B81" s="23"/>
      <c r="C81" s="98"/>
      <c r="D81" s="23"/>
      <c r="E81" s="23"/>
      <c r="F81" s="64">
        <f>SUM(F82:F82)</f>
        <v>0</v>
      </c>
      <c r="G81" s="64">
        <f>SUM(G82:G82)</f>
        <v>0</v>
      </c>
      <c r="H81" s="64">
        <f>SUM(H82:H82)</f>
        <v>0</v>
      </c>
      <c r="I81" s="64">
        <f>SUM(I82:I84)</f>
        <v>73.405149999999992</v>
      </c>
      <c r="J81" s="25"/>
      <c r="K81" s="317">
        <f>SUM(K82:K84)</f>
        <v>73.405149999999992</v>
      </c>
      <c r="L81" s="334"/>
    </row>
    <row r="82" spans="1:12" x14ac:dyDescent="0.2">
      <c r="A82" s="98"/>
      <c r="B82" s="23">
        <v>2321</v>
      </c>
      <c r="C82" s="98">
        <v>2199</v>
      </c>
      <c r="D82" s="23"/>
      <c r="E82" s="23" t="s">
        <v>285</v>
      </c>
      <c r="F82" s="63">
        <v>0</v>
      </c>
      <c r="G82" s="63"/>
      <c r="H82" s="63">
        <f>SUM(F82:G82)</f>
        <v>0</v>
      </c>
      <c r="I82" s="63">
        <f>10</f>
        <v>10</v>
      </c>
      <c r="J82" s="28"/>
      <c r="K82" s="241">
        <f>I82-H82</f>
        <v>10</v>
      </c>
      <c r="L82" s="101"/>
    </row>
    <row r="83" spans="1:12" x14ac:dyDescent="0.2">
      <c r="A83" s="98"/>
      <c r="B83" s="23">
        <v>2324</v>
      </c>
      <c r="C83" s="98"/>
      <c r="D83" s="23"/>
      <c r="E83" s="23" t="s">
        <v>353</v>
      </c>
      <c r="F83" s="63"/>
      <c r="G83" s="63"/>
      <c r="H83" s="63"/>
      <c r="I83" s="63">
        <f>6.419+3.10424+5+1.29961+17.5823</f>
        <v>33.405149999999999</v>
      </c>
      <c r="J83" s="28"/>
      <c r="K83" s="241">
        <f>I83-H83</f>
        <v>33.405149999999999</v>
      </c>
      <c r="L83" s="101"/>
    </row>
    <row r="84" spans="1:12" x14ac:dyDescent="0.2">
      <c r="A84" s="98"/>
      <c r="B84" s="23">
        <v>2229</v>
      </c>
      <c r="C84" s="98">
        <v>228</v>
      </c>
      <c r="D84" s="23"/>
      <c r="E84" s="23" t="s">
        <v>352</v>
      </c>
      <c r="F84" s="63"/>
      <c r="G84" s="63"/>
      <c r="H84" s="63"/>
      <c r="I84" s="63">
        <v>30</v>
      </c>
      <c r="J84" s="28"/>
      <c r="K84" s="241">
        <f>I84-H84</f>
        <v>30</v>
      </c>
      <c r="L84" s="101"/>
    </row>
    <row r="85" spans="1:12" x14ac:dyDescent="0.2">
      <c r="A85" s="85" t="s">
        <v>136</v>
      </c>
      <c r="B85" s="23"/>
      <c r="C85" s="98"/>
      <c r="D85" s="23"/>
      <c r="E85" s="23"/>
      <c r="F85" s="64">
        <f>SUM(F86:F86)</f>
        <v>0</v>
      </c>
      <c r="G85" s="64"/>
      <c r="H85" s="64">
        <f>SUM(H86:H86)</f>
        <v>0</v>
      </c>
      <c r="I85" s="64">
        <f>SUM(I86:I86)</f>
        <v>0</v>
      </c>
      <c r="J85" s="192"/>
      <c r="K85" s="317">
        <f>SUM(K86:K86)</f>
        <v>0</v>
      </c>
      <c r="L85" s="221"/>
    </row>
    <row r="86" spans="1:12" ht="13.5" thickBot="1" x14ac:dyDescent="0.25">
      <c r="A86" s="98"/>
      <c r="B86" s="23"/>
      <c r="C86" s="98"/>
      <c r="D86" s="23"/>
      <c r="E86" s="23"/>
      <c r="F86" s="63">
        <v>0</v>
      </c>
      <c r="G86" s="63"/>
      <c r="H86" s="63">
        <f>SUM(F86:G86)</f>
        <v>0</v>
      </c>
      <c r="I86" s="63"/>
      <c r="J86" s="28"/>
      <c r="K86" s="241">
        <f>I86-H86</f>
        <v>0</v>
      </c>
      <c r="L86" s="101"/>
    </row>
    <row r="87" spans="1:12" ht="16.5" thickBot="1" x14ac:dyDescent="0.3">
      <c r="A87" s="104" t="s">
        <v>46</v>
      </c>
      <c r="B87" s="107"/>
      <c r="C87" s="108"/>
      <c r="D87" s="107"/>
      <c r="E87" s="107"/>
      <c r="F87" s="65">
        <f>SUM(F41+F58+F68+F73+F81+F85)</f>
        <v>25919</v>
      </c>
      <c r="G87" s="65">
        <f>SUM(G41+G58+G68+G73+G81+G85)</f>
        <v>55</v>
      </c>
      <c r="H87" s="65">
        <f>SUM(H41+H58+H68+H73+H81+H85)</f>
        <v>25974</v>
      </c>
      <c r="I87" s="65">
        <f>SUM(I41+I58+I68+I73+I81+I85)</f>
        <v>25921.206150000005</v>
      </c>
      <c r="J87" s="30">
        <f>I87/$H87*100</f>
        <v>99.796743474243499</v>
      </c>
      <c r="K87" s="321">
        <f>SUM(K41+K58+K68+K73+K81+K85)</f>
        <v>-52.79384999999894</v>
      </c>
      <c r="L87" s="227"/>
    </row>
    <row r="88" spans="1:12" x14ac:dyDescent="0.2">
      <c r="A88" s="99" t="s">
        <v>157</v>
      </c>
      <c r="B88" s="69"/>
      <c r="C88" s="99"/>
      <c r="D88" s="69"/>
      <c r="E88" s="99" t="s">
        <v>47</v>
      </c>
      <c r="F88" s="68"/>
      <c r="G88" s="68"/>
      <c r="H88" s="68"/>
      <c r="I88" s="68"/>
      <c r="J88" s="24"/>
      <c r="K88" s="24"/>
      <c r="L88" s="223"/>
    </row>
    <row r="89" spans="1:12" x14ac:dyDescent="0.2">
      <c r="A89" s="85" t="s">
        <v>48</v>
      </c>
      <c r="B89" s="26"/>
      <c r="C89" s="85"/>
      <c r="D89" s="26"/>
      <c r="E89" s="26"/>
      <c r="F89" s="64"/>
      <c r="G89" s="64"/>
      <c r="H89" s="64"/>
      <c r="I89" s="64"/>
      <c r="J89" s="25"/>
      <c r="K89" s="278"/>
      <c r="L89" s="222"/>
    </row>
    <row r="90" spans="1:12" x14ac:dyDescent="0.2">
      <c r="A90" s="98"/>
      <c r="B90" s="23">
        <v>3111</v>
      </c>
      <c r="C90" s="98">
        <v>2121</v>
      </c>
      <c r="D90" s="23">
        <v>20</v>
      </c>
      <c r="E90" s="23" t="s">
        <v>191</v>
      </c>
      <c r="F90" s="63">
        <v>50</v>
      </c>
      <c r="G90" s="63">
        <v>354</v>
      </c>
      <c r="H90" s="63">
        <f>SUM(F90:G90)</f>
        <v>404</v>
      </c>
      <c r="I90" s="63">
        <v>2165.9560000000001</v>
      </c>
      <c r="J90" s="28">
        <f>I90/$H90*100</f>
        <v>536.12772277227725</v>
      </c>
      <c r="K90" s="241">
        <f>I90-H90</f>
        <v>1761.9560000000001</v>
      </c>
      <c r="L90" s="101"/>
    </row>
    <row r="91" spans="1:12" x14ac:dyDescent="0.2">
      <c r="A91" s="98"/>
      <c r="B91" s="23">
        <v>3112</v>
      </c>
      <c r="C91" s="98">
        <v>3612</v>
      </c>
      <c r="D91" s="23">
        <v>45</v>
      </c>
      <c r="E91" s="23" t="s">
        <v>192</v>
      </c>
      <c r="F91" s="63">
        <v>5000</v>
      </c>
      <c r="G91" s="63"/>
      <c r="H91" s="63">
        <f>SUM(F91:G91)</f>
        <v>5000</v>
      </c>
      <c r="I91" s="63">
        <v>4337.5870000000004</v>
      </c>
      <c r="J91" s="28">
        <f>I91/$H91*100</f>
        <v>86.751740000000012</v>
      </c>
      <c r="K91" s="241">
        <f>I91-H91</f>
        <v>-662.41299999999956</v>
      </c>
      <c r="L91" s="101"/>
    </row>
    <row r="92" spans="1:12" ht="13.5" thickBot="1" x14ac:dyDescent="0.25">
      <c r="A92" s="98"/>
      <c r="B92" s="23">
        <v>3112</v>
      </c>
      <c r="C92" s="98">
        <v>3612</v>
      </c>
      <c r="D92" s="23">
        <v>245</v>
      </c>
      <c r="E92" s="23" t="s">
        <v>193</v>
      </c>
      <c r="F92" s="63">
        <v>341</v>
      </c>
      <c r="G92" s="63"/>
      <c r="H92" s="63">
        <f>SUM(F92:G92)</f>
        <v>341</v>
      </c>
      <c r="I92" s="63">
        <v>344</v>
      </c>
      <c r="J92" s="28">
        <f>I92/$H92*100</f>
        <v>100.87976539589442</v>
      </c>
      <c r="K92" s="241">
        <f>I92-H92</f>
        <v>3</v>
      </c>
      <c r="L92" s="101"/>
    </row>
    <row r="93" spans="1:12" ht="15.75" customHeight="1" thickBot="1" x14ac:dyDescent="0.3">
      <c r="A93" s="104" t="s">
        <v>49</v>
      </c>
      <c r="B93" s="107"/>
      <c r="C93" s="108"/>
      <c r="D93" s="107"/>
      <c r="E93" s="107"/>
      <c r="F93" s="65">
        <f>SUM(F90:F92)</f>
        <v>5391</v>
      </c>
      <c r="G93" s="65">
        <f>SUM(G90:G92)</f>
        <v>354</v>
      </c>
      <c r="H93" s="65">
        <f>SUM(H90:H92)</f>
        <v>5745</v>
      </c>
      <c r="I93" s="65">
        <f>SUM(I90:I92)</f>
        <v>6847.5430000000006</v>
      </c>
      <c r="J93" s="30">
        <f>I93/$H93*100</f>
        <v>119.19134899912969</v>
      </c>
      <c r="K93" s="318">
        <f>SUM(K90:K92)</f>
        <v>1102.5430000000006</v>
      </c>
      <c r="L93" s="227"/>
    </row>
    <row r="94" spans="1:12" x14ac:dyDescent="0.2">
      <c r="A94" s="99" t="s">
        <v>50</v>
      </c>
      <c r="B94" s="70"/>
      <c r="C94" s="109"/>
      <c r="D94" s="70"/>
      <c r="E94" s="99" t="s">
        <v>51</v>
      </c>
      <c r="F94" s="66"/>
      <c r="G94" s="66"/>
      <c r="H94" s="68"/>
      <c r="I94" s="66"/>
      <c r="J94" s="31"/>
      <c r="K94" s="31"/>
      <c r="L94" s="228"/>
    </row>
    <row r="95" spans="1:12" x14ac:dyDescent="0.2">
      <c r="A95" s="85" t="s">
        <v>52</v>
      </c>
      <c r="B95" s="26"/>
      <c r="C95" s="85" t="s">
        <v>362</v>
      </c>
      <c r="D95" s="26" t="s">
        <v>147</v>
      </c>
      <c r="E95" s="26"/>
      <c r="F95" s="64">
        <f>SUM(F96:F119)</f>
        <v>22123</v>
      </c>
      <c r="G95" s="64">
        <f>SUM(G96:G119)</f>
        <v>9892.3507200000004</v>
      </c>
      <c r="H95" s="64">
        <f>SUM(H96:H119)</f>
        <v>32015.350719999991</v>
      </c>
      <c r="I95" s="64">
        <f>SUM(I96:I119)</f>
        <v>32046.450249999994</v>
      </c>
      <c r="J95" s="25">
        <f>I95/$H95*100</f>
        <v>100.09713943249285</v>
      </c>
      <c r="K95" s="317">
        <f>SUM(K96:K119)</f>
        <v>31.099529999999973</v>
      </c>
      <c r="L95" s="229"/>
    </row>
    <row r="96" spans="1:12" x14ac:dyDescent="0.2">
      <c r="A96" s="98"/>
      <c r="B96" s="23">
        <v>4112</v>
      </c>
      <c r="C96" s="23"/>
      <c r="D96" s="23"/>
      <c r="E96" s="23" t="s">
        <v>194</v>
      </c>
      <c r="F96" s="28">
        <v>16191.3</v>
      </c>
      <c r="G96" s="63"/>
      <c r="H96" s="63">
        <f t="shared" ref="H96:H118" si="17">SUM(F96:G96)</f>
        <v>16191.3</v>
      </c>
      <c r="I96" s="63">
        <v>16191.3</v>
      </c>
      <c r="J96" s="28">
        <f>I96/$H96*100</f>
        <v>100</v>
      </c>
      <c r="K96" s="241">
        <f t="shared" ref="K96:K119" si="18">I96-H96</f>
        <v>0</v>
      </c>
      <c r="L96" s="119"/>
    </row>
    <row r="97" spans="1:12" x14ac:dyDescent="0.2">
      <c r="A97" s="98"/>
      <c r="B97" s="23">
        <v>4111</v>
      </c>
      <c r="C97" s="23"/>
      <c r="D97" s="23">
        <v>110</v>
      </c>
      <c r="E97" s="193" t="s">
        <v>371</v>
      </c>
      <c r="F97" s="28"/>
      <c r="G97" s="63">
        <f>150+38.142</f>
        <v>188.142</v>
      </c>
      <c r="H97" s="63">
        <f t="shared" si="17"/>
        <v>188.142</v>
      </c>
      <c r="I97" s="63">
        <v>188.142</v>
      </c>
      <c r="J97" s="28">
        <f t="shared" ref="J97:J118" si="19">I97/$H97*100</f>
        <v>100</v>
      </c>
      <c r="K97" s="241">
        <f t="shared" si="18"/>
        <v>0</v>
      </c>
      <c r="L97" s="119"/>
    </row>
    <row r="98" spans="1:12" x14ac:dyDescent="0.2">
      <c r="A98" s="98"/>
      <c r="B98" s="23">
        <v>4113</v>
      </c>
      <c r="C98" s="23"/>
      <c r="D98" s="239" t="s">
        <v>361</v>
      </c>
      <c r="E98" s="193" t="s">
        <v>330</v>
      </c>
      <c r="F98" s="63">
        <v>100</v>
      </c>
      <c r="G98" s="63">
        <f>86.685-186.685</f>
        <v>-100</v>
      </c>
      <c r="H98" s="63">
        <f t="shared" si="17"/>
        <v>0</v>
      </c>
      <c r="I98" s="63">
        <v>0</v>
      </c>
      <c r="J98" s="28"/>
      <c r="K98" s="241">
        <f t="shared" si="18"/>
        <v>0</v>
      </c>
      <c r="L98" s="119" t="s">
        <v>389</v>
      </c>
    </row>
    <row r="99" spans="1:12" x14ac:dyDescent="0.2">
      <c r="A99" s="98"/>
      <c r="B99" s="23">
        <v>4116</v>
      </c>
      <c r="C99" s="23">
        <v>314</v>
      </c>
      <c r="D99" s="239" t="s">
        <v>307</v>
      </c>
      <c r="E99" s="420" t="s">
        <v>325</v>
      </c>
      <c r="F99" s="63">
        <v>3380</v>
      </c>
      <c r="G99" s="63">
        <f>-547-31.146</f>
        <v>-578.14599999999996</v>
      </c>
      <c r="H99" s="63">
        <f t="shared" si="17"/>
        <v>2801.8540000000003</v>
      </c>
      <c r="I99" s="63">
        <v>2801.8539999999998</v>
      </c>
      <c r="J99" s="28">
        <f t="shared" si="19"/>
        <v>99.999999999999986</v>
      </c>
      <c r="K99" s="241">
        <f t="shared" si="18"/>
        <v>0</v>
      </c>
      <c r="L99" s="442"/>
    </row>
    <row r="100" spans="1:12" x14ac:dyDescent="0.2">
      <c r="A100" s="98"/>
      <c r="B100" s="23">
        <v>4116</v>
      </c>
      <c r="C100" s="23">
        <v>247</v>
      </c>
      <c r="D100" s="239"/>
      <c r="E100" s="193" t="s">
        <v>314</v>
      </c>
      <c r="F100" s="63">
        <v>600</v>
      </c>
      <c r="G100" s="63">
        <v>23.033999999999999</v>
      </c>
      <c r="H100" s="63">
        <f t="shared" si="17"/>
        <v>623.03399999999999</v>
      </c>
      <c r="I100" s="63">
        <v>623.03353000000004</v>
      </c>
      <c r="J100" s="28">
        <f t="shared" si="19"/>
        <v>99.99992456270445</v>
      </c>
      <c r="K100" s="241">
        <f t="shared" si="18"/>
        <v>-4.6999999995023245E-4</v>
      </c>
      <c r="L100" s="119"/>
    </row>
    <row r="101" spans="1:12" x14ac:dyDescent="0.2">
      <c r="A101" s="98"/>
      <c r="B101" s="23">
        <v>4116</v>
      </c>
      <c r="C101" s="23">
        <v>233</v>
      </c>
      <c r="D101" s="239"/>
      <c r="E101" s="193" t="s">
        <v>357</v>
      </c>
      <c r="F101" s="63"/>
      <c r="G101" s="63">
        <v>536.94000000000005</v>
      </c>
      <c r="H101" s="63">
        <f t="shared" si="17"/>
        <v>536.94000000000005</v>
      </c>
      <c r="I101" s="63">
        <v>536.94000000000005</v>
      </c>
      <c r="J101" s="28">
        <f t="shared" si="19"/>
        <v>100</v>
      </c>
      <c r="K101" s="241">
        <f t="shared" si="18"/>
        <v>0</v>
      </c>
      <c r="L101" s="119"/>
    </row>
    <row r="102" spans="1:12" x14ac:dyDescent="0.2">
      <c r="A102" s="98"/>
      <c r="B102" s="23">
        <v>4116</v>
      </c>
      <c r="C102" s="23"/>
      <c r="D102" s="239" t="s">
        <v>253</v>
      </c>
      <c r="E102" s="193" t="s">
        <v>250</v>
      </c>
      <c r="F102" s="63">
        <v>468</v>
      </c>
      <c r="G102" s="63">
        <f>271.699+110.794+73.818+1.429+6.683</f>
        <v>464.42299999999994</v>
      </c>
      <c r="H102" s="63">
        <f t="shared" si="17"/>
        <v>932.423</v>
      </c>
      <c r="I102" s="63">
        <f>295.699+474.6+89.246+73.03</f>
        <v>932.57499999999993</v>
      </c>
      <c r="J102" s="28">
        <f t="shared" si="19"/>
        <v>100.01630161418153</v>
      </c>
      <c r="K102" s="241">
        <f t="shared" si="18"/>
        <v>0.15199999999992997</v>
      </c>
      <c r="L102" s="450"/>
    </row>
    <row r="103" spans="1:12" x14ac:dyDescent="0.2">
      <c r="A103" s="98"/>
      <c r="B103" s="23">
        <v>4116</v>
      </c>
      <c r="C103" s="23">
        <v>103</v>
      </c>
      <c r="D103" s="239" t="s">
        <v>358</v>
      </c>
      <c r="E103" s="193" t="s">
        <v>359</v>
      </c>
      <c r="F103" s="63"/>
      <c r="G103" s="63">
        <v>460</v>
      </c>
      <c r="H103" s="63">
        <f t="shared" si="17"/>
        <v>460</v>
      </c>
      <c r="I103" s="63">
        <v>460</v>
      </c>
      <c r="J103" s="28">
        <f t="shared" si="19"/>
        <v>100</v>
      </c>
      <c r="K103" s="241">
        <f t="shared" si="18"/>
        <v>0</v>
      </c>
      <c r="L103" s="119"/>
    </row>
    <row r="104" spans="1:12" x14ac:dyDescent="0.2">
      <c r="A104" s="98"/>
      <c r="B104" s="23">
        <v>4116</v>
      </c>
      <c r="C104" s="23">
        <v>314</v>
      </c>
      <c r="D104" s="239"/>
      <c r="E104" s="420" t="s">
        <v>333</v>
      </c>
      <c r="F104" s="63">
        <v>303</v>
      </c>
      <c r="G104" s="63">
        <v>88</v>
      </c>
      <c r="H104" s="63">
        <f t="shared" si="17"/>
        <v>391</v>
      </c>
      <c r="I104" s="63">
        <v>391</v>
      </c>
      <c r="J104" s="28">
        <f t="shared" si="19"/>
        <v>100</v>
      </c>
      <c r="K104" s="241">
        <f t="shared" si="18"/>
        <v>0</v>
      </c>
      <c r="L104" s="119"/>
    </row>
    <row r="105" spans="1:12" x14ac:dyDescent="0.2">
      <c r="A105" s="98"/>
      <c r="B105" s="23">
        <v>4116</v>
      </c>
      <c r="C105" s="23">
        <v>109</v>
      </c>
      <c r="D105" s="239" t="s">
        <v>339</v>
      </c>
      <c r="E105" s="193" t="s">
        <v>261</v>
      </c>
      <c r="F105" s="63"/>
      <c r="G105" s="63">
        <f>142.711+140.939+140.881+7.7+142.43</f>
        <v>574.66099999999994</v>
      </c>
      <c r="H105" s="63">
        <f t="shared" si="17"/>
        <v>574.66099999999994</v>
      </c>
      <c r="I105" s="63">
        <v>574.66099999999994</v>
      </c>
      <c r="J105" s="28">
        <f t="shared" si="19"/>
        <v>100</v>
      </c>
      <c r="K105" s="241">
        <f t="shared" si="18"/>
        <v>0</v>
      </c>
      <c r="L105" s="119"/>
    </row>
    <row r="106" spans="1:12" x14ac:dyDescent="0.2">
      <c r="A106" s="98"/>
      <c r="B106" s="23">
        <v>4116</v>
      </c>
      <c r="C106" s="23">
        <v>104</v>
      </c>
      <c r="D106" s="239"/>
      <c r="E106" s="193" t="s">
        <v>360</v>
      </c>
      <c r="F106" s="63"/>
      <c r="G106" s="63">
        <v>126</v>
      </c>
      <c r="H106" s="63">
        <f t="shared" si="17"/>
        <v>126</v>
      </c>
      <c r="I106" s="63">
        <v>126</v>
      </c>
      <c r="J106" s="28">
        <f t="shared" si="19"/>
        <v>100</v>
      </c>
      <c r="K106" s="241">
        <f t="shared" si="18"/>
        <v>0</v>
      </c>
      <c r="L106" s="119"/>
    </row>
    <row r="107" spans="1:12" x14ac:dyDescent="0.2">
      <c r="A107" s="98"/>
      <c r="B107" s="23">
        <v>4116</v>
      </c>
      <c r="C107" s="23">
        <v>223</v>
      </c>
      <c r="D107" s="239" t="s">
        <v>354</v>
      </c>
      <c r="E107" s="193" t="s">
        <v>355</v>
      </c>
      <c r="F107" s="63"/>
      <c r="G107" s="63">
        <f>120+13.648</f>
        <v>133.648</v>
      </c>
      <c r="H107" s="63">
        <f t="shared" si="17"/>
        <v>133.648</v>
      </c>
      <c r="I107" s="63">
        <v>133.648</v>
      </c>
      <c r="J107" s="28">
        <f t="shared" si="19"/>
        <v>100</v>
      </c>
      <c r="K107" s="241">
        <f t="shared" si="18"/>
        <v>0</v>
      </c>
      <c r="L107" s="119"/>
    </row>
    <row r="108" spans="1:12" x14ac:dyDescent="0.2">
      <c r="A108" s="98"/>
      <c r="B108" s="23">
        <v>4116</v>
      </c>
      <c r="C108" s="23">
        <v>312</v>
      </c>
      <c r="D108" s="239" t="s">
        <v>350</v>
      </c>
      <c r="E108" s="193" t="s">
        <v>351</v>
      </c>
      <c r="F108" s="63"/>
      <c r="G108" s="63">
        <v>8.1037199999999991</v>
      </c>
      <c r="H108" s="63">
        <f t="shared" si="17"/>
        <v>8.1037199999999991</v>
      </c>
      <c r="I108" s="63">
        <v>8.1037199999999991</v>
      </c>
      <c r="J108" s="28">
        <f t="shared" si="19"/>
        <v>100</v>
      </c>
      <c r="K108" s="241">
        <f t="shared" si="18"/>
        <v>0</v>
      </c>
      <c r="L108" s="119"/>
    </row>
    <row r="109" spans="1:12" x14ac:dyDescent="0.2">
      <c r="A109" s="98"/>
      <c r="B109" s="23">
        <v>4116</v>
      </c>
      <c r="C109" s="23">
        <v>314</v>
      </c>
      <c r="D109" s="239"/>
      <c r="E109" s="193" t="s">
        <v>384</v>
      </c>
      <c r="F109" s="63"/>
      <c r="G109" s="63">
        <v>40.049999999999997</v>
      </c>
      <c r="H109" s="63">
        <f t="shared" si="17"/>
        <v>40.049999999999997</v>
      </c>
      <c r="I109" s="63">
        <v>40.049999999999997</v>
      </c>
      <c r="J109" s="28">
        <f t="shared" si="19"/>
        <v>100</v>
      </c>
      <c r="K109" s="241">
        <f t="shared" si="18"/>
        <v>0</v>
      </c>
      <c r="L109" s="119"/>
    </row>
    <row r="110" spans="1:12" x14ac:dyDescent="0.2">
      <c r="A110" s="98"/>
      <c r="B110" s="23">
        <v>4116</v>
      </c>
      <c r="C110" s="23">
        <v>233</v>
      </c>
      <c r="D110" s="239"/>
      <c r="E110" s="193" t="s">
        <v>387</v>
      </c>
      <c r="F110" s="63"/>
      <c r="G110" s="63">
        <v>366.44</v>
      </c>
      <c r="H110" s="63">
        <f t="shared" si="17"/>
        <v>366.44</v>
      </c>
      <c r="I110" s="63">
        <v>366.44</v>
      </c>
      <c r="J110" s="28">
        <f t="shared" si="19"/>
        <v>100</v>
      </c>
      <c r="K110" s="241">
        <f t="shared" si="18"/>
        <v>0</v>
      </c>
      <c r="L110" s="119"/>
    </row>
    <row r="111" spans="1:12" x14ac:dyDescent="0.2">
      <c r="A111" s="98"/>
      <c r="B111" s="23">
        <v>4121</v>
      </c>
      <c r="C111" s="23"/>
      <c r="D111" s="23" t="s">
        <v>299</v>
      </c>
      <c r="E111" s="193" t="s">
        <v>275</v>
      </c>
      <c r="F111" s="63">
        <f>30+110+15+0.7</f>
        <v>155.69999999999999</v>
      </c>
      <c r="G111" s="63"/>
      <c r="H111" s="63">
        <f t="shared" si="17"/>
        <v>155.69999999999999</v>
      </c>
      <c r="I111" s="63">
        <f>306.145-I112</f>
        <v>163.5</v>
      </c>
      <c r="J111" s="28">
        <f t="shared" si="19"/>
        <v>105.00963391136801</v>
      </c>
      <c r="K111" s="241">
        <f t="shared" si="18"/>
        <v>7.8000000000000114</v>
      </c>
      <c r="L111" s="119"/>
    </row>
    <row r="112" spans="1:12" x14ac:dyDescent="0.2">
      <c r="A112" s="98"/>
      <c r="B112" s="23">
        <v>4121</v>
      </c>
      <c r="C112" s="23"/>
      <c r="D112" s="23">
        <v>321</v>
      </c>
      <c r="E112" s="193" t="s">
        <v>197</v>
      </c>
      <c r="F112" s="63">
        <v>125</v>
      </c>
      <c r="G112" s="63">
        <v>12</v>
      </c>
      <c r="H112" s="63">
        <f t="shared" si="17"/>
        <v>137</v>
      </c>
      <c r="I112" s="63">
        <f>70.74+71.905</f>
        <v>142.64499999999998</v>
      </c>
      <c r="J112" s="28">
        <f t="shared" si="19"/>
        <v>104.12043795620436</v>
      </c>
      <c r="K112" s="241">
        <f t="shared" si="18"/>
        <v>5.6449999999999818</v>
      </c>
      <c r="L112" s="119" t="s">
        <v>0</v>
      </c>
    </row>
    <row r="113" spans="1:12" x14ac:dyDescent="0.2">
      <c r="A113" s="98"/>
      <c r="B113" s="23">
        <v>4122</v>
      </c>
      <c r="C113" s="23">
        <v>307</v>
      </c>
      <c r="D113" s="239" t="s">
        <v>310</v>
      </c>
      <c r="E113" s="23" t="s">
        <v>365</v>
      </c>
      <c r="F113" s="63"/>
      <c r="G113" s="63">
        <f>2806.8+1871.2+200+86</f>
        <v>4964</v>
      </c>
      <c r="H113" s="63">
        <f t="shared" si="17"/>
        <v>4964</v>
      </c>
      <c r="I113" s="63">
        <v>4964</v>
      </c>
      <c r="J113" s="28">
        <f t="shared" si="19"/>
        <v>100</v>
      </c>
      <c r="K113" s="241">
        <f t="shared" si="18"/>
        <v>0</v>
      </c>
      <c r="L113" s="119"/>
    </row>
    <row r="114" spans="1:12" x14ac:dyDescent="0.2">
      <c r="A114" s="98"/>
      <c r="B114" s="23">
        <v>4122</v>
      </c>
      <c r="C114" s="23">
        <v>233</v>
      </c>
      <c r="D114" s="23">
        <v>233</v>
      </c>
      <c r="E114" s="23" t="s">
        <v>356</v>
      </c>
      <c r="F114" s="63"/>
      <c r="G114" s="63">
        <v>2305.16</v>
      </c>
      <c r="H114" s="63">
        <f t="shared" si="17"/>
        <v>2305.16</v>
      </c>
      <c r="I114" s="63">
        <v>2305.16</v>
      </c>
      <c r="J114" s="28">
        <f t="shared" si="19"/>
        <v>100</v>
      </c>
      <c r="K114" s="241">
        <f t="shared" si="18"/>
        <v>0</v>
      </c>
      <c r="L114" s="119"/>
    </row>
    <row r="115" spans="1:12" x14ac:dyDescent="0.2">
      <c r="A115" s="98"/>
      <c r="B115" s="23">
        <v>4122</v>
      </c>
      <c r="C115" s="23">
        <v>227</v>
      </c>
      <c r="D115" s="23">
        <v>13305</v>
      </c>
      <c r="E115" s="440" t="s">
        <v>363</v>
      </c>
      <c r="F115" s="63">
        <v>800</v>
      </c>
      <c r="G115" s="63">
        <f>37+75</f>
        <v>112</v>
      </c>
      <c r="H115" s="63">
        <f t="shared" si="17"/>
        <v>912</v>
      </c>
      <c r="I115" s="63">
        <f>37+875</f>
        <v>912</v>
      </c>
      <c r="J115" s="28">
        <f t="shared" si="19"/>
        <v>100</v>
      </c>
      <c r="K115" s="241">
        <f t="shared" si="18"/>
        <v>0</v>
      </c>
      <c r="L115" s="119"/>
    </row>
    <row r="116" spans="1:12" x14ac:dyDescent="0.2">
      <c r="A116" s="98"/>
      <c r="B116" s="23">
        <v>4122</v>
      </c>
      <c r="C116" s="98">
        <v>249</v>
      </c>
      <c r="D116" s="23"/>
      <c r="E116" s="23" t="s">
        <v>364</v>
      </c>
      <c r="F116" s="63"/>
      <c r="G116" s="63">
        <v>25</v>
      </c>
      <c r="H116" s="63">
        <f t="shared" si="17"/>
        <v>25</v>
      </c>
      <c r="I116" s="63">
        <v>25</v>
      </c>
      <c r="J116" s="28">
        <f t="shared" si="19"/>
        <v>100</v>
      </c>
      <c r="K116" s="241">
        <f t="shared" si="18"/>
        <v>0</v>
      </c>
      <c r="L116" s="119"/>
    </row>
    <row r="117" spans="1:12" x14ac:dyDescent="0.2">
      <c r="A117" s="98"/>
      <c r="B117" s="23">
        <v>4122</v>
      </c>
      <c r="C117" s="98">
        <v>223</v>
      </c>
      <c r="D117" s="23"/>
      <c r="E117" s="23" t="s">
        <v>368</v>
      </c>
      <c r="F117" s="63"/>
      <c r="G117" s="63">
        <f>26.2+14.595</f>
        <v>40.795000000000002</v>
      </c>
      <c r="H117" s="63">
        <f t="shared" si="17"/>
        <v>40.795000000000002</v>
      </c>
      <c r="I117" s="63">
        <v>40.795000000000002</v>
      </c>
      <c r="J117" s="28">
        <f t="shared" si="19"/>
        <v>100</v>
      </c>
      <c r="K117" s="241">
        <f t="shared" si="18"/>
        <v>0</v>
      </c>
      <c r="L117" s="119"/>
    </row>
    <row r="118" spans="1:12" x14ac:dyDescent="0.2">
      <c r="A118" s="98"/>
      <c r="B118" s="23">
        <v>4122</v>
      </c>
      <c r="C118" s="98">
        <v>311</v>
      </c>
      <c r="D118" s="23"/>
      <c r="E118" s="23" t="s">
        <v>370</v>
      </c>
      <c r="F118" s="63"/>
      <c r="G118" s="63">
        <f>65+37.1</f>
        <v>102.1</v>
      </c>
      <c r="H118" s="63">
        <f t="shared" si="17"/>
        <v>102.1</v>
      </c>
      <c r="I118" s="63">
        <v>102.1</v>
      </c>
      <c r="J118" s="28">
        <f t="shared" si="19"/>
        <v>100</v>
      </c>
      <c r="K118" s="241">
        <f t="shared" si="18"/>
        <v>0</v>
      </c>
      <c r="L118" s="119"/>
    </row>
    <row r="119" spans="1:12" ht="13.5" customHeight="1" x14ac:dyDescent="0.2">
      <c r="A119" s="98"/>
      <c r="B119" s="23">
        <v>4132</v>
      </c>
      <c r="C119" s="98"/>
      <c r="D119" s="23"/>
      <c r="E119" s="23" t="s">
        <v>373</v>
      </c>
      <c r="F119" s="63"/>
      <c r="G119" s="63"/>
      <c r="H119" s="63">
        <f>SUM(F119:G119)</f>
        <v>0</v>
      </c>
      <c r="I119" s="63">
        <v>17.503</v>
      </c>
      <c r="J119" s="28"/>
      <c r="K119" s="241">
        <f t="shared" si="18"/>
        <v>17.503</v>
      </c>
      <c r="L119" s="411"/>
    </row>
    <row r="120" spans="1:12" x14ac:dyDescent="0.2">
      <c r="A120" s="85" t="s">
        <v>53</v>
      </c>
      <c r="B120" s="26"/>
      <c r="C120" s="85"/>
      <c r="D120" s="26"/>
      <c r="E120" s="26"/>
      <c r="F120" s="64">
        <f>SUM(F121:F123)</f>
        <v>10000</v>
      </c>
      <c r="G120" s="64">
        <f>SUM(G121:G123)</f>
        <v>-6755</v>
      </c>
      <c r="H120" s="64">
        <f>SUM(H121:H123)</f>
        <v>3245</v>
      </c>
      <c r="I120" s="64">
        <f>SUM(I121:I123)</f>
        <v>3220.5</v>
      </c>
      <c r="J120" s="25">
        <f>I120/$H120*100</f>
        <v>99.244992295839751</v>
      </c>
      <c r="K120" s="317">
        <f>SUM(K121:K123)</f>
        <v>-24.5</v>
      </c>
      <c r="L120" s="101"/>
    </row>
    <row r="121" spans="1:12" x14ac:dyDescent="0.2">
      <c r="A121" s="85"/>
      <c r="B121" s="26">
        <v>4222</v>
      </c>
      <c r="C121" s="85"/>
      <c r="D121" s="26"/>
      <c r="E121" s="373" t="s">
        <v>331</v>
      </c>
      <c r="F121" s="64">
        <v>10000</v>
      </c>
      <c r="G121" s="396">
        <v>-10000</v>
      </c>
      <c r="H121" s="63">
        <f>SUM(F121:G121)</f>
        <v>0</v>
      </c>
      <c r="I121" s="396"/>
      <c r="J121" s="28"/>
      <c r="K121" s="241">
        <f>I121-H121</f>
        <v>0</v>
      </c>
      <c r="L121" s="119"/>
    </row>
    <row r="122" spans="1:12" x14ac:dyDescent="0.2">
      <c r="A122" s="85"/>
      <c r="B122" s="26">
        <v>4222</v>
      </c>
      <c r="C122" s="85"/>
      <c r="D122" s="26"/>
      <c r="E122" s="373" t="s">
        <v>375</v>
      </c>
      <c r="F122" s="64"/>
      <c r="G122" s="396">
        <v>3000</v>
      </c>
      <c r="H122" s="63">
        <f>SUM(F122:G122)</f>
        <v>3000</v>
      </c>
      <c r="I122" s="396">
        <v>3000</v>
      </c>
      <c r="J122" s="28">
        <f>I122/$H122*100</f>
        <v>100</v>
      </c>
      <c r="K122" s="241">
        <f>I122-H122</f>
        <v>0</v>
      </c>
      <c r="L122" s="119"/>
    </row>
    <row r="123" spans="1:12" ht="13.5" thickBot="1" x14ac:dyDescent="0.25">
      <c r="A123" s="85"/>
      <c r="B123" s="26">
        <v>4222</v>
      </c>
      <c r="C123" s="443">
        <v>223</v>
      </c>
      <c r="D123" s="26"/>
      <c r="E123" s="373" t="s">
        <v>369</v>
      </c>
      <c r="F123" s="64"/>
      <c r="G123" s="396">
        <v>245</v>
      </c>
      <c r="H123" s="63">
        <f>SUM(F123:G123)</f>
        <v>245</v>
      </c>
      <c r="I123" s="396">
        <v>220.5</v>
      </c>
      <c r="J123" s="28">
        <f>I123/$H123*100</f>
        <v>90</v>
      </c>
      <c r="K123" s="241">
        <f>I123-H123</f>
        <v>-24.5</v>
      </c>
      <c r="L123" s="119"/>
    </row>
    <row r="124" spans="1:12" ht="14.25" customHeight="1" thickBot="1" x14ac:dyDescent="0.3">
      <c r="A124" s="104" t="s">
        <v>54</v>
      </c>
      <c r="B124" s="107"/>
      <c r="C124" s="108"/>
      <c r="D124" s="107"/>
      <c r="E124" s="107"/>
      <c r="F124" s="414">
        <f>SUM(F95+F120)</f>
        <v>32123</v>
      </c>
      <c r="G124" s="110">
        <f>SUM(G95+G120)</f>
        <v>3137.3507200000004</v>
      </c>
      <c r="H124" s="110">
        <f>SUM(H95+H120)</f>
        <v>35260.350719999988</v>
      </c>
      <c r="I124" s="110">
        <f>SUM(I95+I120)</f>
        <v>35266.950249999994</v>
      </c>
      <c r="J124" s="30">
        <f>I124/$H124*100</f>
        <v>100.01871657503469</v>
      </c>
      <c r="K124" s="318">
        <f>SUM(K95+K120)</f>
        <v>6.599529999999973</v>
      </c>
      <c r="L124" s="110"/>
    </row>
    <row r="125" spans="1:12" ht="16.5" thickBot="1" x14ac:dyDescent="0.3">
      <c r="A125" s="32" t="s">
        <v>11</v>
      </c>
      <c r="B125" s="33"/>
      <c r="C125" s="34"/>
      <c r="D125" s="34"/>
      <c r="E125" s="35"/>
      <c r="F125" s="120">
        <f>SUM(F38+F87+F93+F124)</f>
        <v>139784</v>
      </c>
      <c r="G125" s="120">
        <f>SUM(G38+G87+G93+G124)</f>
        <v>3546.3507200000004</v>
      </c>
      <c r="H125" s="120">
        <f>SUM(H38+H87+H93+H124)</f>
        <v>143330.35071999999</v>
      </c>
      <c r="I125" s="120">
        <f>SUM(I38+I87+I93+I124)</f>
        <v>151754.77947000001</v>
      </c>
      <c r="J125" s="120">
        <f>I125/$H125*100</f>
        <v>105.87763073744053</v>
      </c>
      <c r="K125" s="318">
        <f>SUM(K38+K87+K93+K124)</f>
        <v>8424.4287500000009</v>
      </c>
      <c r="L125" s="230"/>
    </row>
    <row r="126" spans="1:12" ht="24" customHeight="1" thickBot="1" x14ac:dyDescent="0.25">
      <c r="A126" s="95"/>
      <c r="B126" s="17"/>
      <c r="C126" s="95"/>
      <c r="D126" s="17"/>
      <c r="E126" s="17"/>
      <c r="F126" s="143"/>
      <c r="G126" s="132"/>
      <c r="H126" s="143"/>
      <c r="I126" s="143"/>
      <c r="J126" s="97"/>
      <c r="K126" s="319"/>
      <c r="L126" s="217"/>
    </row>
    <row r="127" spans="1:12" ht="13.5" thickBot="1" x14ac:dyDescent="0.25">
      <c r="A127" s="36"/>
      <c r="B127" s="37"/>
      <c r="C127" s="36"/>
      <c r="D127" s="37"/>
      <c r="E127" s="38"/>
      <c r="F127" s="393" t="s">
        <v>326</v>
      </c>
      <c r="G127" s="153" t="s">
        <v>3</v>
      </c>
      <c r="H127" s="144" t="s">
        <v>101</v>
      </c>
      <c r="I127" s="421">
        <v>42735</v>
      </c>
      <c r="J127" s="422" t="s">
        <v>4</v>
      </c>
      <c r="K127" s="243" t="s">
        <v>92</v>
      </c>
      <c r="L127" s="231"/>
    </row>
    <row r="128" spans="1:12" x14ac:dyDescent="0.2">
      <c r="A128" s="36" t="s">
        <v>55</v>
      </c>
      <c r="B128" s="17"/>
      <c r="C128" s="95"/>
      <c r="D128" s="17"/>
      <c r="E128" s="111" t="s">
        <v>56</v>
      </c>
      <c r="F128" s="140">
        <f>F38</f>
        <v>76351</v>
      </c>
      <c r="G128" s="140">
        <f>G38</f>
        <v>0</v>
      </c>
      <c r="H128" s="140">
        <f>H38</f>
        <v>76351</v>
      </c>
      <c r="I128" s="397">
        <f>I38</f>
        <v>83719.080070000011</v>
      </c>
      <c r="J128" s="377">
        <f t="shared" ref="J128:J134" si="20">I128/$H128*100</f>
        <v>109.65027317258453</v>
      </c>
      <c r="K128" s="241">
        <f>K38</f>
        <v>7368.08007</v>
      </c>
      <c r="L128" s="232"/>
    </row>
    <row r="129" spans="1:12" x14ac:dyDescent="0.2">
      <c r="A129" s="95"/>
      <c r="B129" s="17"/>
      <c r="C129" s="95"/>
      <c r="D129" s="17"/>
      <c r="E129" s="54" t="s">
        <v>57</v>
      </c>
      <c r="F129" s="364">
        <f>F87</f>
        <v>25919</v>
      </c>
      <c r="G129" s="39">
        <f>G87</f>
        <v>55</v>
      </c>
      <c r="H129" s="39">
        <f>H87</f>
        <v>25974</v>
      </c>
      <c r="I129" s="293">
        <f>I87</f>
        <v>25921.206150000005</v>
      </c>
      <c r="J129" s="377">
        <f t="shared" si="20"/>
        <v>99.796743474243499</v>
      </c>
      <c r="K129" s="241">
        <f>K87</f>
        <v>-52.79384999999894</v>
      </c>
      <c r="L129" s="233"/>
    </row>
    <row r="130" spans="1:12" x14ac:dyDescent="0.2">
      <c r="A130" s="95"/>
      <c r="B130" s="17"/>
      <c r="C130" s="95"/>
      <c r="D130" s="17"/>
      <c r="E130" s="54" t="s">
        <v>58</v>
      </c>
      <c r="F130" s="141">
        <f>F95</f>
        <v>22123</v>
      </c>
      <c r="G130" s="141">
        <f>G95</f>
        <v>9892.3507200000004</v>
      </c>
      <c r="H130" s="141">
        <f>H95</f>
        <v>32015.350719999991</v>
      </c>
      <c r="I130" s="398">
        <f>I95</f>
        <v>32046.450249999994</v>
      </c>
      <c r="J130" s="377">
        <f t="shared" si="20"/>
        <v>100.09713943249285</v>
      </c>
      <c r="K130" s="241">
        <f>K95</f>
        <v>31.099529999999973</v>
      </c>
      <c r="L130" s="327"/>
    </row>
    <row r="131" spans="1:12" x14ac:dyDescent="0.2">
      <c r="A131" s="95"/>
      <c r="B131" s="17"/>
      <c r="C131" s="95"/>
      <c r="D131" s="17"/>
      <c r="E131" s="112" t="s">
        <v>59</v>
      </c>
      <c r="F131" s="165">
        <f>SUM(F128:F130)</f>
        <v>124393</v>
      </c>
      <c r="G131" s="165">
        <f>SUM(G128:G130)</f>
        <v>9947.3507200000004</v>
      </c>
      <c r="H131" s="165">
        <f>SUM(H128:H130)</f>
        <v>134340.35071999999</v>
      </c>
      <c r="I131" s="399">
        <f>SUM(I128:I130)</f>
        <v>141686.73647</v>
      </c>
      <c r="J131" s="378">
        <f t="shared" si="20"/>
        <v>105.46848784496015</v>
      </c>
      <c r="K131" s="317">
        <f>SUM(K128:K130)</f>
        <v>7346.3857500000013</v>
      </c>
      <c r="L131" s="234"/>
    </row>
    <row r="132" spans="1:12" x14ac:dyDescent="0.2">
      <c r="A132" s="95"/>
      <c r="B132" s="17"/>
      <c r="C132" s="95"/>
      <c r="D132" s="17"/>
      <c r="E132" s="54" t="s">
        <v>60</v>
      </c>
      <c r="F132" s="142">
        <f>F93</f>
        <v>5391</v>
      </c>
      <c r="G132" s="142">
        <f>G93</f>
        <v>354</v>
      </c>
      <c r="H132" s="142">
        <f>H93</f>
        <v>5745</v>
      </c>
      <c r="I132" s="400">
        <f>I93</f>
        <v>6847.5430000000006</v>
      </c>
      <c r="J132" s="377">
        <f t="shared" si="20"/>
        <v>119.19134899912969</v>
      </c>
      <c r="K132" s="241">
        <f>K93</f>
        <v>1102.5430000000006</v>
      </c>
      <c r="L132" s="232" t="s">
        <v>1</v>
      </c>
    </row>
    <row r="133" spans="1:12" x14ac:dyDescent="0.2">
      <c r="A133" s="95"/>
      <c r="B133" s="17"/>
      <c r="C133" s="95"/>
      <c r="D133" s="17"/>
      <c r="E133" s="54" t="s">
        <v>61</v>
      </c>
      <c r="F133" s="142">
        <f>F120</f>
        <v>10000</v>
      </c>
      <c r="G133" s="142">
        <f>G120</f>
        <v>-6755</v>
      </c>
      <c r="H133" s="142">
        <f>H120</f>
        <v>3245</v>
      </c>
      <c r="I133" s="400">
        <f>I120</f>
        <v>3220.5</v>
      </c>
      <c r="J133" s="377">
        <f t="shared" si="20"/>
        <v>99.244992295839751</v>
      </c>
      <c r="K133" s="241">
        <f>K120</f>
        <v>-24.5</v>
      </c>
      <c r="L133" s="232"/>
    </row>
    <row r="134" spans="1:12" ht="13.5" thickBot="1" x14ac:dyDescent="0.25">
      <c r="A134" s="113"/>
      <c r="B134" s="17"/>
      <c r="C134" s="95"/>
      <c r="D134" s="17"/>
      <c r="E134" s="114" t="s">
        <v>62</v>
      </c>
      <c r="F134" s="365">
        <f>SUM(F131:F133)</f>
        <v>139784</v>
      </c>
      <c r="G134" s="154">
        <f>SUM(G131:G133)</f>
        <v>3546.3507200000004</v>
      </c>
      <c r="H134" s="154">
        <f>SUM(H131:H133)</f>
        <v>143330.35071999999</v>
      </c>
      <c r="I134" s="401">
        <f>SUM(I131:I133)</f>
        <v>151754.77947000001</v>
      </c>
      <c r="J134" s="379">
        <f t="shared" si="20"/>
        <v>105.87763073744053</v>
      </c>
      <c r="K134" s="351">
        <f>SUM(K131:K133)</f>
        <v>8424.4287500000028</v>
      </c>
      <c r="L134" s="235"/>
    </row>
    <row r="135" spans="1:12" x14ac:dyDescent="0.2">
      <c r="G135" s="216"/>
      <c r="L135" s="236"/>
    </row>
    <row r="136" spans="1:12" x14ac:dyDescent="0.2">
      <c r="A136" s="12"/>
      <c r="B136" s="122"/>
      <c r="C136" s="122"/>
      <c r="D136" s="131"/>
      <c r="E136" s="368"/>
      <c r="G136" s="369"/>
      <c r="H136" s="369"/>
      <c r="K136" s="195"/>
      <c r="L136" s="115"/>
    </row>
    <row r="137" spans="1:12" x14ac:dyDescent="0.2">
      <c r="A137" s="122"/>
      <c r="B137" s="122"/>
      <c r="C137" s="122"/>
      <c r="D137" s="122"/>
      <c r="E137" s="368"/>
      <c r="G137" s="214"/>
      <c r="H137" s="312"/>
      <c r="K137" s="195"/>
      <c r="L137" s="115"/>
    </row>
    <row r="138" spans="1:12" x14ac:dyDescent="0.2">
      <c r="A138" s="122"/>
      <c r="B138" s="122"/>
      <c r="C138" s="122"/>
      <c r="D138" s="122"/>
      <c r="E138" s="368"/>
      <c r="G138" s="214"/>
      <c r="H138" s="312"/>
      <c r="K138" s="195"/>
      <c r="L138" s="236"/>
    </row>
    <row r="139" spans="1:12" x14ac:dyDescent="0.2">
      <c r="A139" s="122"/>
      <c r="B139" s="122"/>
      <c r="C139" s="122"/>
      <c r="D139" s="122"/>
      <c r="E139" s="402"/>
      <c r="G139" s="214"/>
      <c r="H139" s="370"/>
      <c r="L139" s="115"/>
    </row>
    <row r="140" spans="1:12" x14ac:dyDescent="0.2">
      <c r="A140" s="122"/>
      <c r="B140" s="122"/>
      <c r="C140" s="122"/>
      <c r="D140" s="122"/>
      <c r="G140" s="214"/>
      <c r="H140" s="370"/>
      <c r="K140" s="195"/>
      <c r="L140" s="115"/>
    </row>
    <row r="141" spans="1:12" x14ac:dyDescent="0.2">
      <c r="A141" s="12"/>
      <c r="B141" s="122"/>
      <c r="C141" s="122"/>
      <c r="D141" s="122"/>
      <c r="G141" s="214"/>
      <c r="H141" s="371"/>
      <c r="K141" s="195"/>
      <c r="L141" s="115"/>
    </row>
    <row r="142" spans="1:12" x14ac:dyDescent="0.2">
      <c r="E142" s="115"/>
      <c r="L142" s="115"/>
    </row>
    <row r="143" spans="1:12" x14ac:dyDescent="0.2">
      <c r="L143" s="115"/>
    </row>
    <row r="144" spans="1:12" x14ac:dyDescent="0.2">
      <c r="E144" s="115"/>
      <c r="F144" s="320"/>
      <c r="I144" s="320"/>
      <c r="L144" s="115"/>
    </row>
    <row r="145" spans="12:12" x14ac:dyDescent="0.2">
      <c r="L145" s="324"/>
    </row>
    <row r="146" spans="12:12" x14ac:dyDescent="0.2">
      <c r="L146" s="236"/>
    </row>
    <row r="149" spans="12:12" x14ac:dyDescent="0.2">
      <c r="L149" s="236"/>
    </row>
  </sheetData>
  <phoneticPr fontId="6" type="noConversion"/>
  <pageMargins left="0.55118110236220474" right="0.15748031496062992" top="0.47244094488188981" bottom="0.27559055118110237" header="0.19685039370078741" footer="0.15748031496062992"/>
  <pageSetup paperSize="9" scale="90" fitToWidth="0" fitToHeight="0" orientation="landscape" horizontalDpi="300" verticalDpi="300" r:id="rId1"/>
  <headerFooter alignWithMargins="0">
    <oddHeader>&amp;R&amp;P+1.strana</oddHeader>
    <oddFooter xml:space="preserve">&amp;R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GQ137"/>
  <sheetViews>
    <sheetView zoomScaleNormal="100" workbookViewId="0">
      <pane xSplit="4" ySplit="4" topLeftCell="E73" activePane="bottomRight" state="frozen"/>
      <selection pane="topRight" activeCell="E1" sqref="E1"/>
      <selection pane="bottomLeft" activeCell="A5" sqref="A5"/>
      <selection pane="bottomRight" activeCell="Z81" sqref="Z81"/>
    </sheetView>
  </sheetViews>
  <sheetFormatPr defaultColWidth="7.85546875" defaultRowHeight="12.75" x14ac:dyDescent="0.2"/>
  <cols>
    <col min="1" max="1" width="3.28515625" style="84" customWidth="1"/>
    <col min="2" max="2" width="4.85546875" style="87" customWidth="1"/>
    <col min="3" max="3" width="5.28515625" style="87" bestFit="1" customWidth="1"/>
    <col min="4" max="4" width="28.28515625" style="207" customWidth="1"/>
    <col min="5" max="5" width="7.140625" style="106" bestFit="1" customWidth="1"/>
    <col min="6" max="6" width="7" style="84" customWidth="1"/>
    <col min="7" max="7" width="6.85546875" style="106" bestFit="1" customWidth="1"/>
    <col min="8" max="8" width="5.85546875" style="187" bestFit="1" customWidth="1"/>
    <col min="9" max="9" width="6.28515625" style="187" customWidth="1"/>
    <col min="10" max="10" width="6.5703125" style="106" bestFit="1" customWidth="1"/>
    <col min="11" max="11" width="6.42578125" style="106" customWidth="1"/>
    <col min="12" max="12" width="8.7109375" style="106" customWidth="1"/>
    <col min="13" max="13" width="6.5703125" style="84" customWidth="1"/>
    <col min="14" max="14" width="6.28515625" style="84" customWidth="1"/>
    <col min="15" max="16" width="6.28515625" style="106" customWidth="1"/>
    <col min="17" max="17" width="6.42578125" style="106" customWidth="1"/>
    <col min="18" max="18" width="2" style="84" hidden="1" customWidth="1"/>
    <col min="19" max="19" width="2" style="363" hidden="1" customWidth="1"/>
    <col min="20" max="20" width="19.85546875" style="106" customWidth="1"/>
    <col min="21" max="22" width="9" style="84" customWidth="1"/>
    <col min="23" max="23" width="9" style="106" hidden="1" customWidth="1"/>
    <col min="24" max="24" width="9" style="84" hidden="1" customWidth="1"/>
    <col min="25" max="16384" width="7.85546875" style="84"/>
  </cols>
  <sheetData>
    <row r="1" spans="1:24" ht="18.75" thickBot="1" x14ac:dyDescent="0.3">
      <c r="A1" s="94" t="s">
        <v>394</v>
      </c>
      <c r="B1" s="281"/>
      <c r="C1" s="281"/>
      <c r="D1" s="280"/>
      <c r="E1" s="281"/>
      <c r="F1" s="280"/>
      <c r="G1" s="281"/>
      <c r="H1" s="281"/>
      <c r="I1" s="281"/>
      <c r="J1" s="281"/>
      <c r="K1" s="281"/>
      <c r="L1" s="281"/>
      <c r="M1" s="280"/>
      <c r="N1" s="280"/>
      <c r="O1" s="281"/>
      <c r="P1" s="281"/>
      <c r="Q1" s="281"/>
      <c r="R1" s="280"/>
      <c r="S1" s="352"/>
      <c r="T1" s="281"/>
      <c r="U1" s="17"/>
      <c r="V1" s="106"/>
    </row>
    <row r="2" spans="1:24" x14ac:dyDescent="0.2">
      <c r="A2" s="124"/>
      <c r="B2" s="88"/>
      <c r="C2" s="88"/>
      <c r="D2" s="452"/>
      <c r="E2" s="366"/>
      <c r="F2" s="159" t="s">
        <v>318</v>
      </c>
      <c r="G2" s="159"/>
      <c r="H2" s="501" t="s">
        <v>3</v>
      </c>
      <c r="I2" s="502"/>
      <c r="J2" s="158"/>
      <c r="K2" s="40" t="s">
        <v>102</v>
      </c>
      <c r="L2" s="159"/>
      <c r="M2" s="159"/>
      <c r="N2" s="159" t="s">
        <v>345</v>
      </c>
      <c r="O2" s="159"/>
      <c r="P2" s="159"/>
      <c r="Q2" s="385"/>
      <c r="R2" s="159" t="s">
        <v>319</v>
      </c>
      <c r="S2" s="353" t="s">
        <v>124</v>
      </c>
      <c r="T2" s="159"/>
      <c r="U2" s="434"/>
      <c r="V2" s="282"/>
      <c r="W2" s="313"/>
    </row>
    <row r="3" spans="1:24" x14ac:dyDescent="0.2">
      <c r="A3" s="80"/>
      <c r="B3" s="26"/>
      <c r="C3" s="26"/>
      <c r="D3" s="423"/>
      <c r="E3" s="41">
        <v>2016</v>
      </c>
      <c r="F3" s="42">
        <v>2016</v>
      </c>
      <c r="G3" s="79">
        <v>2016</v>
      </c>
      <c r="H3" s="167">
        <v>2015</v>
      </c>
      <c r="I3" s="168">
        <v>2015</v>
      </c>
      <c r="J3" s="41">
        <v>2016</v>
      </c>
      <c r="K3" s="42">
        <v>2016</v>
      </c>
      <c r="L3" s="79">
        <v>2016</v>
      </c>
      <c r="M3" s="41">
        <v>2016</v>
      </c>
      <c r="N3" s="42">
        <v>2016</v>
      </c>
      <c r="O3" s="79">
        <v>2016</v>
      </c>
      <c r="P3" s="79"/>
      <c r="Q3" s="386" t="s">
        <v>298</v>
      </c>
      <c r="R3" s="42">
        <v>2017</v>
      </c>
      <c r="S3" s="354" t="s">
        <v>134</v>
      </c>
      <c r="T3" s="79"/>
      <c r="U3" s="374" t="s">
        <v>159</v>
      </c>
      <c r="V3" s="435" t="s">
        <v>171</v>
      </c>
      <c r="W3" s="329"/>
    </row>
    <row r="4" spans="1:24" ht="13.5" thickBot="1" x14ac:dyDescent="0.25">
      <c r="A4" s="43" t="s">
        <v>63</v>
      </c>
      <c r="B4" s="21" t="s">
        <v>22</v>
      </c>
      <c r="C4" s="21" t="s">
        <v>23</v>
      </c>
      <c r="D4" s="424" t="s">
        <v>64</v>
      </c>
      <c r="E4" s="43" t="s">
        <v>65</v>
      </c>
      <c r="F4" s="21" t="s">
        <v>66</v>
      </c>
      <c r="G4" s="44" t="s">
        <v>67</v>
      </c>
      <c r="H4" s="169" t="s">
        <v>65</v>
      </c>
      <c r="I4" s="170" t="s">
        <v>66</v>
      </c>
      <c r="J4" s="384" t="s">
        <v>65</v>
      </c>
      <c r="K4" s="21" t="s">
        <v>66</v>
      </c>
      <c r="L4" s="44" t="s">
        <v>67</v>
      </c>
      <c r="M4" s="43" t="s">
        <v>65</v>
      </c>
      <c r="N4" s="21" t="s">
        <v>66</v>
      </c>
      <c r="O4" s="44" t="s">
        <v>67</v>
      </c>
      <c r="P4" s="44" t="s">
        <v>4</v>
      </c>
      <c r="Q4" s="387" t="s">
        <v>195</v>
      </c>
      <c r="R4" s="21"/>
      <c r="S4" s="355" t="s">
        <v>320</v>
      </c>
      <c r="T4" s="44" t="s">
        <v>20</v>
      </c>
      <c r="U4" s="375" t="s">
        <v>158</v>
      </c>
      <c r="V4" s="436" t="s">
        <v>163</v>
      </c>
      <c r="W4" s="329"/>
    </row>
    <row r="5" spans="1:24" x14ac:dyDescent="0.2">
      <c r="A5" s="125">
        <v>10</v>
      </c>
      <c r="B5" s="61"/>
      <c r="C5" s="61"/>
      <c r="D5" s="417" t="s">
        <v>68</v>
      </c>
      <c r="E5" s="45">
        <f t="shared" ref="E5:O5" si="0">SUM(E6:E7)</f>
        <v>943</v>
      </c>
      <c r="F5" s="46">
        <f t="shared" si="0"/>
        <v>0</v>
      </c>
      <c r="G5" s="161">
        <f t="shared" si="0"/>
        <v>943</v>
      </c>
      <c r="H5" s="171">
        <f t="shared" si="0"/>
        <v>574.66099999999994</v>
      </c>
      <c r="I5" s="172">
        <f t="shared" si="0"/>
        <v>0</v>
      </c>
      <c r="J5" s="45">
        <f t="shared" si="0"/>
        <v>1517.6610000000001</v>
      </c>
      <c r="K5" s="46">
        <f t="shared" si="0"/>
        <v>0</v>
      </c>
      <c r="L5" s="161">
        <f t="shared" si="0"/>
        <v>1517.6610000000001</v>
      </c>
      <c r="M5" s="45">
        <f t="shared" si="0"/>
        <v>1391.8231799999999</v>
      </c>
      <c r="N5" s="46">
        <f t="shared" si="0"/>
        <v>0</v>
      </c>
      <c r="O5" s="161">
        <f t="shared" si="0"/>
        <v>1391.8231799999999</v>
      </c>
      <c r="P5" s="161">
        <f>O5/$L5*100</f>
        <v>91.708436864359015</v>
      </c>
      <c r="Q5" s="388">
        <f>SUM(Q6:Q7)</f>
        <v>125.83781999999997</v>
      </c>
      <c r="R5" s="46">
        <f>SUM(R6:R7)</f>
        <v>2099</v>
      </c>
      <c r="S5" s="356">
        <f>R5/G5</f>
        <v>2.2258748674443267</v>
      </c>
      <c r="T5" s="161"/>
      <c r="U5" s="47"/>
      <c r="V5" s="67"/>
      <c r="W5" s="313"/>
    </row>
    <row r="6" spans="1:24" x14ac:dyDescent="0.2">
      <c r="A6" s="126"/>
      <c r="B6" s="23">
        <v>1031</v>
      </c>
      <c r="C6" s="23">
        <v>201</v>
      </c>
      <c r="D6" s="193" t="s">
        <v>202</v>
      </c>
      <c r="E6" s="39">
        <f>385+558</f>
        <v>943</v>
      </c>
      <c r="F6" s="23"/>
      <c r="G6" s="49">
        <f>E6+F6</f>
        <v>943</v>
      </c>
      <c r="H6" s="173"/>
      <c r="I6" s="174"/>
      <c r="J6" s="39">
        <f>E6+H6</f>
        <v>943</v>
      </c>
      <c r="K6" s="23">
        <f>F6+I6</f>
        <v>0</v>
      </c>
      <c r="L6" s="49">
        <f>SUM(J6:K6)</f>
        <v>943</v>
      </c>
      <c r="M6" s="39">
        <v>817.16218000000003</v>
      </c>
      <c r="N6" s="23"/>
      <c r="O6" s="49">
        <f>M6+N6</f>
        <v>817.16218000000003</v>
      </c>
      <c r="P6" s="49">
        <f>O6/$L6*100</f>
        <v>86.655586426299053</v>
      </c>
      <c r="Q6" s="389">
        <f>L6-O6</f>
        <v>125.83781999999997</v>
      </c>
      <c r="R6" s="23">
        <v>2099</v>
      </c>
      <c r="S6" s="357">
        <f>R6/G6</f>
        <v>2.2258748674443267</v>
      </c>
      <c r="T6" s="49"/>
      <c r="U6" s="300" t="s">
        <v>69</v>
      </c>
      <c r="V6" s="285" t="s">
        <v>121</v>
      </c>
      <c r="W6" s="132"/>
    </row>
    <row r="7" spans="1:24" ht="13.5" customHeight="1" x14ac:dyDescent="0.2">
      <c r="A7" s="126"/>
      <c r="B7" s="23">
        <v>1036</v>
      </c>
      <c r="C7" s="23">
        <v>109</v>
      </c>
      <c r="D7" s="193" t="s">
        <v>160</v>
      </c>
      <c r="E7" s="39"/>
      <c r="F7" s="13"/>
      <c r="G7" s="49">
        <f>E7+F7</f>
        <v>0</v>
      </c>
      <c r="H7" s="179">
        <f>142.711+140.939+140.881+7.7+142.43</f>
        <v>574.66099999999994</v>
      </c>
      <c r="I7" s="174"/>
      <c r="J7" s="39">
        <f>E7+H7</f>
        <v>574.66099999999994</v>
      </c>
      <c r="K7" s="13">
        <f>F7+I7</f>
        <v>0</v>
      </c>
      <c r="L7" s="49">
        <f>SUM(J7:K7)</f>
        <v>574.66099999999994</v>
      </c>
      <c r="M7" s="39">
        <v>574.66099999999994</v>
      </c>
      <c r="N7" s="13"/>
      <c r="O7" s="49">
        <f>M7+N7</f>
        <v>574.66099999999994</v>
      </c>
      <c r="P7" s="49">
        <f>O7/$L7*100</f>
        <v>100</v>
      </c>
      <c r="Q7" s="389">
        <f>L7-O7</f>
        <v>0</v>
      </c>
      <c r="R7" s="13"/>
      <c r="S7" s="357"/>
      <c r="T7" s="49"/>
      <c r="U7" s="308" t="s">
        <v>212</v>
      </c>
      <c r="V7" s="284" t="s">
        <v>259</v>
      </c>
      <c r="W7" s="132"/>
    </row>
    <row r="8" spans="1:24" x14ac:dyDescent="0.2">
      <c r="A8" s="127">
        <v>21</v>
      </c>
      <c r="B8" s="18"/>
      <c r="C8" s="18"/>
      <c r="D8" s="425" t="s">
        <v>273</v>
      </c>
      <c r="E8" s="50">
        <f t="shared" ref="E8:L8" si="1">SUM(E9:E13)</f>
        <v>921</v>
      </c>
      <c r="F8" s="51">
        <f t="shared" si="1"/>
        <v>560</v>
      </c>
      <c r="G8" s="52">
        <f t="shared" si="1"/>
        <v>1481</v>
      </c>
      <c r="H8" s="177">
        <f t="shared" si="1"/>
        <v>15</v>
      </c>
      <c r="I8" s="178">
        <f t="shared" si="1"/>
        <v>60</v>
      </c>
      <c r="J8" s="50">
        <f t="shared" si="1"/>
        <v>936</v>
      </c>
      <c r="K8" s="51">
        <f t="shared" si="1"/>
        <v>620</v>
      </c>
      <c r="L8" s="52">
        <f t="shared" si="1"/>
        <v>1556</v>
      </c>
      <c r="M8" s="50">
        <f>SUM(M9:M13)</f>
        <v>983.34181000000001</v>
      </c>
      <c r="N8" s="51">
        <f>SUM(N9:N13)</f>
        <v>375.12199999999996</v>
      </c>
      <c r="O8" s="52">
        <f>SUM(O9:O13)</f>
        <v>1358.4638100000002</v>
      </c>
      <c r="P8" s="52">
        <f t="shared" ref="P8:P55" si="2">O8/$L8*100</f>
        <v>87.30487210796916</v>
      </c>
      <c r="Q8" s="390">
        <f>SUM(Q9:Q13)</f>
        <v>197.53618999999998</v>
      </c>
      <c r="R8" s="51">
        <f>SUM(R9:R13)</f>
        <v>1691</v>
      </c>
      <c r="S8" s="358">
        <f t="shared" ref="S8:S18" si="3">R8/G8</f>
        <v>1.1417960837272114</v>
      </c>
      <c r="T8" s="52"/>
      <c r="U8" s="47"/>
      <c r="V8" s="67"/>
      <c r="W8" s="313"/>
    </row>
    <row r="9" spans="1:24" x14ac:dyDescent="0.2">
      <c r="A9" s="54"/>
      <c r="B9" s="23">
        <v>2121</v>
      </c>
      <c r="C9" s="23">
        <v>20</v>
      </c>
      <c r="D9" s="193" t="s">
        <v>93</v>
      </c>
      <c r="E9" s="39"/>
      <c r="F9" s="13">
        <v>200</v>
      </c>
      <c r="G9" s="49">
        <f>E9+F9</f>
        <v>200</v>
      </c>
      <c r="H9" s="173"/>
      <c r="I9" s="174">
        <v>60</v>
      </c>
      <c r="J9" s="39">
        <f>E9+H9</f>
        <v>0</v>
      </c>
      <c r="K9" s="23">
        <f>F9+I9</f>
        <v>260</v>
      </c>
      <c r="L9" s="49">
        <f>SUM(J9:K9)</f>
        <v>260</v>
      </c>
      <c r="M9" s="39"/>
      <c r="N9" s="13">
        <v>258.96199999999999</v>
      </c>
      <c r="O9" s="49">
        <f>M9+N9</f>
        <v>258.96199999999999</v>
      </c>
      <c r="P9" s="49">
        <f t="shared" si="2"/>
        <v>99.600769230769231</v>
      </c>
      <c r="Q9" s="389">
        <f>L9-O9</f>
        <v>1.0380000000000109</v>
      </c>
      <c r="R9" s="13">
        <v>410</v>
      </c>
      <c r="S9" s="357">
        <f t="shared" si="3"/>
        <v>2.0499999999999998</v>
      </c>
      <c r="T9" s="49"/>
      <c r="U9" s="300" t="s">
        <v>69</v>
      </c>
      <c r="V9" s="285" t="s">
        <v>121</v>
      </c>
      <c r="W9" s="132"/>
    </row>
    <row r="10" spans="1:24" x14ac:dyDescent="0.2">
      <c r="A10" s="54"/>
      <c r="B10" s="23">
        <v>2121</v>
      </c>
      <c r="C10" s="23">
        <v>237</v>
      </c>
      <c r="D10" s="193" t="s">
        <v>180</v>
      </c>
      <c r="E10" s="39">
        <f>471-100</f>
        <v>371</v>
      </c>
      <c r="F10" s="13"/>
      <c r="G10" s="49">
        <f>E10+F10</f>
        <v>371</v>
      </c>
      <c r="H10" s="173"/>
      <c r="I10" s="174"/>
      <c r="J10" s="39">
        <f>E10+H10</f>
        <v>371</v>
      </c>
      <c r="K10" s="23"/>
      <c r="L10" s="49">
        <f>SUM(J10:K10)</f>
        <v>371</v>
      </c>
      <c r="M10" s="39">
        <v>291.21573000000001</v>
      </c>
      <c r="N10" s="13"/>
      <c r="O10" s="49">
        <f>M10+N10</f>
        <v>291.21573000000001</v>
      </c>
      <c r="P10" s="49">
        <f t="shared" si="2"/>
        <v>78.494805929919139</v>
      </c>
      <c r="Q10" s="389">
        <f>L10-O10</f>
        <v>79.784269999999992</v>
      </c>
      <c r="R10" s="13">
        <v>371</v>
      </c>
      <c r="S10" s="357">
        <f t="shared" si="3"/>
        <v>1</v>
      </c>
      <c r="T10" s="49"/>
      <c r="U10" s="300" t="s">
        <v>69</v>
      </c>
      <c r="V10" s="285" t="s">
        <v>121</v>
      </c>
      <c r="W10" s="132"/>
    </row>
    <row r="11" spans="1:24" x14ac:dyDescent="0.2">
      <c r="A11" s="54"/>
      <c r="B11" s="23">
        <v>2141</v>
      </c>
      <c r="C11" s="23">
        <v>101</v>
      </c>
      <c r="D11" s="193" t="s">
        <v>297</v>
      </c>
      <c r="E11" s="39">
        <v>100</v>
      </c>
      <c r="F11" s="13"/>
      <c r="G11" s="49">
        <f>E11+F11</f>
        <v>100</v>
      </c>
      <c r="H11" s="173"/>
      <c r="I11" s="174"/>
      <c r="J11" s="39">
        <f>E11+H11</f>
        <v>100</v>
      </c>
      <c r="K11" s="23">
        <f>F11+I11</f>
        <v>0</v>
      </c>
      <c r="L11" s="49">
        <f>SUM(J11:K11)</f>
        <v>100</v>
      </c>
      <c r="M11" s="39">
        <v>46.286999999999999</v>
      </c>
      <c r="N11" s="13"/>
      <c r="O11" s="49">
        <f>M11+N11</f>
        <v>46.286999999999999</v>
      </c>
      <c r="P11" s="49">
        <f t="shared" si="2"/>
        <v>46.286999999999999</v>
      </c>
      <c r="Q11" s="389">
        <f>L11-O11</f>
        <v>53.713000000000001</v>
      </c>
      <c r="R11" s="13">
        <v>100</v>
      </c>
      <c r="S11" s="357">
        <f t="shared" si="3"/>
        <v>1</v>
      </c>
      <c r="T11" s="49"/>
      <c r="U11" s="300" t="s">
        <v>348</v>
      </c>
      <c r="V11" s="285" t="s">
        <v>121</v>
      </c>
      <c r="W11" s="132"/>
    </row>
    <row r="12" spans="1:24" x14ac:dyDescent="0.2">
      <c r="A12" s="54"/>
      <c r="B12" s="23">
        <v>2144</v>
      </c>
      <c r="C12" s="23">
        <v>650</v>
      </c>
      <c r="D12" s="193" t="s">
        <v>176</v>
      </c>
      <c r="E12" s="39">
        <v>210</v>
      </c>
      <c r="F12" s="13"/>
      <c r="G12" s="49">
        <f>E12+F12</f>
        <v>210</v>
      </c>
      <c r="H12" s="173">
        <v>15</v>
      </c>
      <c r="I12" s="174"/>
      <c r="J12" s="39">
        <f>E12+H12</f>
        <v>225</v>
      </c>
      <c r="K12" s="23"/>
      <c r="L12" s="49">
        <f>SUM(J12:K12)</f>
        <v>225</v>
      </c>
      <c r="M12" s="39">
        <f>197.36008+5</f>
        <v>202.36008000000001</v>
      </c>
      <c r="N12" s="13"/>
      <c r="O12" s="49">
        <f>M12+N12</f>
        <v>202.36008000000001</v>
      </c>
      <c r="P12" s="49">
        <f t="shared" si="2"/>
        <v>89.937813333333338</v>
      </c>
      <c r="Q12" s="389">
        <f>L12-O12</f>
        <v>22.639919999999989</v>
      </c>
      <c r="R12" s="13">
        <v>210</v>
      </c>
      <c r="S12" s="357">
        <f t="shared" si="3"/>
        <v>1</v>
      </c>
      <c r="T12" s="49"/>
      <c r="U12" s="297" t="s">
        <v>172</v>
      </c>
      <c r="V12" s="286" t="s">
        <v>213</v>
      </c>
      <c r="W12" s="432" t="s">
        <v>172</v>
      </c>
      <c r="X12" s="294" t="s">
        <v>213</v>
      </c>
    </row>
    <row r="13" spans="1:24" x14ac:dyDescent="0.2">
      <c r="A13" s="54"/>
      <c r="B13" s="23">
        <v>2199</v>
      </c>
      <c r="C13" s="23">
        <v>912</v>
      </c>
      <c r="D13" s="193" t="s">
        <v>98</v>
      </c>
      <c r="E13" s="39">
        <v>240</v>
      </c>
      <c r="F13" s="13">
        <v>360</v>
      </c>
      <c r="G13" s="49">
        <f>E13+F13</f>
        <v>600</v>
      </c>
      <c r="H13" s="173"/>
      <c r="I13" s="174"/>
      <c r="J13" s="39">
        <f>E13+H13</f>
        <v>240</v>
      </c>
      <c r="K13" s="23">
        <f>F13+I13</f>
        <v>360</v>
      </c>
      <c r="L13" s="49">
        <f>SUM(J13:K13)</f>
        <v>600</v>
      </c>
      <c r="M13" s="39">
        <f>559.639-N13</f>
        <v>443.47900000000004</v>
      </c>
      <c r="N13" s="13">
        <v>116.16</v>
      </c>
      <c r="O13" s="49">
        <f>M13+N13</f>
        <v>559.63900000000001</v>
      </c>
      <c r="P13" s="49">
        <f t="shared" si="2"/>
        <v>93.273166666666668</v>
      </c>
      <c r="Q13" s="389">
        <f>L13-O13</f>
        <v>40.36099999999999</v>
      </c>
      <c r="R13" s="13">
        <v>600</v>
      </c>
      <c r="S13" s="357">
        <f t="shared" si="3"/>
        <v>1</v>
      </c>
      <c r="T13" s="49"/>
      <c r="U13" s="298" t="s">
        <v>166</v>
      </c>
      <c r="V13" s="287" t="s">
        <v>348</v>
      </c>
      <c r="W13" s="132"/>
    </row>
    <row r="14" spans="1:24" x14ac:dyDescent="0.2">
      <c r="A14" s="127">
        <v>22</v>
      </c>
      <c r="B14" s="18"/>
      <c r="C14" s="18"/>
      <c r="D14" s="425" t="s">
        <v>70</v>
      </c>
      <c r="E14" s="50">
        <f t="shared" ref="E14:O14" si="4">SUM(E15:E23)</f>
        <v>4397</v>
      </c>
      <c r="F14" s="51">
        <f t="shared" si="4"/>
        <v>8000</v>
      </c>
      <c r="G14" s="52">
        <f t="shared" si="4"/>
        <v>12397</v>
      </c>
      <c r="H14" s="177">
        <f t="shared" si="4"/>
        <v>0</v>
      </c>
      <c r="I14" s="178">
        <f t="shared" si="4"/>
        <v>-60</v>
      </c>
      <c r="J14" s="50">
        <f t="shared" si="4"/>
        <v>4397</v>
      </c>
      <c r="K14" s="51">
        <f t="shared" si="4"/>
        <v>7940</v>
      </c>
      <c r="L14" s="52">
        <f t="shared" si="4"/>
        <v>12337</v>
      </c>
      <c r="M14" s="50">
        <f t="shared" si="4"/>
        <v>3681.55006</v>
      </c>
      <c r="N14" s="51">
        <f t="shared" si="4"/>
        <v>6604.1190999999999</v>
      </c>
      <c r="O14" s="52">
        <f t="shared" si="4"/>
        <v>10285.669159999999</v>
      </c>
      <c r="P14" s="52">
        <f t="shared" si="2"/>
        <v>83.372531085353003</v>
      </c>
      <c r="Q14" s="390">
        <f>SUM(Q15:Q23)</f>
        <v>2051.3308400000001</v>
      </c>
      <c r="R14" s="51">
        <f>SUM(R15:R23)</f>
        <v>39157</v>
      </c>
      <c r="S14" s="358">
        <f t="shared" si="3"/>
        <v>3.1585867548600466</v>
      </c>
      <c r="T14" s="52"/>
      <c r="U14" s="47"/>
      <c r="V14" s="67"/>
      <c r="W14" s="313"/>
    </row>
    <row r="15" spans="1:24" x14ac:dyDescent="0.2">
      <c r="A15" s="126"/>
      <c r="B15" s="23">
        <v>2212</v>
      </c>
      <c r="C15" s="23">
        <v>203</v>
      </c>
      <c r="D15" s="193" t="s">
        <v>249</v>
      </c>
      <c r="E15" s="39">
        <v>300</v>
      </c>
      <c r="F15" s="13">
        <f>1600+3000</f>
        <v>4600</v>
      </c>
      <c r="G15" s="49">
        <f t="shared" ref="G15:G23" si="5">E15+F15</f>
        <v>4900</v>
      </c>
      <c r="H15" s="173"/>
      <c r="I15" s="174">
        <f>-60-2460</f>
        <v>-2520</v>
      </c>
      <c r="J15" s="39">
        <f t="shared" ref="J15:J23" si="6">E15+H15</f>
        <v>300</v>
      </c>
      <c r="K15" s="23">
        <f t="shared" ref="K15:K23" si="7">F15+I15</f>
        <v>2080</v>
      </c>
      <c r="L15" s="49">
        <f t="shared" ref="L15:L23" si="8">SUM(J15:K15)</f>
        <v>2380</v>
      </c>
      <c r="M15" s="39">
        <f>26.62+73.006</f>
        <v>99.626000000000005</v>
      </c>
      <c r="N15" s="13">
        <f>13.192+1514</f>
        <v>1527.192</v>
      </c>
      <c r="O15" s="49">
        <f t="shared" ref="O15:O23" si="9">M15+N15</f>
        <v>1626.818</v>
      </c>
      <c r="P15" s="49">
        <f t="shared" ref="P15:P21" si="10">O15/$L15*100</f>
        <v>68.353697478991592</v>
      </c>
      <c r="Q15" s="389">
        <f t="shared" ref="Q15:Q23" si="11">L15-O15</f>
        <v>753.18200000000002</v>
      </c>
      <c r="R15" s="13">
        <v>29835</v>
      </c>
      <c r="S15" s="357">
        <f t="shared" si="3"/>
        <v>6.0887755102040817</v>
      </c>
      <c r="T15" s="49" t="s">
        <v>395</v>
      </c>
      <c r="U15" s="300" t="s">
        <v>348</v>
      </c>
      <c r="V15" s="285" t="s">
        <v>121</v>
      </c>
      <c r="W15" s="132"/>
    </row>
    <row r="16" spans="1:24" x14ac:dyDescent="0.2">
      <c r="A16" s="126"/>
      <c r="B16" s="23">
        <v>2212</v>
      </c>
      <c r="C16" s="23">
        <v>204</v>
      </c>
      <c r="D16" s="193" t="s">
        <v>127</v>
      </c>
      <c r="E16" s="39">
        <v>3131</v>
      </c>
      <c r="F16" s="13"/>
      <c r="G16" s="49">
        <f t="shared" si="5"/>
        <v>3131</v>
      </c>
      <c r="H16" s="173"/>
      <c r="I16" s="174"/>
      <c r="J16" s="39">
        <f t="shared" si="6"/>
        <v>3131</v>
      </c>
      <c r="K16" s="23">
        <f t="shared" si="7"/>
        <v>0</v>
      </c>
      <c r="L16" s="49">
        <f t="shared" si="8"/>
        <v>3131</v>
      </c>
      <c r="M16" s="39">
        <v>2703.32906</v>
      </c>
      <c r="N16" s="13"/>
      <c r="O16" s="49">
        <f t="shared" si="9"/>
        <v>2703.32906</v>
      </c>
      <c r="P16" s="49">
        <f t="shared" si="10"/>
        <v>86.340755669115296</v>
      </c>
      <c r="Q16" s="389">
        <f t="shared" si="11"/>
        <v>427.67093999999997</v>
      </c>
      <c r="R16" s="13">
        <v>3027</v>
      </c>
      <c r="S16" s="357">
        <f t="shared" si="3"/>
        <v>0.96678377515170877</v>
      </c>
      <c r="T16" s="49"/>
      <c r="U16" s="300" t="s">
        <v>210</v>
      </c>
      <c r="V16" s="285" t="s">
        <v>121</v>
      </c>
      <c r="W16" s="132"/>
    </row>
    <row r="17" spans="1:23" x14ac:dyDescent="0.2">
      <c r="A17" s="126"/>
      <c r="B17" s="23">
        <v>2212</v>
      </c>
      <c r="C17" s="23">
        <v>208</v>
      </c>
      <c r="D17" s="193" t="s">
        <v>324</v>
      </c>
      <c r="E17" s="39"/>
      <c r="F17" s="13">
        <f>900+1750</f>
        <v>2650</v>
      </c>
      <c r="G17" s="49">
        <f t="shared" si="5"/>
        <v>2650</v>
      </c>
      <c r="H17" s="173"/>
      <c r="I17" s="174">
        <v>2460</v>
      </c>
      <c r="J17" s="39">
        <f t="shared" si="6"/>
        <v>0</v>
      </c>
      <c r="K17" s="23">
        <f t="shared" si="7"/>
        <v>5110</v>
      </c>
      <c r="L17" s="49">
        <f t="shared" si="8"/>
        <v>5110</v>
      </c>
      <c r="M17" s="39"/>
      <c r="N17" s="13">
        <v>4972.3200999999999</v>
      </c>
      <c r="O17" s="49">
        <f t="shared" si="9"/>
        <v>4972.3200999999999</v>
      </c>
      <c r="P17" s="49">
        <f t="shared" si="10"/>
        <v>97.305677103718196</v>
      </c>
      <c r="Q17" s="389">
        <f t="shared" si="11"/>
        <v>137.67990000000009</v>
      </c>
      <c r="R17" s="13">
        <v>3000</v>
      </c>
      <c r="S17" s="357">
        <f t="shared" si="3"/>
        <v>1.1320754716981132</v>
      </c>
      <c r="T17" s="49"/>
      <c r="U17" s="300" t="s">
        <v>166</v>
      </c>
      <c r="V17" s="285" t="s">
        <v>121</v>
      </c>
      <c r="W17" s="132"/>
    </row>
    <row r="18" spans="1:23" x14ac:dyDescent="0.2">
      <c r="A18" s="126"/>
      <c r="B18" s="23">
        <v>2212</v>
      </c>
      <c r="C18" s="23">
        <v>221</v>
      </c>
      <c r="D18" s="193" t="s">
        <v>381</v>
      </c>
      <c r="E18" s="39"/>
      <c r="F18" s="13">
        <v>250</v>
      </c>
      <c r="G18" s="49">
        <f t="shared" si="5"/>
        <v>250</v>
      </c>
      <c r="H18" s="173"/>
      <c r="I18" s="174"/>
      <c r="J18" s="39">
        <f t="shared" si="6"/>
        <v>0</v>
      </c>
      <c r="K18" s="23">
        <f t="shared" si="7"/>
        <v>250</v>
      </c>
      <c r="L18" s="49">
        <f t="shared" si="8"/>
        <v>250</v>
      </c>
      <c r="M18" s="39"/>
      <c r="N18" s="13">
        <v>25.164000000000001</v>
      </c>
      <c r="O18" s="49">
        <f t="shared" si="9"/>
        <v>25.164000000000001</v>
      </c>
      <c r="P18" s="49">
        <f t="shared" si="10"/>
        <v>10.065600000000002</v>
      </c>
      <c r="Q18" s="389">
        <f t="shared" si="11"/>
        <v>224.83600000000001</v>
      </c>
      <c r="R18" s="13">
        <v>2200</v>
      </c>
      <c r="S18" s="357">
        <f t="shared" si="3"/>
        <v>8.8000000000000007</v>
      </c>
      <c r="T18" s="49"/>
      <c r="U18" s="300" t="s">
        <v>166</v>
      </c>
      <c r="V18" s="285" t="s">
        <v>348</v>
      </c>
      <c r="W18" s="132"/>
    </row>
    <row r="19" spans="1:23" x14ac:dyDescent="0.2">
      <c r="A19" s="126"/>
      <c r="B19" s="23">
        <v>2212</v>
      </c>
      <c r="C19" s="23">
        <v>219</v>
      </c>
      <c r="D19" s="193" t="s">
        <v>338</v>
      </c>
      <c r="E19" s="39">
        <v>330</v>
      </c>
      <c r="F19" s="13"/>
      <c r="G19" s="49">
        <f t="shared" si="5"/>
        <v>330</v>
      </c>
      <c r="H19" s="173"/>
      <c r="I19" s="174"/>
      <c r="J19" s="39">
        <f t="shared" si="6"/>
        <v>330</v>
      </c>
      <c r="K19" s="23">
        <f t="shared" si="7"/>
        <v>0</v>
      </c>
      <c r="L19" s="49">
        <f t="shared" si="8"/>
        <v>330</v>
      </c>
      <c r="M19" s="39">
        <v>287.399</v>
      </c>
      <c r="N19" s="13"/>
      <c r="O19" s="49">
        <f t="shared" si="9"/>
        <v>287.399</v>
      </c>
      <c r="P19" s="49">
        <f t="shared" si="10"/>
        <v>87.090606060606063</v>
      </c>
      <c r="Q19" s="389">
        <f t="shared" si="11"/>
        <v>42.600999999999999</v>
      </c>
      <c r="R19" s="13"/>
      <c r="S19" s="357"/>
      <c r="T19" s="49" t="s">
        <v>382</v>
      </c>
      <c r="U19" s="300" t="s">
        <v>166</v>
      </c>
      <c r="V19" s="285" t="s">
        <v>348</v>
      </c>
      <c r="W19" s="132"/>
    </row>
    <row r="20" spans="1:23" x14ac:dyDescent="0.2">
      <c r="A20" s="126"/>
      <c r="B20" s="23">
        <v>2219</v>
      </c>
      <c r="C20" s="23">
        <v>43</v>
      </c>
      <c r="D20" s="193" t="s">
        <v>125</v>
      </c>
      <c r="E20" s="39">
        <v>35</v>
      </c>
      <c r="F20" s="23"/>
      <c r="G20" s="49">
        <f t="shared" si="5"/>
        <v>35</v>
      </c>
      <c r="H20" s="173"/>
      <c r="I20" s="174"/>
      <c r="J20" s="39">
        <f t="shared" si="6"/>
        <v>35</v>
      </c>
      <c r="K20" s="23">
        <f t="shared" si="7"/>
        <v>0</v>
      </c>
      <c r="L20" s="49">
        <f t="shared" si="8"/>
        <v>35</v>
      </c>
      <c r="M20" s="39">
        <v>0</v>
      </c>
      <c r="N20" s="13"/>
      <c r="O20" s="49">
        <f t="shared" si="9"/>
        <v>0</v>
      </c>
      <c r="P20" s="49">
        <f t="shared" si="10"/>
        <v>0</v>
      </c>
      <c r="Q20" s="389">
        <f t="shared" si="11"/>
        <v>35</v>
      </c>
      <c r="R20" s="23">
        <v>35</v>
      </c>
      <c r="S20" s="357">
        <f>R20/G20</f>
        <v>1</v>
      </c>
      <c r="T20" s="49"/>
      <c r="U20" s="305" t="s">
        <v>165</v>
      </c>
      <c r="V20" s="286" t="s">
        <v>316</v>
      </c>
      <c r="W20" s="132"/>
    </row>
    <row r="21" spans="1:23" x14ac:dyDescent="0.2">
      <c r="A21" s="126"/>
      <c r="B21" s="23">
        <v>2219</v>
      </c>
      <c r="C21" s="23">
        <v>46</v>
      </c>
      <c r="D21" s="193" t="s">
        <v>341</v>
      </c>
      <c r="E21" s="39"/>
      <c r="F21" s="13">
        <v>500</v>
      </c>
      <c r="G21" s="49">
        <f t="shared" si="5"/>
        <v>500</v>
      </c>
      <c r="H21" s="173"/>
      <c r="I21" s="174"/>
      <c r="J21" s="39">
        <f t="shared" si="6"/>
        <v>0</v>
      </c>
      <c r="K21" s="23">
        <f t="shared" si="7"/>
        <v>500</v>
      </c>
      <c r="L21" s="49">
        <f t="shared" si="8"/>
        <v>500</v>
      </c>
      <c r="M21" s="39"/>
      <c r="N21" s="13">
        <v>79.442999999999998</v>
      </c>
      <c r="O21" s="49">
        <f t="shared" si="9"/>
        <v>79.442999999999998</v>
      </c>
      <c r="P21" s="49">
        <f t="shared" si="10"/>
        <v>15.8886</v>
      </c>
      <c r="Q21" s="389">
        <f t="shared" si="11"/>
        <v>420.55700000000002</v>
      </c>
      <c r="R21" s="13">
        <v>500</v>
      </c>
      <c r="S21" s="357"/>
      <c r="T21" s="49"/>
      <c r="U21" s="300" t="s">
        <v>348</v>
      </c>
      <c r="V21" s="285" t="s">
        <v>121</v>
      </c>
      <c r="W21" s="132"/>
    </row>
    <row r="22" spans="1:23" x14ac:dyDescent="0.2">
      <c r="A22" s="126"/>
      <c r="B22" s="23">
        <v>2292</v>
      </c>
      <c r="C22" s="23">
        <v>204</v>
      </c>
      <c r="D22" s="193" t="s">
        <v>122</v>
      </c>
      <c r="E22" s="39">
        <v>495</v>
      </c>
      <c r="F22" s="13"/>
      <c r="G22" s="49">
        <f t="shared" si="5"/>
        <v>495</v>
      </c>
      <c r="H22" s="173"/>
      <c r="I22" s="174"/>
      <c r="J22" s="39">
        <f t="shared" si="6"/>
        <v>495</v>
      </c>
      <c r="K22" s="23">
        <f t="shared" si="7"/>
        <v>0</v>
      </c>
      <c r="L22" s="49">
        <f t="shared" si="8"/>
        <v>495</v>
      </c>
      <c r="M22" s="39">
        <v>494.91</v>
      </c>
      <c r="N22" s="13"/>
      <c r="O22" s="49">
        <f t="shared" si="9"/>
        <v>494.91</v>
      </c>
      <c r="P22" s="49">
        <f t="shared" si="2"/>
        <v>99.981818181818184</v>
      </c>
      <c r="Q22" s="389">
        <f t="shared" si="11"/>
        <v>8.9999999999974989E-2</v>
      </c>
      <c r="R22" s="13">
        <v>497</v>
      </c>
      <c r="S22" s="357">
        <f t="shared" ref="S22:S49" si="12">R22/G22</f>
        <v>1.0040404040404041</v>
      </c>
      <c r="T22" s="49" t="s">
        <v>383</v>
      </c>
      <c r="U22" s="437" t="s">
        <v>211</v>
      </c>
      <c r="V22" s="283" t="s">
        <v>71</v>
      </c>
      <c r="W22" s="132"/>
    </row>
    <row r="23" spans="1:23" x14ac:dyDescent="0.2">
      <c r="A23" s="128"/>
      <c r="B23" s="29">
        <v>2321</v>
      </c>
      <c r="C23" s="29">
        <v>5103</v>
      </c>
      <c r="D23" s="426" t="s">
        <v>379</v>
      </c>
      <c r="E23" s="53">
        <v>106</v>
      </c>
      <c r="F23" s="56"/>
      <c r="G23" s="55">
        <f t="shared" si="5"/>
        <v>106</v>
      </c>
      <c r="H23" s="184"/>
      <c r="I23" s="181"/>
      <c r="J23" s="53">
        <f t="shared" si="6"/>
        <v>106</v>
      </c>
      <c r="K23" s="29">
        <f t="shared" si="7"/>
        <v>0</v>
      </c>
      <c r="L23" s="55">
        <f t="shared" si="8"/>
        <v>106</v>
      </c>
      <c r="M23" s="53">
        <v>96.286000000000001</v>
      </c>
      <c r="N23" s="56"/>
      <c r="O23" s="55">
        <f t="shared" si="9"/>
        <v>96.286000000000001</v>
      </c>
      <c r="P23" s="55">
        <f t="shared" si="2"/>
        <v>90.835849056603777</v>
      </c>
      <c r="Q23" s="389">
        <f t="shared" si="11"/>
        <v>9.7139999999999986</v>
      </c>
      <c r="R23" s="56">
        <v>63</v>
      </c>
      <c r="S23" s="359">
        <f t="shared" si="12"/>
        <v>0.59433962264150941</v>
      </c>
      <c r="T23" s="413"/>
      <c r="U23" s="438" t="s">
        <v>211</v>
      </c>
      <c r="V23" s="288" t="s">
        <v>71</v>
      </c>
      <c r="W23" s="132"/>
    </row>
    <row r="24" spans="1:23" x14ac:dyDescent="0.2">
      <c r="A24" s="80">
        <v>31</v>
      </c>
      <c r="B24" s="26">
        <v>3100</v>
      </c>
      <c r="C24" s="26"/>
      <c r="D24" s="417" t="s">
        <v>72</v>
      </c>
      <c r="E24" s="47">
        <f t="shared" ref="E24:L24" si="13">SUM(E25:E35)</f>
        <v>13019</v>
      </c>
      <c r="F24" s="14">
        <f t="shared" si="13"/>
        <v>0</v>
      </c>
      <c r="G24" s="48">
        <f t="shared" si="13"/>
        <v>13019</v>
      </c>
      <c r="H24" s="182">
        <f t="shared" si="13"/>
        <v>117.1</v>
      </c>
      <c r="I24" s="183">
        <f t="shared" si="13"/>
        <v>0</v>
      </c>
      <c r="J24" s="47">
        <f t="shared" si="13"/>
        <v>13136.1</v>
      </c>
      <c r="K24" s="14">
        <f t="shared" si="13"/>
        <v>0</v>
      </c>
      <c r="L24" s="48">
        <f t="shared" si="13"/>
        <v>13136.1</v>
      </c>
      <c r="M24" s="47">
        <f>SUM(M25:M35)</f>
        <v>11087.84662</v>
      </c>
      <c r="N24" s="14">
        <f>SUM(N25:N35)</f>
        <v>0</v>
      </c>
      <c r="O24" s="48">
        <f>SUM(O25:O35)</f>
        <v>11087.84662</v>
      </c>
      <c r="P24" s="52">
        <f t="shared" si="2"/>
        <v>84.407446806890931</v>
      </c>
      <c r="Q24" s="390">
        <f>SUM(Q25:Q35)</f>
        <v>2048.2533800000001</v>
      </c>
      <c r="R24" s="14">
        <f>SUM(R25:R35)</f>
        <v>12630</v>
      </c>
      <c r="S24" s="360">
        <f t="shared" si="12"/>
        <v>0.97012059297949149</v>
      </c>
      <c r="T24" s="48"/>
      <c r="U24" s="301"/>
      <c r="V24" s="67"/>
      <c r="W24" s="313"/>
    </row>
    <row r="25" spans="1:23" ht="12" customHeight="1" x14ac:dyDescent="0.2">
      <c r="A25" s="126"/>
      <c r="B25" s="23">
        <v>3111</v>
      </c>
      <c r="C25" s="23">
        <v>301</v>
      </c>
      <c r="D25" s="193" t="s">
        <v>223</v>
      </c>
      <c r="E25" s="39">
        <f>1435-9</f>
        <v>1426</v>
      </c>
      <c r="F25" s="13"/>
      <c r="G25" s="49">
        <f t="shared" ref="G25:G35" si="14">E25+F25</f>
        <v>1426</v>
      </c>
      <c r="H25" s="173">
        <v>15</v>
      </c>
      <c r="I25" s="174"/>
      <c r="J25" s="39">
        <f t="shared" ref="J25:J35" si="15">E25+H25</f>
        <v>1441</v>
      </c>
      <c r="K25" s="23"/>
      <c r="L25" s="49">
        <f t="shared" ref="L25:L35" si="16">SUM(J25:K25)</f>
        <v>1441</v>
      </c>
      <c r="M25" s="39">
        <v>1441</v>
      </c>
      <c r="N25" s="13"/>
      <c r="O25" s="49">
        <f t="shared" ref="O25:O35" si="17">M25+N25</f>
        <v>1441</v>
      </c>
      <c r="P25" s="49">
        <f t="shared" si="2"/>
        <v>100</v>
      </c>
      <c r="Q25" s="389">
        <f t="shared" ref="Q25:Q35" si="18">L25-O25</f>
        <v>0</v>
      </c>
      <c r="R25" s="13">
        <v>1460</v>
      </c>
      <c r="S25" s="357">
        <f t="shared" si="12"/>
        <v>1.0238429172510519</v>
      </c>
      <c r="T25" s="49"/>
      <c r="U25" s="299" t="s">
        <v>212</v>
      </c>
      <c r="V25" s="283" t="s">
        <v>71</v>
      </c>
      <c r="W25" s="132"/>
    </row>
    <row r="26" spans="1:23" ht="12" customHeight="1" x14ac:dyDescent="0.2">
      <c r="A26" s="126"/>
      <c r="B26" s="23">
        <v>3111</v>
      </c>
      <c r="C26" s="23">
        <v>301</v>
      </c>
      <c r="D26" s="193" t="s">
        <v>265</v>
      </c>
      <c r="E26" s="39">
        <v>223</v>
      </c>
      <c r="F26" s="13"/>
      <c r="G26" s="49">
        <f t="shared" si="14"/>
        <v>223</v>
      </c>
      <c r="H26" s="173"/>
      <c r="I26" s="174"/>
      <c r="J26" s="39">
        <f t="shared" si="15"/>
        <v>223</v>
      </c>
      <c r="K26" s="23"/>
      <c r="L26" s="49">
        <f t="shared" si="16"/>
        <v>223</v>
      </c>
      <c r="M26" s="39">
        <v>222.58099999999999</v>
      </c>
      <c r="N26" s="13"/>
      <c r="O26" s="49">
        <f t="shared" si="17"/>
        <v>222.58099999999999</v>
      </c>
      <c r="P26" s="49">
        <f t="shared" si="2"/>
        <v>99.812107623318383</v>
      </c>
      <c r="Q26" s="389">
        <f t="shared" si="18"/>
        <v>0.41900000000001114</v>
      </c>
      <c r="R26" s="13">
        <v>223</v>
      </c>
      <c r="S26" s="357">
        <f t="shared" si="12"/>
        <v>1</v>
      </c>
      <c r="T26" s="49"/>
      <c r="U26" s="299" t="s">
        <v>212</v>
      </c>
      <c r="V26" s="283" t="s">
        <v>71</v>
      </c>
      <c r="W26" s="132"/>
    </row>
    <row r="27" spans="1:23" x14ac:dyDescent="0.2">
      <c r="A27" s="126"/>
      <c r="B27" s="23">
        <v>3113</v>
      </c>
      <c r="C27" s="23">
        <v>300</v>
      </c>
      <c r="D27" s="193" t="s">
        <v>215</v>
      </c>
      <c r="E27" s="39">
        <f>2000+1900+1900</f>
        <v>5800</v>
      </c>
      <c r="F27" s="13"/>
      <c r="G27" s="49">
        <f t="shared" si="14"/>
        <v>5800</v>
      </c>
      <c r="H27" s="173"/>
      <c r="I27" s="174"/>
      <c r="J27" s="39">
        <f t="shared" si="15"/>
        <v>5800</v>
      </c>
      <c r="K27" s="13"/>
      <c r="L27" s="49">
        <f t="shared" si="16"/>
        <v>5800</v>
      </c>
      <c r="M27" s="39">
        <v>3974.6219999999998</v>
      </c>
      <c r="N27" s="13"/>
      <c r="O27" s="49">
        <f t="shared" si="17"/>
        <v>3974.6219999999998</v>
      </c>
      <c r="P27" s="49">
        <f t="shared" si="2"/>
        <v>68.52796551724137</v>
      </c>
      <c r="Q27" s="389">
        <f t="shared" si="18"/>
        <v>1825.3780000000002</v>
      </c>
      <c r="R27" s="13">
        <v>5500</v>
      </c>
      <c r="S27" s="357">
        <f t="shared" si="12"/>
        <v>0.94827586206896552</v>
      </c>
      <c r="T27" s="49"/>
      <c r="U27" s="300" t="s">
        <v>166</v>
      </c>
      <c r="V27" s="285" t="s">
        <v>121</v>
      </c>
      <c r="W27" s="132"/>
    </row>
    <row r="28" spans="1:23" ht="12.75" customHeight="1" x14ac:dyDescent="0.2">
      <c r="A28" s="126"/>
      <c r="B28" s="23">
        <v>3113</v>
      </c>
      <c r="C28" s="23">
        <v>303</v>
      </c>
      <c r="D28" s="193" t="s">
        <v>224</v>
      </c>
      <c r="E28" s="39">
        <v>1492</v>
      </c>
      <c r="F28" s="13"/>
      <c r="G28" s="49">
        <f t="shared" si="14"/>
        <v>1492</v>
      </c>
      <c r="H28" s="179"/>
      <c r="I28" s="174"/>
      <c r="J28" s="39">
        <f t="shared" si="15"/>
        <v>1492</v>
      </c>
      <c r="K28" s="13"/>
      <c r="L28" s="49">
        <f t="shared" si="16"/>
        <v>1492</v>
      </c>
      <c r="M28" s="39">
        <v>1492</v>
      </c>
      <c r="N28" s="13"/>
      <c r="O28" s="49">
        <f t="shared" si="17"/>
        <v>1492</v>
      </c>
      <c r="P28" s="49">
        <f t="shared" si="2"/>
        <v>100</v>
      </c>
      <c r="Q28" s="389">
        <f t="shared" si="18"/>
        <v>0</v>
      </c>
      <c r="R28" s="13">
        <v>1514</v>
      </c>
      <c r="S28" s="357">
        <f t="shared" si="12"/>
        <v>1.0147453083109919</v>
      </c>
      <c r="T28" s="49"/>
      <c r="U28" s="299" t="s">
        <v>212</v>
      </c>
      <c r="V28" s="283" t="s">
        <v>71</v>
      </c>
      <c r="W28" s="132"/>
    </row>
    <row r="29" spans="1:23" x14ac:dyDescent="0.2">
      <c r="A29" s="126"/>
      <c r="B29" s="23">
        <v>3113</v>
      </c>
      <c r="C29" s="23">
        <v>303.30399999999997</v>
      </c>
      <c r="D29" s="193" t="s">
        <v>266</v>
      </c>
      <c r="E29" s="39">
        <f>338+363</f>
        <v>701</v>
      </c>
      <c r="F29" s="13"/>
      <c r="G29" s="49">
        <f t="shared" si="14"/>
        <v>701</v>
      </c>
      <c r="H29" s="173"/>
      <c r="I29" s="174"/>
      <c r="J29" s="39">
        <f t="shared" si="15"/>
        <v>701</v>
      </c>
      <c r="K29" s="23"/>
      <c r="L29" s="49">
        <f t="shared" si="16"/>
        <v>701</v>
      </c>
      <c r="M29" s="39">
        <f>338.422+362.754</f>
        <v>701.17600000000004</v>
      </c>
      <c r="N29" s="13"/>
      <c r="O29" s="49">
        <f t="shared" si="17"/>
        <v>701.17600000000004</v>
      </c>
      <c r="P29" s="49">
        <f t="shared" si="2"/>
        <v>100.02510699001428</v>
      </c>
      <c r="Q29" s="389">
        <f t="shared" si="18"/>
        <v>-0.17600000000004457</v>
      </c>
      <c r="R29" s="13">
        <v>701</v>
      </c>
      <c r="S29" s="357">
        <f t="shared" si="12"/>
        <v>1</v>
      </c>
      <c r="T29" s="49"/>
      <c r="U29" s="299" t="s">
        <v>212</v>
      </c>
      <c r="V29" s="283" t="s">
        <v>71</v>
      </c>
      <c r="W29" s="132"/>
    </row>
    <row r="30" spans="1:23" x14ac:dyDescent="0.2">
      <c r="A30" s="126"/>
      <c r="B30" s="23">
        <v>3113</v>
      </c>
      <c r="C30" s="23">
        <v>304</v>
      </c>
      <c r="D30" s="193" t="s">
        <v>225</v>
      </c>
      <c r="E30" s="39">
        <v>1444</v>
      </c>
      <c r="F30" s="13"/>
      <c r="G30" s="49">
        <f t="shared" si="14"/>
        <v>1444</v>
      </c>
      <c r="H30" s="173"/>
      <c r="I30" s="174"/>
      <c r="J30" s="39">
        <f t="shared" si="15"/>
        <v>1444</v>
      </c>
      <c r="K30" s="23"/>
      <c r="L30" s="49">
        <f t="shared" si="16"/>
        <v>1444</v>
      </c>
      <c r="M30" s="39">
        <v>1444</v>
      </c>
      <c r="N30" s="13"/>
      <c r="O30" s="49">
        <f t="shared" si="17"/>
        <v>1444</v>
      </c>
      <c r="P30" s="49">
        <f t="shared" si="2"/>
        <v>100</v>
      </c>
      <c r="Q30" s="389">
        <f t="shared" si="18"/>
        <v>0</v>
      </c>
      <c r="R30" s="13">
        <v>1335</v>
      </c>
      <c r="S30" s="357">
        <f t="shared" si="12"/>
        <v>0.92451523545706371</v>
      </c>
      <c r="T30" s="49"/>
      <c r="U30" s="299" t="s">
        <v>212</v>
      </c>
      <c r="V30" s="283" t="s">
        <v>71</v>
      </c>
      <c r="W30" s="132"/>
    </row>
    <row r="31" spans="1:23" x14ac:dyDescent="0.2">
      <c r="A31" s="126"/>
      <c r="B31" s="23">
        <v>3114</v>
      </c>
      <c r="C31" s="23">
        <v>311</v>
      </c>
      <c r="D31" s="193" t="s">
        <v>257</v>
      </c>
      <c r="E31" s="39">
        <v>69</v>
      </c>
      <c r="F31" s="13"/>
      <c r="G31" s="49">
        <f t="shared" si="14"/>
        <v>69</v>
      </c>
      <c r="H31" s="173">
        <f>65+37.1</f>
        <v>102.1</v>
      </c>
      <c r="I31" s="174"/>
      <c r="J31" s="39">
        <f t="shared" si="15"/>
        <v>171.1</v>
      </c>
      <c r="K31" s="23"/>
      <c r="L31" s="49">
        <f t="shared" si="16"/>
        <v>171.1</v>
      </c>
      <c r="M31" s="39">
        <f>69+102.1</f>
        <v>171.1</v>
      </c>
      <c r="N31" s="13"/>
      <c r="O31" s="49">
        <f t="shared" si="17"/>
        <v>171.1</v>
      </c>
      <c r="P31" s="49">
        <f t="shared" si="2"/>
        <v>100</v>
      </c>
      <c r="Q31" s="389">
        <f t="shared" si="18"/>
        <v>0</v>
      </c>
      <c r="R31" s="13">
        <v>69</v>
      </c>
      <c r="S31" s="357">
        <f t="shared" si="12"/>
        <v>1</v>
      </c>
      <c r="T31" s="49"/>
      <c r="U31" s="299" t="s">
        <v>212</v>
      </c>
      <c r="V31" s="283" t="s">
        <v>71</v>
      </c>
      <c r="W31" s="132"/>
    </row>
    <row r="32" spans="1:23" x14ac:dyDescent="0.2">
      <c r="A32" s="126"/>
      <c r="B32" s="23">
        <v>3119</v>
      </c>
      <c r="C32" s="23">
        <v>1112</v>
      </c>
      <c r="D32" s="193" t="s">
        <v>279</v>
      </c>
      <c r="E32" s="39">
        <v>100</v>
      </c>
      <c r="F32" s="13"/>
      <c r="G32" s="49">
        <f t="shared" si="14"/>
        <v>100</v>
      </c>
      <c r="H32" s="173"/>
      <c r="I32" s="174"/>
      <c r="J32" s="39">
        <f t="shared" si="15"/>
        <v>100</v>
      </c>
      <c r="K32" s="23"/>
      <c r="L32" s="49">
        <f>SUM(J32:K32)</f>
        <v>100</v>
      </c>
      <c r="M32" s="39">
        <v>100</v>
      </c>
      <c r="N32" s="13"/>
      <c r="O32" s="49">
        <f t="shared" si="17"/>
        <v>100</v>
      </c>
      <c r="P32" s="49">
        <f t="shared" si="2"/>
        <v>100</v>
      </c>
      <c r="Q32" s="389">
        <f t="shared" si="18"/>
        <v>0</v>
      </c>
      <c r="R32" s="13">
        <v>140</v>
      </c>
      <c r="S32" s="357">
        <f t="shared" si="12"/>
        <v>1.4</v>
      </c>
      <c r="T32" s="49" t="s">
        <v>332</v>
      </c>
      <c r="U32" s="299" t="s">
        <v>212</v>
      </c>
      <c r="V32" s="283" t="s">
        <v>71</v>
      </c>
    </row>
    <row r="33" spans="1:199" x14ac:dyDescent="0.2">
      <c r="A33" s="126"/>
      <c r="B33" s="23">
        <v>3141</v>
      </c>
      <c r="C33" s="23">
        <v>309</v>
      </c>
      <c r="D33" s="193" t="s">
        <v>288</v>
      </c>
      <c r="E33" s="39">
        <v>1556</v>
      </c>
      <c r="F33" s="13"/>
      <c r="G33" s="49">
        <f t="shared" si="14"/>
        <v>1556</v>
      </c>
      <c r="H33" s="173"/>
      <c r="I33" s="174"/>
      <c r="J33" s="39">
        <f t="shared" si="15"/>
        <v>1556</v>
      </c>
      <c r="K33" s="23">
        <f>F33+I33</f>
        <v>0</v>
      </c>
      <c r="L33" s="49">
        <f t="shared" si="16"/>
        <v>1556</v>
      </c>
      <c r="M33" s="39">
        <v>1332.88562</v>
      </c>
      <c r="N33" s="13"/>
      <c r="O33" s="49">
        <f t="shared" si="17"/>
        <v>1332.88562</v>
      </c>
      <c r="P33" s="49">
        <f t="shared" si="2"/>
        <v>85.661029562982009</v>
      </c>
      <c r="Q33" s="389">
        <f t="shared" si="18"/>
        <v>223.11437999999998</v>
      </c>
      <c r="R33" s="13">
        <v>1480</v>
      </c>
      <c r="S33" s="357">
        <f t="shared" si="12"/>
        <v>0.95115681233933158</v>
      </c>
      <c r="T33" s="49"/>
      <c r="U33" s="299" t="s">
        <v>212</v>
      </c>
      <c r="V33" s="289" t="s">
        <v>337</v>
      </c>
      <c r="W33" s="17"/>
    </row>
    <row r="34" spans="1:199" x14ac:dyDescent="0.2">
      <c r="A34" s="126"/>
      <c r="B34" s="23">
        <v>3231</v>
      </c>
      <c r="C34" s="23">
        <v>310</v>
      </c>
      <c r="D34" s="193" t="s">
        <v>73</v>
      </c>
      <c r="E34" s="39">
        <v>206</v>
      </c>
      <c r="F34" s="13"/>
      <c r="G34" s="49">
        <f t="shared" si="14"/>
        <v>206</v>
      </c>
      <c r="H34" s="173"/>
      <c r="I34" s="174"/>
      <c r="J34" s="39">
        <f t="shared" si="15"/>
        <v>206</v>
      </c>
      <c r="K34" s="23"/>
      <c r="L34" s="49">
        <f t="shared" si="16"/>
        <v>206</v>
      </c>
      <c r="M34" s="39">
        <v>206</v>
      </c>
      <c r="N34" s="13"/>
      <c r="O34" s="49">
        <f t="shared" si="17"/>
        <v>206</v>
      </c>
      <c r="P34" s="49">
        <f t="shared" si="2"/>
        <v>100</v>
      </c>
      <c r="Q34" s="389">
        <f t="shared" si="18"/>
        <v>0</v>
      </c>
      <c r="R34" s="13">
        <v>206</v>
      </c>
      <c r="S34" s="357">
        <f t="shared" si="12"/>
        <v>1</v>
      </c>
      <c r="T34" s="49"/>
      <c r="U34" s="299" t="s">
        <v>212</v>
      </c>
      <c r="V34" s="283" t="s">
        <v>71</v>
      </c>
      <c r="W34" s="132"/>
    </row>
    <row r="35" spans="1:199" x14ac:dyDescent="0.2">
      <c r="A35" s="128"/>
      <c r="B35" s="29">
        <v>3231</v>
      </c>
      <c r="C35" s="29">
        <v>310</v>
      </c>
      <c r="D35" s="426" t="s">
        <v>267</v>
      </c>
      <c r="E35" s="53">
        <v>2</v>
      </c>
      <c r="F35" s="56"/>
      <c r="G35" s="55">
        <f t="shared" si="14"/>
        <v>2</v>
      </c>
      <c r="H35" s="184"/>
      <c r="I35" s="181"/>
      <c r="J35" s="53">
        <f t="shared" si="15"/>
        <v>2</v>
      </c>
      <c r="K35" s="29"/>
      <c r="L35" s="55">
        <f t="shared" si="16"/>
        <v>2</v>
      </c>
      <c r="M35" s="53">
        <v>2.4820000000000002</v>
      </c>
      <c r="N35" s="56"/>
      <c r="O35" s="55">
        <f t="shared" si="17"/>
        <v>2.4820000000000002</v>
      </c>
      <c r="P35" s="55">
        <f t="shared" si="2"/>
        <v>124.10000000000001</v>
      </c>
      <c r="Q35" s="389">
        <f t="shared" si="18"/>
        <v>-0.48200000000000021</v>
      </c>
      <c r="R35" s="56">
        <v>2</v>
      </c>
      <c r="S35" s="359">
        <f t="shared" si="12"/>
        <v>1</v>
      </c>
      <c r="T35" s="55"/>
      <c r="U35" s="438" t="s">
        <v>212</v>
      </c>
      <c r="V35" s="288" t="s">
        <v>71</v>
      </c>
      <c r="W35" s="132"/>
    </row>
    <row r="36" spans="1:199" x14ac:dyDescent="0.2">
      <c r="A36" s="80">
        <v>33</v>
      </c>
      <c r="B36" s="26">
        <v>3300</v>
      </c>
      <c r="C36" s="26"/>
      <c r="D36" s="417" t="s">
        <v>74</v>
      </c>
      <c r="E36" s="47">
        <f t="shared" ref="E36:O36" si="19">SUM(E37:E44)</f>
        <v>7685</v>
      </c>
      <c r="F36" s="14">
        <f t="shared" si="19"/>
        <v>0</v>
      </c>
      <c r="G36" s="48">
        <f t="shared" si="19"/>
        <v>7685</v>
      </c>
      <c r="H36" s="182">
        <f t="shared" si="19"/>
        <v>468.10372000000001</v>
      </c>
      <c r="I36" s="183">
        <f t="shared" si="19"/>
        <v>0</v>
      </c>
      <c r="J36" s="47">
        <f t="shared" si="19"/>
        <v>8153.1037200000001</v>
      </c>
      <c r="K36" s="14">
        <f t="shared" si="19"/>
        <v>0</v>
      </c>
      <c r="L36" s="48">
        <f t="shared" si="19"/>
        <v>8153.1037200000001</v>
      </c>
      <c r="M36" s="47">
        <f t="shared" si="19"/>
        <v>7558.5686999999998</v>
      </c>
      <c r="N36" s="14">
        <f t="shared" si="19"/>
        <v>0</v>
      </c>
      <c r="O36" s="48">
        <f t="shared" si="19"/>
        <v>7558.5686999999998</v>
      </c>
      <c r="P36" s="48">
        <f t="shared" si="2"/>
        <v>92.70786880164944</v>
      </c>
      <c r="Q36" s="390">
        <f>SUM(Q37:Q44)</f>
        <v>594.53502000000003</v>
      </c>
      <c r="R36" s="14" t="e">
        <f>SUM(R37:R44)</f>
        <v>#REF!</v>
      </c>
      <c r="S36" s="360" t="e">
        <f t="shared" si="12"/>
        <v>#REF!</v>
      </c>
      <c r="T36" s="48"/>
      <c r="U36" s="301"/>
      <c r="V36" s="67"/>
      <c r="W36" s="313"/>
    </row>
    <row r="37" spans="1:199" x14ac:dyDescent="0.2">
      <c r="A37" s="126"/>
      <c r="B37" s="23">
        <v>3314</v>
      </c>
      <c r="C37" s="23">
        <v>504</v>
      </c>
      <c r="D37" s="193" t="s">
        <v>120</v>
      </c>
      <c r="E37" s="39">
        <f>243-5+930</f>
        <v>1168</v>
      </c>
      <c r="F37" s="13"/>
      <c r="G37" s="49">
        <f t="shared" ref="G37:G44" si="20">E37+F37</f>
        <v>1168</v>
      </c>
      <c r="H37" s="173"/>
      <c r="I37" s="174"/>
      <c r="J37" s="39">
        <f t="shared" ref="J37:J44" si="21">E37+H37</f>
        <v>1168</v>
      </c>
      <c r="K37" s="13"/>
      <c r="L37" s="49">
        <f t="shared" ref="L37:L44" si="22">SUM(J37:K37)</f>
        <v>1168</v>
      </c>
      <c r="M37" s="39">
        <v>1124.62015</v>
      </c>
      <c r="N37" s="13"/>
      <c r="O37" s="49">
        <f t="shared" ref="O37:O44" si="23">M37+N37</f>
        <v>1124.62015</v>
      </c>
      <c r="P37" s="49">
        <f t="shared" si="2"/>
        <v>96.285971746575342</v>
      </c>
      <c r="Q37" s="389">
        <f t="shared" ref="Q37:Q44" si="24">L37-O37</f>
        <v>43.379850000000033</v>
      </c>
      <c r="R37" s="13" t="e">
        <f>#REF!</f>
        <v>#REF!</v>
      </c>
      <c r="S37" s="357" t="e">
        <f t="shared" si="12"/>
        <v>#REF!</v>
      </c>
      <c r="T37" s="49"/>
      <c r="U37" s="54" t="s">
        <v>294</v>
      </c>
      <c r="V37" s="49" t="s">
        <v>132</v>
      </c>
      <c r="W37" s="132"/>
    </row>
    <row r="38" spans="1:199" x14ac:dyDescent="0.2">
      <c r="A38" s="126"/>
      <c r="B38" s="23">
        <v>3315</v>
      </c>
      <c r="C38" s="23">
        <v>505</v>
      </c>
      <c r="D38" s="193" t="s">
        <v>278</v>
      </c>
      <c r="E38" s="39">
        <v>1200</v>
      </c>
      <c r="F38" s="13"/>
      <c r="G38" s="49">
        <f t="shared" si="20"/>
        <v>1200</v>
      </c>
      <c r="H38" s="173"/>
      <c r="I38" s="174"/>
      <c r="J38" s="39">
        <f t="shared" si="21"/>
        <v>1200</v>
      </c>
      <c r="K38" s="13"/>
      <c r="L38" s="49">
        <f t="shared" si="22"/>
        <v>1200</v>
      </c>
      <c r="M38" s="39">
        <v>800</v>
      </c>
      <c r="N38" s="13"/>
      <c r="O38" s="49">
        <f t="shared" si="23"/>
        <v>800</v>
      </c>
      <c r="P38" s="49">
        <f t="shared" si="2"/>
        <v>66.666666666666657</v>
      </c>
      <c r="Q38" s="389">
        <f t="shared" si="24"/>
        <v>400</v>
      </c>
      <c r="R38" s="13">
        <v>1200</v>
      </c>
      <c r="S38" s="357">
        <f t="shared" si="12"/>
        <v>1</v>
      </c>
      <c r="T38" s="49"/>
      <c r="U38" s="299" t="s">
        <v>212</v>
      </c>
      <c r="V38" s="283" t="s">
        <v>71</v>
      </c>
      <c r="W38" s="132"/>
    </row>
    <row r="39" spans="1:199" ht="12.75" customHeight="1" x14ac:dyDescent="0.2">
      <c r="A39" s="126"/>
      <c r="B39" s="23">
        <v>3322.3326000000002</v>
      </c>
      <c r="C39" s="23" t="s">
        <v>272</v>
      </c>
      <c r="D39" s="193" t="s">
        <v>148</v>
      </c>
      <c r="E39" s="39">
        <v>1508</v>
      </c>
      <c r="F39" s="13"/>
      <c r="G39" s="49">
        <f t="shared" si="20"/>
        <v>1508</v>
      </c>
      <c r="H39" s="173">
        <v>460</v>
      </c>
      <c r="I39" s="174"/>
      <c r="J39" s="39">
        <f t="shared" si="21"/>
        <v>1968</v>
      </c>
      <c r="K39" s="13"/>
      <c r="L39" s="49">
        <f t="shared" si="22"/>
        <v>1968</v>
      </c>
      <c r="M39" s="39">
        <v>1885.1678300000001</v>
      </c>
      <c r="N39" s="13"/>
      <c r="O39" s="49">
        <f t="shared" si="23"/>
        <v>1885.1678300000001</v>
      </c>
      <c r="P39" s="49">
        <f t="shared" si="2"/>
        <v>95.791048272357727</v>
      </c>
      <c r="Q39" s="389">
        <f t="shared" si="24"/>
        <v>82.832169999999905</v>
      </c>
      <c r="R39" s="13">
        <v>1508</v>
      </c>
      <c r="S39" s="357">
        <f t="shared" si="12"/>
        <v>1</v>
      </c>
      <c r="T39" s="49"/>
      <c r="U39" s="302" t="s">
        <v>291</v>
      </c>
      <c r="V39" s="285" t="s">
        <v>121</v>
      </c>
      <c r="W39" s="132"/>
    </row>
    <row r="40" spans="1:199" x14ac:dyDescent="0.2">
      <c r="A40" s="126"/>
      <c r="B40" s="23">
        <v>3326</v>
      </c>
      <c r="C40" s="23">
        <v>103</v>
      </c>
      <c r="D40" s="193" t="s">
        <v>252</v>
      </c>
      <c r="E40" s="39">
        <v>100</v>
      </c>
      <c r="F40" s="13"/>
      <c r="G40" s="49">
        <f t="shared" si="20"/>
        <v>100</v>
      </c>
      <c r="H40" s="173"/>
      <c r="I40" s="174"/>
      <c r="J40" s="39">
        <f t="shared" si="21"/>
        <v>100</v>
      </c>
      <c r="K40" s="13"/>
      <c r="L40" s="49">
        <f t="shared" si="22"/>
        <v>100</v>
      </c>
      <c r="M40" s="39">
        <v>58.280999999999999</v>
      </c>
      <c r="N40" s="13"/>
      <c r="O40" s="49">
        <f t="shared" si="23"/>
        <v>58.280999999999999</v>
      </c>
      <c r="P40" s="49">
        <f t="shared" si="2"/>
        <v>58.280999999999992</v>
      </c>
      <c r="Q40" s="389">
        <f t="shared" si="24"/>
        <v>41.719000000000001</v>
      </c>
      <c r="R40" s="13">
        <v>100</v>
      </c>
      <c r="S40" s="357">
        <f t="shared" si="12"/>
        <v>1</v>
      </c>
      <c r="T40" s="49"/>
      <c r="U40" s="302" t="s">
        <v>291</v>
      </c>
      <c r="V40" s="285" t="s">
        <v>121</v>
      </c>
      <c r="W40" s="132"/>
    </row>
    <row r="41" spans="1:199" x14ac:dyDescent="0.2">
      <c r="A41" s="126"/>
      <c r="B41" s="23">
        <v>3349</v>
      </c>
      <c r="C41" s="23">
        <v>42</v>
      </c>
      <c r="D41" s="193" t="s">
        <v>75</v>
      </c>
      <c r="E41" s="39">
        <f>270+26</f>
        <v>296</v>
      </c>
      <c r="F41" s="13"/>
      <c r="G41" s="49">
        <f t="shared" si="20"/>
        <v>296</v>
      </c>
      <c r="H41" s="173"/>
      <c r="I41" s="174"/>
      <c r="J41" s="39">
        <f t="shared" si="21"/>
        <v>296</v>
      </c>
      <c r="K41" s="13"/>
      <c r="L41" s="49">
        <f t="shared" si="22"/>
        <v>296</v>
      </c>
      <c r="M41" s="39">
        <v>290.52199999999999</v>
      </c>
      <c r="N41" s="13"/>
      <c r="O41" s="49">
        <f t="shared" si="23"/>
        <v>290.52199999999999</v>
      </c>
      <c r="P41" s="49">
        <f t="shared" si="2"/>
        <v>98.149324324324311</v>
      </c>
      <c r="Q41" s="389">
        <f t="shared" si="24"/>
        <v>5.4780000000000086</v>
      </c>
      <c r="R41" s="13">
        <v>396</v>
      </c>
      <c r="S41" s="357">
        <f t="shared" si="12"/>
        <v>1.3378378378378379</v>
      </c>
      <c r="T41" s="49"/>
      <c r="U41" s="419" t="s">
        <v>164</v>
      </c>
      <c r="V41" s="418" t="s">
        <v>222</v>
      </c>
      <c r="W41" s="132"/>
      <c r="GQ41" s="102">
        <f>SUM(M41:GP41)</f>
        <v>1082.0091621621623</v>
      </c>
    </row>
    <row r="42" spans="1:199" x14ac:dyDescent="0.2">
      <c r="A42" s="126"/>
      <c r="B42" s="23">
        <v>3392</v>
      </c>
      <c r="C42" s="23">
        <v>312</v>
      </c>
      <c r="D42" s="193" t="s">
        <v>276</v>
      </c>
      <c r="E42" s="39">
        <v>2665</v>
      </c>
      <c r="F42" s="13"/>
      <c r="G42" s="49">
        <f t="shared" si="20"/>
        <v>2665</v>
      </c>
      <c r="H42" s="179">
        <f>8.10372</f>
        <v>8.1037199999999991</v>
      </c>
      <c r="I42" s="174"/>
      <c r="J42" s="39">
        <f t="shared" si="21"/>
        <v>2673.1037200000001</v>
      </c>
      <c r="K42" s="13"/>
      <c r="L42" s="49">
        <f t="shared" si="22"/>
        <v>2673.1037200000001</v>
      </c>
      <c r="M42" s="39">
        <f>2665+8.10372</f>
        <v>2673.1037200000001</v>
      </c>
      <c r="N42" s="13"/>
      <c r="O42" s="49">
        <f t="shared" si="23"/>
        <v>2673.1037200000001</v>
      </c>
      <c r="P42" s="49">
        <f t="shared" si="2"/>
        <v>100</v>
      </c>
      <c r="Q42" s="389">
        <f t="shared" si="24"/>
        <v>0</v>
      </c>
      <c r="R42" s="13">
        <v>3209</v>
      </c>
      <c r="S42" s="357">
        <f t="shared" si="12"/>
        <v>1.2041275797373359</v>
      </c>
      <c r="T42" s="49"/>
      <c r="U42" s="299" t="s">
        <v>212</v>
      </c>
      <c r="V42" s="283" t="s">
        <v>71</v>
      </c>
      <c r="W42" s="132"/>
    </row>
    <row r="43" spans="1:199" x14ac:dyDescent="0.2">
      <c r="A43" s="126"/>
      <c r="B43" s="23">
        <v>3392</v>
      </c>
      <c r="C43" s="23" t="s">
        <v>270</v>
      </c>
      <c r="D43" s="193" t="s">
        <v>268</v>
      </c>
      <c r="E43" s="39">
        <v>628</v>
      </c>
      <c r="F43" s="13"/>
      <c r="G43" s="49">
        <f t="shared" si="20"/>
        <v>628</v>
      </c>
      <c r="H43" s="175"/>
      <c r="I43" s="176"/>
      <c r="J43" s="39">
        <f t="shared" si="21"/>
        <v>628</v>
      </c>
      <c r="K43" s="13"/>
      <c r="L43" s="49">
        <f t="shared" si="22"/>
        <v>628</v>
      </c>
      <c r="M43" s="39">
        <v>627.88400000000001</v>
      </c>
      <c r="N43" s="13"/>
      <c r="O43" s="49">
        <f t="shared" si="23"/>
        <v>627.88400000000001</v>
      </c>
      <c r="P43" s="49">
        <f t="shared" si="2"/>
        <v>99.981528662420388</v>
      </c>
      <c r="Q43" s="389">
        <f t="shared" si="24"/>
        <v>0.11599999999998545</v>
      </c>
      <c r="R43" s="13">
        <v>655</v>
      </c>
      <c r="S43" s="357">
        <f t="shared" si="12"/>
        <v>1.0429936305732483</v>
      </c>
      <c r="T43" s="49"/>
      <c r="U43" s="299" t="s">
        <v>212</v>
      </c>
      <c r="V43" s="283" t="s">
        <v>71</v>
      </c>
      <c r="W43" s="132"/>
    </row>
    <row r="44" spans="1:199" x14ac:dyDescent="0.2">
      <c r="A44" s="126"/>
      <c r="B44" s="23">
        <v>3399</v>
      </c>
      <c r="C44" s="23">
        <v>313</v>
      </c>
      <c r="D44" s="193" t="s">
        <v>104</v>
      </c>
      <c r="E44" s="39">
        <v>120</v>
      </c>
      <c r="F44" s="13"/>
      <c r="G44" s="49">
        <f t="shared" si="20"/>
        <v>120</v>
      </c>
      <c r="H44" s="173"/>
      <c r="I44" s="174"/>
      <c r="J44" s="39">
        <f t="shared" si="21"/>
        <v>120</v>
      </c>
      <c r="K44" s="13"/>
      <c r="L44" s="49">
        <f t="shared" si="22"/>
        <v>120</v>
      </c>
      <c r="M44" s="39">
        <v>98.99</v>
      </c>
      <c r="N44" s="13"/>
      <c r="O44" s="49">
        <f t="shared" si="23"/>
        <v>98.99</v>
      </c>
      <c r="P44" s="49">
        <f t="shared" si="2"/>
        <v>82.49166666666666</v>
      </c>
      <c r="Q44" s="389">
        <f t="shared" si="24"/>
        <v>21.010000000000005</v>
      </c>
      <c r="R44" s="13">
        <v>120</v>
      </c>
      <c r="S44" s="357">
        <f t="shared" si="12"/>
        <v>1</v>
      </c>
      <c r="T44" s="49" t="s">
        <v>315</v>
      </c>
      <c r="U44" s="419" t="s">
        <v>292</v>
      </c>
      <c r="V44" s="431" t="s">
        <v>213</v>
      </c>
      <c r="W44" s="132"/>
    </row>
    <row r="45" spans="1:199" x14ac:dyDescent="0.2">
      <c r="A45" s="127">
        <v>34</v>
      </c>
      <c r="B45" s="18">
        <v>3400</v>
      </c>
      <c r="C45" s="18"/>
      <c r="D45" s="425" t="s">
        <v>76</v>
      </c>
      <c r="E45" s="50">
        <f t="shared" ref="E45:L45" si="25">SUM(E46:E53)</f>
        <v>6326</v>
      </c>
      <c r="F45" s="51">
        <f t="shared" si="25"/>
        <v>55457</v>
      </c>
      <c r="G45" s="52">
        <f t="shared" si="25"/>
        <v>61783</v>
      </c>
      <c r="H45" s="177">
        <f t="shared" si="25"/>
        <v>0</v>
      </c>
      <c r="I45" s="178">
        <f t="shared" si="25"/>
        <v>-10000</v>
      </c>
      <c r="J45" s="50">
        <f t="shared" si="25"/>
        <v>6326</v>
      </c>
      <c r="K45" s="51">
        <f t="shared" si="25"/>
        <v>45457</v>
      </c>
      <c r="L45" s="52">
        <f t="shared" si="25"/>
        <v>51783</v>
      </c>
      <c r="M45" s="50">
        <f>SUM(M46:M53)</f>
        <v>5992.9731999999995</v>
      </c>
      <c r="N45" s="51">
        <f>SUM(N46:N53)</f>
        <v>5043.3810000000003</v>
      </c>
      <c r="O45" s="52">
        <f>SUM(O46:O53)</f>
        <v>11036.3542</v>
      </c>
      <c r="P45" s="52">
        <f t="shared" si="2"/>
        <v>21.312697603460595</v>
      </c>
      <c r="Q45" s="390">
        <f>SUM(Q46:Q53)</f>
        <v>40746.645799999998</v>
      </c>
      <c r="R45" s="51">
        <f>SUM(R46:R53)</f>
        <v>90137</v>
      </c>
      <c r="S45" s="358">
        <f t="shared" si="12"/>
        <v>1.4589288315556059</v>
      </c>
      <c r="T45" s="52"/>
      <c r="U45" s="301"/>
      <c r="V45" s="67"/>
      <c r="W45" s="313"/>
    </row>
    <row r="46" spans="1:199" x14ac:dyDescent="0.2">
      <c r="A46" s="126"/>
      <c r="B46" s="23">
        <v>3412</v>
      </c>
      <c r="C46" s="23">
        <v>205</v>
      </c>
      <c r="D46" s="193" t="s">
        <v>226</v>
      </c>
      <c r="E46" s="39">
        <v>4280</v>
      </c>
      <c r="F46" s="13"/>
      <c r="G46" s="49">
        <f t="shared" ref="G46:G53" si="26">E46+F46</f>
        <v>4280</v>
      </c>
      <c r="H46" s="179"/>
      <c r="I46" s="174"/>
      <c r="J46" s="39">
        <f t="shared" ref="J46:K51" si="27">E46+H46</f>
        <v>4280</v>
      </c>
      <c r="K46" s="13">
        <f t="shared" si="27"/>
        <v>0</v>
      </c>
      <c r="L46" s="49">
        <f t="shared" ref="L46:L55" si="28">SUM(J46:K46)</f>
        <v>4280</v>
      </c>
      <c r="M46" s="39">
        <v>4280</v>
      </c>
      <c r="N46" s="13"/>
      <c r="O46" s="49">
        <f t="shared" ref="O46:O55" si="29">M46+N46</f>
        <v>4280</v>
      </c>
      <c r="P46" s="49">
        <f t="shared" si="2"/>
        <v>100</v>
      </c>
      <c r="Q46" s="389">
        <f t="shared" ref="Q46:Q53" si="30">L46-O46</f>
        <v>0</v>
      </c>
      <c r="R46" s="13">
        <v>4454</v>
      </c>
      <c r="S46" s="357">
        <f t="shared" si="12"/>
        <v>1.0406542056074766</v>
      </c>
      <c r="T46" s="49" t="s">
        <v>287</v>
      </c>
      <c r="U46" s="299" t="s">
        <v>212</v>
      </c>
      <c r="V46" s="283" t="s">
        <v>71</v>
      </c>
      <c r="W46" s="132"/>
    </row>
    <row r="47" spans="1:199" x14ac:dyDescent="0.2">
      <c r="A47" s="126"/>
      <c r="B47" s="23">
        <v>3412</v>
      </c>
      <c r="C47" s="23">
        <v>205</v>
      </c>
      <c r="D47" s="193" t="s">
        <v>295</v>
      </c>
      <c r="E47" s="39"/>
      <c r="F47" s="13">
        <v>1500</v>
      </c>
      <c r="G47" s="49">
        <f t="shared" si="26"/>
        <v>1500</v>
      </c>
      <c r="H47" s="173"/>
      <c r="I47" s="174"/>
      <c r="J47" s="39">
        <f t="shared" si="27"/>
        <v>0</v>
      </c>
      <c r="K47" s="13">
        <f t="shared" si="27"/>
        <v>1500</v>
      </c>
      <c r="L47" s="49">
        <f t="shared" si="28"/>
        <v>1500</v>
      </c>
      <c r="M47" s="39"/>
      <c r="N47" s="13">
        <v>846.48500000000001</v>
      </c>
      <c r="O47" s="49">
        <f t="shared" si="29"/>
        <v>846.48500000000001</v>
      </c>
      <c r="P47" s="49">
        <f t="shared" si="2"/>
        <v>56.432333333333332</v>
      </c>
      <c r="Q47" s="389">
        <f t="shared" si="30"/>
        <v>653.51499999999999</v>
      </c>
      <c r="R47" s="13">
        <v>25000</v>
      </c>
      <c r="S47" s="357">
        <f t="shared" si="12"/>
        <v>16.666666666666668</v>
      </c>
      <c r="T47" s="49"/>
      <c r="U47" s="299" t="s">
        <v>212</v>
      </c>
      <c r="V47" s="283" t="s">
        <v>71</v>
      </c>
      <c r="W47" s="132"/>
    </row>
    <row r="48" spans="1:199" x14ac:dyDescent="0.2">
      <c r="A48" s="126"/>
      <c r="B48" s="23">
        <v>3412</v>
      </c>
      <c r="C48" s="23">
        <v>205</v>
      </c>
      <c r="D48" s="193" t="s">
        <v>269</v>
      </c>
      <c r="E48" s="39">
        <v>601</v>
      </c>
      <c r="F48" s="13"/>
      <c r="G48" s="49">
        <f t="shared" si="26"/>
        <v>601</v>
      </c>
      <c r="H48" s="173"/>
      <c r="I48" s="174"/>
      <c r="J48" s="39">
        <f t="shared" si="27"/>
        <v>601</v>
      </c>
      <c r="K48" s="13">
        <f t="shared" si="27"/>
        <v>0</v>
      </c>
      <c r="L48" s="49">
        <f t="shared" si="28"/>
        <v>601</v>
      </c>
      <c r="M48" s="39">
        <v>606.32399999999996</v>
      </c>
      <c r="N48" s="13"/>
      <c r="O48" s="49">
        <f t="shared" si="29"/>
        <v>606.32399999999996</v>
      </c>
      <c r="P48" s="49">
        <f t="shared" si="2"/>
        <v>100.88585690515805</v>
      </c>
      <c r="Q48" s="389">
        <f t="shared" si="30"/>
        <v>-5.3239999999999554</v>
      </c>
      <c r="R48" s="13">
        <v>622</v>
      </c>
      <c r="S48" s="357">
        <f t="shared" si="12"/>
        <v>1.0349417637271214</v>
      </c>
      <c r="T48" s="49"/>
      <c r="U48" s="299" t="s">
        <v>212</v>
      </c>
      <c r="V48" s="283" t="s">
        <v>71</v>
      </c>
      <c r="W48" s="132"/>
    </row>
    <row r="49" spans="1:24" ht="13.5" customHeight="1" x14ac:dyDescent="0.2">
      <c r="A49" s="126"/>
      <c r="B49" s="23">
        <v>3412</v>
      </c>
      <c r="C49" s="23">
        <v>200</v>
      </c>
      <c r="D49" s="193" t="s">
        <v>367</v>
      </c>
      <c r="E49" s="39">
        <v>400</v>
      </c>
      <c r="F49" s="13">
        <f>1200+18000</f>
        <v>19200</v>
      </c>
      <c r="G49" s="49">
        <f t="shared" si="26"/>
        <v>19600</v>
      </c>
      <c r="H49" s="175"/>
      <c r="I49" s="174">
        <v>-1200</v>
      </c>
      <c r="J49" s="39">
        <f t="shared" si="27"/>
        <v>400</v>
      </c>
      <c r="K49" s="13">
        <f t="shared" si="27"/>
        <v>18000</v>
      </c>
      <c r="L49" s="49">
        <f t="shared" si="28"/>
        <v>18400</v>
      </c>
      <c r="M49" s="39">
        <v>137.83799999999999</v>
      </c>
      <c r="N49" s="13">
        <v>1868.6379999999999</v>
      </c>
      <c r="O49" s="49">
        <f t="shared" si="29"/>
        <v>2006.4759999999999</v>
      </c>
      <c r="P49" s="49">
        <f t="shared" si="2"/>
        <v>10.904760869565216</v>
      </c>
      <c r="Q49" s="389">
        <f t="shared" si="30"/>
        <v>16393.524000000001</v>
      </c>
      <c r="R49" s="448">
        <v>10000</v>
      </c>
      <c r="S49" s="357">
        <f t="shared" si="12"/>
        <v>0.51020408163265307</v>
      </c>
      <c r="T49" s="49"/>
      <c r="U49" s="300" t="s">
        <v>166</v>
      </c>
      <c r="V49" s="285" t="s">
        <v>121</v>
      </c>
      <c r="W49" s="433" t="s">
        <v>213</v>
      </c>
      <c r="X49" s="429" t="s">
        <v>121</v>
      </c>
    </row>
    <row r="50" spans="1:24" ht="13.5" customHeight="1" x14ac:dyDescent="0.2">
      <c r="A50" s="126"/>
      <c r="B50" s="23">
        <v>3412</v>
      </c>
      <c r="C50" s="23">
        <v>506</v>
      </c>
      <c r="D50" s="193" t="s">
        <v>386</v>
      </c>
      <c r="E50" s="39"/>
      <c r="F50" s="13"/>
      <c r="G50" s="49"/>
      <c r="H50" s="175"/>
      <c r="I50" s="174">
        <v>1200</v>
      </c>
      <c r="J50" s="39"/>
      <c r="K50" s="13">
        <f>F50+I50</f>
        <v>1200</v>
      </c>
      <c r="L50" s="49">
        <f>SUM(J50:K50)</f>
        <v>1200</v>
      </c>
      <c r="M50" s="39"/>
      <c r="N50" s="13">
        <v>1200</v>
      </c>
      <c r="O50" s="49">
        <f>M50+N50</f>
        <v>1200</v>
      </c>
      <c r="P50" s="49">
        <f>O50/$L50*100</f>
        <v>100</v>
      </c>
      <c r="Q50" s="389">
        <f t="shared" si="30"/>
        <v>0</v>
      </c>
      <c r="R50" s="448"/>
      <c r="S50" s="357"/>
      <c r="T50" s="49" t="s">
        <v>396</v>
      </c>
      <c r="U50" s="299" t="s">
        <v>212</v>
      </c>
      <c r="V50" s="283" t="s">
        <v>71</v>
      </c>
      <c r="W50" s="433"/>
      <c r="X50" s="429"/>
    </row>
    <row r="51" spans="1:24" ht="13.5" customHeight="1" x14ac:dyDescent="0.2">
      <c r="A51" s="126"/>
      <c r="B51" s="23">
        <v>3412</v>
      </c>
      <c r="C51" s="23">
        <v>216</v>
      </c>
      <c r="D51" s="193" t="s">
        <v>311</v>
      </c>
      <c r="E51" s="39"/>
      <c r="F51" s="13">
        <f>29757+5000</f>
        <v>34757</v>
      </c>
      <c r="G51" s="49">
        <f t="shared" si="26"/>
        <v>34757</v>
      </c>
      <c r="H51" s="175"/>
      <c r="I51" s="174">
        <v>-10000</v>
      </c>
      <c r="J51" s="39">
        <f t="shared" si="27"/>
        <v>0</v>
      </c>
      <c r="K51" s="13">
        <f t="shared" si="27"/>
        <v>24757</v>
      </c>
      <c r="L51" s="49">
        <f t="shared" si="28"/>
        <v>24757</v>
      </c>
      <c r="M51" s="39">
        <v>13.8332</v>
      </c>
      <c r="N51" s="13">
        <v>1128.258</v>
      </c>
      <c r="O51" s="49">
        <f t="shared" si="29"/>
        <v>1142.0912000000001</v>
      </c>
      <c r="P51" s="49">
        <f t="shared" si="2"/>
        <v>4.6132051540978312</v>
      </c>
      <c r="Q51" s="389">
        <f t="shared" si="30"/>
        <v>23614.908800000001</v>
      </c>
      <c r="R51" s="13">
        <v>49016</v>
      </c>
      <c r="S51" s="357">
        <f>R51/G51</f>
        <v>1.41024829530742</v>
      </c>
      <c r="T51" s="49"/>
      <c r="U51" s="300" t="s">
        <v>348</v>
      </c>
      <c r="V51" s="285" t="s">
        <v>121</v>
      </c>
      <c r="W51" s="433" t="s">
        <v>343</v>
      </c>
      <c r="X51" s="429" t="s">
        <v>121</v>
      </c>
    </row>
    <row r="52" spans="1:24" ht="13.5" customHeight="1" x14ac:dyDescent="0.2">
      <c r="A52" s="126"/>
      <c r="B52" s="23">
        <v>3419</v>
      </c>
      <c r="C52" s="23">
        <v>105</v>
      </c>
      <c r="D52" s="193" t="s">
        <v>214</v>
      </c>
      <c r="E52" s="39">
        <v>45</v>
      </c>
      <c r="F52" s="13"/>
      <c r="G52" s="49">
        <f t="shared" si="26"/>
        <v>45</v>
      </c>
      <c r="H52" s="173"/>
      <c r="I52" s="174"/>
      <c r="J52" s="39">
        <f>E52+H52</f>
        <v>45</v>
      </c>
      <c r="K52" s="13"/>
      <c r="L52" s="49">
        <f t="shared" si="28"/>
        <v>45</v>
      </c>
      <c r="M52" s="39">
        <v>45</v>
      </c>
      <c r="N52" s="13"/>
      <c r="O52" s="49">
        <f t="shared" si="29"/>
        <v>45</v>
      </c>
      <c r="P52" s="49">
        <f t="shared" si="2"/>
        <v>100</v>
      </c>
      <c r="Q52" s="389">
        <f t="shared" si="30"/>
        <v>0</v>
      </c>
      <c r="R52" s="13">
        <v>45</v>
      </c>
      <c r="S52" s="357">
        <f>R52/G52</f>
        <v>1</v>
      </c>
      <c r="T52" s="49"/>
      <c r="U52" s="299" t="s">
        <v>304</v>
      </c>
      <c r="V52" s="283" t="s">
        <v>71</v>
      </c>
      <c r="W52" s="132"/>
    </row>
    <row r="53" spans="1:24" ht="12.75" customHeight="1" x14ac:dyDescent="0.2">
      <c r="A53" s="126"/>
      <c r="B53" s="23">
        <v>3421</v>
      </c>
      <c r="C53" s="23">
        <v>105</v>
      </c>
      <c r="D53" s="193" t="s">
        <v>185</v>
      </c>
      <c r="E53" s="39">
        <v>1000</v>
      </c>
      <c r="F53" s="13"/>
      <c r="G53" s="49">
        <f t="shared" si="26"/>
        <v>1000</v>
      </c>
      <c r="H53" s="175"/>
      <c r="I53" s="174"/>
      <c r="J53" s="39">
        <f>E53+H53</f>
        <v>1000</v>
      </c>
      <c r="K53" s="13"/>
      <c r="L53" s="49">
        <f t="shared" si="28"/>
        <v>1000</v>
      </c>
      <c r="M53" s="39">
        <f>849.978+60</f>
        <v>909.97799999999995</v>
      </c>
      <c r="N53" s="13"/>
      <c r="O53" s="49">
        <f t="shared" si="29"/>
        <v>909.97799999999995</v>
      </c>
      <c r="P53" s="49">
        <f t="shared" si="2"/>
        <v>90.997799999999998</v>
      </c>
      <c r="Q53" s="389">
        <f t="shared" si="30"/>
        <v>90.022000000000048</v>
      </c>
      <c r="R53" s="13">
        <v>1000</v>
      </c>
      <c r="S53" s="357">
        <f>R53/G53</f>
        <v>1</v>
      </c>
      <c r="T53" s="49"/>
      <c r="U53" s="299" t="s">
        <v>304</v>
      </c>
      <c r="V53" s="283" t="s">
        <v>71</v>
      </c>
      <c r="W53" s="132"/>
    </row>
    <row r="54" spans="1:24" x14ac:dyDescent="0.2">
      <c r="A54" s="127">
        <v>35</v>
      </c>
      <c r="B54" s="18">
        <v>3500</v>
      </c>
      <c r="C54" s="18"/>
      <c r="D54" s="425" t="s">
        <v>118</v>
      </c>
      <c r="E54" s="50">
        <f t="shared" ref="E54:L54" si="31">SUM(E55:E56)</f>
        <v>0</v>
      </c>
      <c r="F54" s="51">
        <f t="shared" si="31"/>
        <v>0</v>
      </c>
      <c r="G54" s="52">
        <f t="shared" si="31"/>
        <v>0</v>
      </c>
      <c r="H54" s="177">
        <f t="shared" si="31"/>
        <v>3208.54</v>
      </c>
      <c r="I54" s="178">
        <f t="shared" si="31"/>
        <v>3315</v>
      </c>
      <c r="J54" s="50">
        <f t="shared" si="31"/>
        <v>3208.54</v>
      </c>
      <c r="K54" s="51">
        <f t="shared" si="31"/>
        <v>3315</v>
      </c>
      <c r="L54" s="52">
        <f t="shared" si="31"/>
        <v>6523.54</v>
      </c>
      <c r="M54" s="50">
        <f>SUM(M55:M56)</f>
        <v>3208.54</v>
      </c>
      <c r="N54" s="51">
        <f>SUM(N55:N56)</f>
        <v>3315</v>
      </c>
      <c r="O54" s="52">
        <f>SUM(O55:O56)</f>
        <v>6523.54</v>
      </c>
      <c r="P54" s="52">
        <f>O54/$L54*100</f>
        <v>100</v>
      </c>
      <c r="Q54" s="390">
        <f>SUM(Q55:Q56)</f>
        <v>0</v>
      </c>
      <c r="R54" s="51">
        <f>SUM(R55:R56)</f>
        <v>20000</v>
      </c>
      <c r="S54" s="358"/>
      <c r="T54" s="52"/>
      <c r="U54" s="50"/>
      <c r="V54" s="290"/>
      <c r="W54" s="313"/>
    </row>
    <row r="55" spans="1:24" x14ac:dyDescent="0.2">
      <c r="A55" s="80"/>
      <c r="B55" s="26">
        <v>3522</v>
      </c>
      <c r="C55" s="26">
        <v>233</v>
      </c>
      <c r="D55" s="373" t="s">
        <v>376</v>
      </c>
      <c r="E55" s="47"/>
      <c r="F55" s="14"/>
      <c r="G55" s="48"/>
      <c r="H55" s="182"/>
      <c r="I55" s="372">
        <v>315</v>
      </c>
      <c r="J55" s="47"/>
      <c r="K55" s="13">
        <f>F55+I55</f>
        <v>315</v>
      </c>
      <c r="L55" s="49">
        <f t="shared" si="28"/>
        <v>315</v>
      </c>
      <c r="M55" s="47"/>
      <c r="N55" s="451">
        <v>315</v>
      </c>
      <c r="O55" s="49">
        <f t="shared" si="29"/>
        <v>315</v>
      </c>
      <c r="P55" s="49">
        <f t="shared" si="2"/>
        <v>100</v>
      </c>
      <c r="Q55" s="389">
        <f>L55-O55</f>
        <v>0</v>
      </c>
      <c r="R55" s="14"/>
      <c r="S55" s="360"/>
      <c r="T55" s="48"/>
      <c r="U55" s="47"/>
      <c r="V55" s="67"/>
      <c r="W55" s="313"/>
    </row>
    <row r="56" spans="1:24" x14ac:dyDescent="0.2">
      <c r="A56" s="80"/>
      <c r="B56" s="26">
        <v>3522</v>
      </c>
      <c r="C56" s="26">
        <v>233</v>
      </c>
      <c r="D56" s="373" t="s">
        <v>377</v>
      </c>
      <c r="E56" s="39">
        <v>0</v>
      </c>
      <c r="F56" s="13"/>
      <c r="G56" s="49">
        <f>E56+F56</f>
        <v>0</v>
      </c>
      <c r="H56" s="175">
        <f>2305.16+536.94+366.44</f>
        <v>3208.54</v>
      </c>
      <c r="I56" s="372">
        <v>3000</v>
      </c>
      <c r="J56" s="39">
        <f>E56+H56</f>
        <v>3208.54</v>
      </c>
      <c r="K56" s="13">
        <f>F56+I56</f>
        <v>3000</v>
      </c>
      <c r="L56" s="49">
        <f>SUM(J56:K56)</f>
        <v>6208.54</v>
      </c>
      <c r="M56" s="39">
        <f>2305.16+366.44+56.52+480.42</f>
        <v>3208.54</v>
      </c>
      <c r="N56" s="13">
        <v>3000</v>
      </c>
      <c r="O56" s="49">
        <f>M56+N56</f>
        <v>6208.54</v>
      </c>
      <c r="P56" s="49">
        <f>O56/$L56*100</f>
        <v>100</v>
      </c>
      <c r="Q56" s="389">
        <f>L56-O56</f>
        <v>0</v>
      </c>
      <c r="R56" s="13">
        <v>20000</v>
      </c>
      <c r="S56" s="360"/>
      <c r="T56" s="48"/>
      <c r="U56" s="299" t="s">
        <v>212</v>
      </c>
      <c r="V56" s="283" t="s">
        <v>71</v>
      </c>
      <c r="W56" s="313"/>
    </row>
    <row r="57" spans="1:24" x14ac:dyDescent="0.2">
      <c r="A57" s="127">
        <v>36</v>
      </c>
      <c r="B57" s="18">
        <v>3600</v>
      </c>
      <c r="C57" s="18"/>
      <c r="D57" s="425" t="s">
        <v>77</v>
      </c>
      <c r="E57" s="50">
        <f t="shared" ref="E57:L57" si="32">SUM(E58:E75)</f>
        <v>14574</v>
      </c>
      <c r="F57" s="51">
        <f t="shared" si="32"/>
        <v>700</v>
      </c>
      <c r="G57" s="52">
        <f t="shared" si="32"/>
        <v>15274</v>
      </c>
      <c r="H57" s="177">
        <f t="shared" si="32"/>
        <v>151</v>
      </c>
      <c r="I57" s="178">
        <f t="shared" si="32"/>
        <v>0</v>
      </c>
      <c r="J57" s="50">
        <f t="shared" si="32"/>
        <v>14725</v>
      </c>
      <c r="K57" s="51">
        <f t="shared" si="32"/>
        <v>700</v>
      </c>
      <c r="L57" s="52">
        <f t="shared" si="32"/>
        <v>15425</v>
      </c>
      <c r="M57" s="50">
        <f>SUM(M58:M75)</f>
        <v>12263.237260000004</v>
      </c>
      <c r="N57" s="51">
        <f>SUM(N58:N75)</f>
        <v>55.587000000000003</v>
      </c>
      <c r="O57" s="52">
        <f>SUM(O58:O75)</f>
        <v>12318.824260000003</v>
      </c>
      <c r="P57" s="52">
        <f>O57/$L57*100</f>
        <v>79.862718055105361</v>
      </c>
      <c r="Q57" s="390">
        <f>SUM(Q58:Q75)</f>
        <v>3106.1757400000006</v>
      </c>
      <c r="R57" s="51" t="e">
        <f>SUM(R58:R75)</f>
        <v>#REF!</v>
      </c>
      <c r="S57" s="358" t="e">
        <f t="shared" ref="S57:S80" si="33">R57/G57</f>
        <v>#REF!</v>
      </c>
      <c r="T57" s="52"/>
      <c r="U57" s="50"/>
      <c r="V57" s="290"/>
      <c r="W57" s="313"/>
    </row>
    <row r="58" spans="1:24" ht="12" customHeight="1" x14ac:dyDescent="0.2">
      <c r="A58" s="126"/>
      <c r="B58" s="23">
        <v>3612</v>
      </c>
      <c r="C58" s="23" t="s">
        <v>323</v>
      </c>
      <c r="D58" s="193" t="s">
        <v>128</v>
      </c>
      <c r="E58" s="39">
        <v>4200</v>
      </c>
      <c r="F58" s="13"/>
      <c r="G58" s="49">
        <f t="shared" ref="G58:G75" si="34">E58+F58</f>
        <v>4200</v>
      </c>
      <c r="H58" s="179"/>
      <c r="I58" s="176"/>
      <c r="J58" s="39">
        <f t="shared" ref="J58:J75" si="35">E58+H58</f>
        <v>4200</v>
      </c>
      <c r="K58" s="13"/>
      <c r="L58" s="49">
        <f t="shared" ref="L58:L75" si="36">SUM(J58:K58)</f>
        <v>4200</v>
      </c>
      <c r="M58" s="39">
        <v>3928.1061500000001</v>
      </c>
      <c r="N58" s="13"/>
      <c r="O58" s="49">
        <f>M58+N58</f>
        <v>3928.1061500000001</v>
      </c>
      <c r="P58" s="49">
        <f>O58/$L58*100</f>
        <v>93.526336904761905</v>
      </c>
      <c r="Q58" s="389">
        <f t="shared" ref="Q58:Q75" si="37">L58-O58</f>
        <v>271.89384999999993</v>
      </c>
      <c r="R58" s="13">
        <v>6178</v>
      </c>
      <c r="S58" s="357">
        <f t="shared" si="33"/>
        <v>1.470952380952381</v>
      </c>
      <c r="T58" s="49"/>
      <c r="U58" s="296" t="s">
        <v>321</v>
      </c>
      <c r="V58" s="291" t="s">
        <v>322</v>
      </c>
      <c r="W58" s="330"/>
    </row>
    <row r="59" spans="1:24" x14ac:dyDescent="0.2">
      <c r="A59" s="126"/>
      <c r="B59" s="23">
        <v>3612</v>
      </c>
      <c r="C59" s="23" t="s">
        <v>323</v>
      </c>
      <c r="D59" s="193" t="s">
        <v>129</v>
      </c>
      <c r="E59" s="39">
        <v>3648</v>
      </c>
      <c r="F59" s="13"/>
      <c r="G59" s="49">
        <f t="shared" si="34"/>
        <v>3648</v>
      </c>
      <c r="H59" s="173"/>
      <c r="I59" s="174"/>
      <c r="J59" s="39">
        <f t="shared" si="35"/>
        <v>3648</v>
      </c>
      <c r="K59" s="13"/>
      <c r="L59" s="49">
        <f t="shared" si="36"/>
        <v>3648</v>
      </c>
      <c r="M59" s="39">
        <v>3276.9054099999998</v>
      </c>
      <c r="N59" s="13"/>
      <c r="O59" s="49">
        <f>M59+N59</f>
        <v>3276.9054099999998</v>
      </c>
      <c r="P59" s="49">
        <f>O59/$L59*100</f>
        <v>89.827450932017541</v>
      </c>
      <c r="Q59" s="389">
        <f t="shared" si="37"/>
        <v>371.09459000000015</v>
      </c>
      <c r="R59" s="13">
        <v>3650</v>
      </c>
      <c r="S59" s="357">
        <f t="shared" si="33"/>
        <v>1.0005482456140351</v>
      </c>
      <c r="T59" s="49"/>
      <c r="U59" s="296" t="s">
        <v>321</v>
      </c>
      <c r="V59" s="291" t="s">
        <v>322</v>
      </c>
      <c r="W59" s="330"/>
    </row>
    <row r="60" spans="1:24" x14ac:dyDescent="0.2">
      <c r="A60" s="126"/>
      <c r="B60" s="23">
        <v>3612</v>
      </c>
      <c r="C60" s="23">
        <v>218</v>
      </c>
      <c r="D60" s="193" t="s">
        <v>390</v>
      </c>
      <c r="E60" s="39">
        <v>300</v>
      </c>
      <c r="F60" s="13"/>
      <c r="G60" s="49">
        <f t="shared" si="34"/>
        <v>300</v>
      </c>
      <c r="H60" s="173"/>
      <c r="I60" s="174"/>
      <c r="J60" s="39">
        <f t="shared" si="35"/>
        <v>300</v>
      </c>
      <c r="K60" s="13"/>
      <c r="L60" s="49">
        <f t="shared" si="36"/>
        <v>300</v>
      </c>
      <c r="M60" s="39">
        <v>289.90249999999997</v>
      </c>
      <c r="N60" s="13"/>
      <c r="O60" s="49">
        <f>M60+N60</f>
        <v>289.90249999999997</v>
      </c>
      <c r="P60" s="49">
        <f>O60/$L60*100</f>
        <v>96.634166666666658</v>
      </c>
      <c r="Q60" s="389">
        <f t="shared" si="37"/>
        <v>10.097500000000025</v>
      </c>
      <c r="R60" s="13">
        <v>300</v>
      </c>
      <c r="S60" s="357">
        <f t="shared" si="33"/>
        <v>1</v>
      </c>
      <c r="T60" s="49"/>
      <c r="U60" s="300" t="s">
        <v>348</v>
      </c>
      <c r="V60" s="285" t="s">
        <v>121</v>
      </c>
      <c r="W60" s="330"/>
    </row>
    <row r="61" spans="1:24" x14ac:dyDescent="0.2">
      <c r="A61" s="126"/>
      <c r="B61" s="23">
        <v>3612</v>
      </c>
      <c r="C61" s="23">
        <v>326</v>
      </c>
      <c r="D61" s="193" t="s">
        <v>289</v>
      </c>
      <c r="E61" s="39"/>
      <c r="F61" s="13">
        <v>500</v>
      </c>
      <c r="G61" s="49">
        <f t="shared" si="34"/>
        <v>500</v>
      </c>
      <c r="H61" s="173"/>
      <c r="I61" s="174"/>
      <c r="J61" s="39">
        <f t="shared" si="35"/>
        <v>0</v>
      </c>
      <c r="K61" s="13">
        <f>F61+I61</f>
        <v>500</v>
      </c>
      <c r="L61" s="49">
        <f t="shared" si="36"/>
        <v>500</v>
      </c>
      <c r="M61" s="39">
        <v>4.5374999999999996</v>
      </c>
      <c r="N61" s="13"/>
      <c r="O61" s="49">
        <f t="shared" ref="O61:O75" si="38">M61+N61</f>
        <v>4.5374999999999996</v>
      </c>
      <c r="P61" s="49">
        <f t="shared" ref="P61:P77" si="39">O61/$L61*100</f>
        <v>0.90749999999999997</v>
      </c>
      <c r="Q61" s="389">
        <f t="shared" si="37"/>
        <v>495.46249999999998</v>
      </c>
      <c r="R61" s="13">
        <v>500</v>
      </c>
      <c r="S61" s="357">
        <f t="shared" si="33"/>
        <v>1</v>
      </c>
      <c r="T61" s="49"/>
      <c r="U61" s="300" t="s">
        <v>348</v>
      </c>
      <c r="V61" s="285" t="s">
        <v>121</v>
      </c>
      <c r="W61" s="330"/>
    </row>
    <row r="62" spans="1:24" x14ac:dyDescent="0.2">
      <c r="A62" s="126"/>
      <c r="B62" s="23">
        <v>3613</v>
      </c>
      <c r="C62" s="23">
        <v>104</v>
      </c>
      <c r="D62" s="193" t="s">
        <v>293</v>
      </c>
      <c r="E62" s="39">
        <v>75</v>
      </c>
      <c r="F62" s="13"/>
      <c r="G62" s="49">
        <f t="shared" si="34"/>
        <v>75</v>
      </c>
      <c r="H62" s="173">
        <v>126</v>
      </c>
      <c r="I62" s="174"/>
      <c r="J62" s="39">
        <f t="shared" si="35"/>
        <v>201</v>
      </c>
      <c r="K62" s="13"/>
      <c r="L62" s="49">
        <f t="shared" si="36"/>
        <v>201</v>
      </c>
      <c r="M62" s="39">
        <v>174.70500000000001</v>
      </c>
      <c r="N62" s="13"/>
      <c r="O62" s="49">
        <f t="shared" si="38"/>
        <v>174.70500000000001</v>
      </c>
      <c r="P62" s="49">
        <f t="shared" si="39"/>
        <v>86.917910447761201</v>
      </c>
      <c r="Q62" s="389">
        <f t="shared" si="37"/>
        <v>26.294999999999987</v>
      </c>
      <c r="R62" s="13">
        <v>355</v>
      </c>
      <c r="S62" s="357">
        <f t="shared" si="33"/>
        <v>4.7333333333333334</v>
      </c>
      <c r="T62" s="49"/>
      <c r="U62" s="300" t="s">
        <v>167</v>
      </c>
      <c r="V62" s="285" t="s">
        <v>69</v>
      </c>
      <c r="W62" s="330"/>
    </row>
    <row r="63" spans="1:24" x14ac:dyDescent="0.2">
      <c r="A63" s="126"/>
      <c r="B63" s="23">
        <v>3613</v>
      </c>
      <c r="C63" s="23">
        <v>317</v>
      </c>
      <c r="D63" s="193" t="s">
        <v>216</v>
      </c>
      <c r="E63" s="39">
        <v>775</v>
      </c>
      <c r="F63" s="13"/>
      <c r="G63" s="49">
        <f t="shared" si="34"/>
        <v>775</v>
      </c>
      <c r="H63" s="173"/>
      <c r="I63" s="176"/>
      <c r="J63" s="39">
        <f t="shared" si="35"/>
        <v>775</v>
      </c>
      <c r="K63" s="13"/>
      <c r="L63" s="49">
        <f t="shared" si="36"/>
        <v>775</v>
      </c>
      <c r="M63" s="39">
        <v>346.79</v>
      </c>
      <c r="N63" s="13"/>
      <c r="O63" s="49">
        <f t="shared" si="38"/>
        <v>346.79</v>
      </c>
      <c r="P63" s="49">
        <f t="shared" si="39"/>
        <v>44.747096774193551</v>
      </c>
      <c r="Q63" s="389">
        <f t="shared" si="37"/>
        <v>428.21</v>
      </c>
      <c r="R63" s="13">
        <v>200</v>
      </c>
      <c r="S63" s="357">
        <f t="shared" si="33"/>
        <v>0.25806451612903225</v>
      </c>
      <c r="T63" s="49"/>
      <c r="U63" s="302" t="s">
        <v>168</v>
      </c>
      <c r="V63" s="285" t="s">
        <v>69</v>
      </c>
      <c r="W63" s="132"/>
    </row>
    <row r="64" spans="1:24" x14ac:dyDescent="0.2">
      <c r="A64" s="126"/>
      <c r="B64" s="23">
        <v>3613</v>
      </c>
      <c r="C64" s="23">
        <v>703</v>
      </c>
      <c r="D64" s="193" t="s">
        <v>130</v>
      </c>
      <c r="E64" s="39">
        <f>759-500</f>
        <v>259</v>
      </c>
      <c r="F64" s="13"/>
      <c r="G64" s="49">
        <f t="shared" si="34"/>
        <v>259</v>
      </c>
      <c r="H64" s="173"/>
      <c r="I64" s="174"/>
      <c r="J64" s="39">
        <f t="shared" si="35"/>
        <v>259</v>
      </c>
      <c r="K64" s="13"/>
      <c r="L64" s="49">
        <f t="shared" si="36"/>
        <v>259</v>
      </c>
      <c r="M64" s="39">
        <v>128.35659999999999</v>
      </c>
      <c r="N64" s="13"/>
      <c r="O64" s="49">
        <f t="shared" si="38"/>
        <v>128.35659999999999</v>
      </c>
      <c r="P64" s="49">
        <f t="shared" si="39"/>
        <v>49.558532818532811</v>
      </c>
      <c r="Q64" s="389">
        <f t="shared" si="37"/>
        <v>130.64340000000001</v>
      </c>
      <c r="R64" s="13">
        <v>350</v>
      </c>
      <c r="S64" s="357">
        <f t="shared" si="33"/>
        <v>1.3513513513513513</v>
      </c>
      <c r="T64" s="49"/>
      <c r="U64" s="296" t="s">
        <v>321</v>
      </c>
      <c r="V64" s="291" t="s">
        <v>322</v>
      </c>
      <c r="W64" s="330"/>
    </row>
    <row r="65" spans="1:23" x14ac:dyDescent="0.2">
      <c r="A65" s="126"/>
      <c r="B65" s="23">
        <v>3613</v>
      </c>
      <c r="C65" s="23">
        <v>703</v>
      </c>
      <c r="D65" s="193" t="s">
        <v>131</v>
      </c>
      <c r="E65" s="39">
        <v>355</v>
      </c>
      <c r="F65" s="13"/>
      <c r="G65" s="49">
        <f t="shared" si="34"/>
        <v>355</v>
      </c>
      <c r="H65" s="173"/>
      <c r="I65" s="174"/>
      <c r="J65" s="39">
        <f t="shared" si="35"/>
        <v>355</v>
      </c>
      <c r="K65" s="13"/>
      <c r="L65" s="49">
        <f t="shared" si="36"/>
        <v>355</v>
      </c>
      <c r="M65" s="39">
        <v>121.62487</v>
      </c>
      <c r="N65" s="13"/>
      <c r="O65" s="49">
        <f t="shared" si="38"/>
        <v>121.62487</v>
      </c>
      <c r="P65" s="49">
        <f t="shared" si="39"/>
        <v>34.26052676056338</v>
      </c>
      <c r="Q65" s="389">
        <f t="shared" si="37"/>
        <v>233.37513000000001</v>
      </c>
      <c r="R65" s="13">
        <v>331</v>
      </c>
      <c r="S65" s="357">
        <f t="shared" si="33"/>
        <v>0.93239436619718308</v>
      </c>
      <c r="T65" s="49"/>
      <c r="U65" s="296" t="s">
        <v>321</v>
      </c>
      <c r="V65" s="291" t="s">
        <v>322</v>
      </c>
      <c r="W65" s="330"/>
    </row>
    <row r="66" spans="1:23" x14ac:dyDescent="0.2">
      <c r="A66" s="126"/>
      <c r="B66" s="23">
        <v>3631</v>
      </c>
      <c r="C66" s="23">
        <v>107</v>
      </c>
      <c r="D66" s="193" t="s">
        <v>78</v>
      </c>
      <c r="E66" s="39">
        <v>1625</v>
      </c>
      <c r="F66" s="13"/>
      <c r="G66" s="49">
        <f t="shared" si="34"/>
        <v>1625</v>
      </c>
      <c r="H66" s="173"/>
      <c r="I66" s="174"/>
      <c r="J66" s="39">
        <f t="shared" si="35"/>
        <v>1625</v>
      </c>
      <c r="K66" s="13"/>
      <c r="L66" s="49">
        <f t="shared" si="36"/>
        <v>1625</v>
      </c>
      <c r="M66" s="39">
        <v>1496.539</v>
      </c>
      <c r="N66" s="13"/>
      <c r="O66" s="49">
        <f t="shared" si="38"/>
        <v>1496.539</v>
      </c>
      <c r="P66" s="49">
        <f t="shared" si="39"/>
        <v>92.094707692307693</v>
      </c>
      <c r="Q66" s="389">
        <f t="shared" si="37"/>
        <v>128.46100000000001</v>
      </c>
      <c r="R66" s="13">
        <v>1620</v>
      </c>
      <c r="S66" s="357">
        <f t="shared" si="33"/>
        <v>0.99692307692307691</v>
      </c>
      <c r="T66" s="49"/>
      <c r="U66" s="300" t="s">
        <v>210</v>
      </c>
      <c r="V66" s="285" t="s">
        <v>121</v>
      </c>
      <c r="W66" s="132"/>
    </row>
    <row r="67" spans="1:23" x14ac:dyDescent="0.2">
      <c r="A67" s="126"/>
      <c r="B67" s="23">
        <v>3632</v>
      </c>
      <c r="C67" s="23">
        <v>238</v>
      </c>
      <c r="D67" s="193" t="s">
        <v>39</v>
      </c>
      <c r="E67" s="39">
        <v>360</v>
      </c>
      <c r="F67" s="13">
        <v>200</v>
      </c>
      <c r="G67" s="49">
        <f t="shared" si="34"/>
        <v>560</v>
      </c>
      <c r="H67" s="173"/>
      <c r="I67" s="174"/>
      <c r="J67" s="39">
        <f t="shared" si="35"/>
        <v>360</v>
      </c>
      <c r="K67" s="13">
        <f>F67+I67</f>
        <v>200</v>
      </c>
      <c r="L67" s="49">
        <f t="shared" si="36"/>
        <v>560</v>
      </c>
      <c r="M67" s="39">
        <v>325.988</v>
      </c>
      <c r="N67" s="13"/>
      <c r="O67" s="49">
        <f t="shared" si="38"/>
        <v>325.988</v>
      </c>
      <c r="P67" s="49">
        <f t="shared" si="39"/>
        <v>58.212142857142858</v>
      </c>
      <c r="Q67" s="389">
        <f t="shared" si="37"/>
        <v>234.012</v>
      </c>
      <c r="R67" s="13">
        <v>560</v>
      </c>
      <c r="S67" s="357">
        <f t="shared" si="33"/>
        <v>1</v>
      </c>
      <c r="T67" s="49"/>
      <c r="U67" s="302" t="s">
        <v>168</v>
      </c>
      <c r="V67" s="285" t="s">
        <v>69</v>
      </c>
      <c r="W67" s="132"/>
    </row>
    <row r="68" spans="1:23" x14ac:dyDescent="0.2">
      <c r="A68" s="126"/>
      <c r="B68" s="23">
        <v>3635</v>
      </c>
      <c r="C68" s="23">
        <v>248</v>
      </c>
      <c r="D68" s="193" t="s">
        <v>220</v>
      </c>
      <c r="E68" s="39">
        <v>100</v>
      </c>
      <c r="F68" s="13"/>
      <c r="G68" s="49">
        <f t="shared" si="34"/>
        <v>100</v>
      </c>
      <c r="H68" s="173"/>
      <c r="I68" s="174"/>
      <c r="J68" s="39">
        <f t="shared" si="35"/>
        <v>100</v>
      </c>
      <c r="K68" s="13"/>
      <c r="L68" s="49">
        <f t="shared" si="36"/>
        <v>100</v>
      </c>
      <c r="M68" s="39">
        <v>45.98</v>
      </c>
      <c r="N68" s="13"/>
      <c r="O68" s="49">
        <f t="shared" si="38"/>
        <v>45.98</v>
      </c>
      <c r="P68" s="49">
        <f t="shared" si="39"/>
        <v>45.98</v>
      </c>
      <c r="Q68" s="389">
        <f t="shared" si="37"/>
        <v>54.02</v>
      </c>
      <c r="R68" s="13">
        <v>100</v>
      </c>
      <c r="S68" s="357">
        <f t="shared" si="33"/>
        <v>1</v>
      </c>
      <c r="T68" s="49"/>
      <c r="U68" s="303" t="s">
        <v>219</v>
      </c>
      <c r="V68" s="292" t="s">
        <v>218</v>
      </c>
      <c r="W68" s="132"/>
    </row>
    <row r="69" spans="1:23" x14ac:dyDescent="0.2">
      <c r="A69" s="54"/>
      <c r="B69" s="23">
        <v>3636</v>
      </c>
      <c r="C69" s="23">
        <v>247</v>
      </c>
      <c r="D69" s="427" t="s">
        <v>312</v>
      </c>
      <c r="E69" s="39">
        <v>700</v>
      </c>
      <c r="F69" s="13"/>
      <c r="G69" s="49">
        <f t="shared" si="34"/>
        <v>700</v>
      </c>
      <c r="H69" s="179"/>
      <c r="I69" s="174"/>
      <c r="J69" s="39">
        <f t="shared" si="35"/>
        <v>700</v>
      </c>
      <c r="K69" s="13"/>
      <c r="L69" s="49">
        <f t="shared" si="36"/>
        <v>700</v>
      </c>
      <c r="M69" s="39">
        <v>687.33399999999995</v>
      </c>
      <c r="N69" s="13"/>
      <c r="O69" s="49">
        <f t="shared" si="38"/>
        <v>687.33399999999995</v>
      </c>
      <c r="P69" s="49">
        <f t="shared" si="39"/>
        <v>98.190571428571417</v>
      </c>
      <c r="Q69" s="389">
        <f t="shared" si="37"/>
        <v>12.666000000000054</v>
      </c>
      <c r="R69" s="13"/>
      <c r="S69" s="357">
        <f t="shared" si="33"/>
        <v>0</v>
      </c>
      <c r="T69" s="403" t="s">
        <v>313</v>
      </c>
      <c r="U69" s="300" t="s">
        <v>348</v>
      </c>
      <c r="V69" s="285" t="s">
        <v>121</v>
      </c>
      <c r="W69" s="132"/>
    </row>
    <row r="70" spans="1:23" x14ac:dyDescent="0.2">
      <c r="A70" s="126"/>
      <c r="B70" s="23">
        <v>3636</v>
      </c>
      <c r="C70" s="23">
        <v>249</v>
      </c>
      <c r="D70" s="193" t="s">
        <v>274</v>
      </c>
      <c r="E70" s="39">
        <v>141</v>
      </c>
      <c r="F70" s="13"/>
      <c r="G70" s="49">
        <f t="shared" si="34"/>
        <v>141</v>
      </c>
      <c r="H70" s="179">
        <v>25</v>
      </c>
      <c r="I70" s="174"/>
      <c r="J70" s="39">
        <f t="shared" si="35"/>
        <v>166</v>
      </c>
      <c r="K70" s="13"/>
      <c r="L70" s="49">
        <f t="shared" si="36"/>
        <v>166</v>
      </c>
      <c r="M70" s="39">
        <v>107.66500000000001</v>
      </c>
      <c r="N70" s="13"/>
      <c r="O70" s="49">
        <f t="shared" si="38"/>
        <v>107.66500000000001</v>
      </c>
      <c r="P70" s="49">
        <f t="shared" si="39"/>
        <v>64.858433734939752</v>
      </c>
      <c r="Q70" s="389">
        <f t="shared" si="37"/>
        <v>58.334999999999994</v>
      </c>
      <c r="R70" s="13">
        <v>141</v>
      </c>
      <c r="S70" s="357">
        <f t="shared" si="33"/>
        <v>1</v>
      </c>
      <c r="T70" s="13"/>
      <c r="U70" s="300" t="s">
        <v>348</v>
      </c>
      <c r="V70" s="285" t="s">
        <v>121</v>
      </c>
      <c r="W70" s="132"/>
    </row>
    <row r="71" spans="1:23" x14ac:dyDescent="0.2">
      <c r="A71" s="126"/>
      <c r="B71" s="23">
        <v>3639</v>
      </c>
      <c r="C71" s="23">
        <v>108</v>
      </c>
      <c r="D71" s="193" t="s">
        <v>97</v>
      </c>
      <c r="E71" s="39">
        <v>500</v>
      </c>
      <c r="F71" s="13"/>
      <c r="G71" s="49">
        <f t="shared" si="34"/>
        <v>500</v>
      </c>
      <c r="H71" s="175"/>
      <c r="I71" s="174"/>
      <c r="J71" s="39">
        <f t="shared" si="35"/>
        <v>500</v>
      </c>
      <c r="K71" s="13"/>
      <c r="L71" s="49">
        <f t="shared" si="36"/>
        <v>500</v>
      </c>
      <c r="M71" s="39">
        <v>102.77775</v>
      </c>
      <c r="N71" s="13"/>
      <c r="O71" s="49">
        <f t="shared" si="38"/>
        <v>102.77775</v>
      </c>
      <c r="P71" s="49">
        <f t="shared" si="39"/>
        <v>20.55555</v>
      </c>
      <c r="Q71" s="389">
        <f t="shared" si="37"/>
        <v>397.22225000000003</v>
      </c>
      <c r="R71" s="13">
        <v>500</v>
      </c>
      <c r="S71" s="357">
        <f t="shared" si="33"/>
        <v>1</v>
      </c>
      <c r="T71" s="49"/>
      <c r="U71" s="300" t="s">
        <v>166</v>
      </c>
      <c r="V71" s="285" t="s">
        <v>69</v>
      </c>
      <c r="W71" s="132"/>
    </row>
    <row r="72" spans="1:23" x14ac:dyDescent="0.2">
      <c r="A72" s="126"/>
      <c r="B72" s="23">
        <v>3639</v>
      </c>
      <c r="C72" s="23">
        <v>239</v>
      </c>
      <c r="D72" s="193" t="s">
        <v>198</v>
      </c>
      <c r="E72" s="39">
        <v>596</v>
      </c>
      <c r="F72" s="13"/>
      <c r="G72" s="49">
        <f t="shared" si="34"/>
        <v>596</v>
      </c>
      <c r="H72" s="173"/>
      <c r="I72" s="174"/>
      <c r="J72" s="39">
        <f t="shared" si="35"/>
        <v>596</v>
      </c>
      <c r="K72" s="13"/>
      <c r="L72" s="49">
        <f t="shared" si="36"/>
        <v>596</v>
      </c>
      <c r="M72" s="39">
        <f>411.80725-N72</f>
        <v>356.22025000000002</v>
      </c>
      <c r="N72" s="13">
        <v>55.587000000000003</v>
      </c>
      <c r="O72" s="49">
        <f t="shared" si="38"/>
        <v>411.80725000000001</v>
      </c>
      <c r="P72" s="49">
        <f t="shared" si="39"/>
        <v>69.095176174496643</v>
      </c>
      <c r="Q72" s="389">
        <f t="shared" si="37"/>
        <v>184.19274999999999</v>
      </c>
      <c r="R72" s="13">
        <v>591</v>
      </c>
      <c r="S72" s="357">
        <f t="shared" si="33"/>
        <v>0.99161073825503354</v>
      </c>
      <c r="T72" s="49"/>
      <c r="U72" s="300" t="s">
        <v>210</v>
      </c>
      <c r="V72" s="285" t="s">
        <v>121</v>
      </c>
      <c r="W72" s="132"/>
    </row>
    <row r="73" spans="1:23" x14ac:dyDescent="0.2">
      <c r="A73" s="126"/>
      <c r="B73" s="23">
        <v>3639</v>
      </c>
      <c r="C73" s="23">
        <v>243</v>
      </c>
      <c r="D73" s="193" t="s">
        <v>161</v>
      </c>
      <c r="E73" s="39">
        <f>60+215</f>
        <v>275</v>
      </c>
      <c r="F73" s="13"/>
      <c r="G73" s="49">
        <f t="shared" si="34"/>
        <v>275</v>
      </c>
      <c r="H73" s="173"/>
      <c r="I73" s="174"/>
      <c r="J73" s="39">
        <f t="shared" si="35"/>
        <v>275</v>
      </c>
      <c r="K73" s="13"/>
      <c r="L73" s="49">
        <f t="shared" si="36"/>
        <v>275</v>
      </c>
      <c r="M73" s="39">
        <v>258.38799999999998</v>
      </c>
      <c r="N73" s="13"/>
      <c r="O73" s="49">
        <f t="shared" si="38"/>
        <v>258.38799999999998</v>
      </c>
      <c r="P73" s="49">
        <f t="shared" si="39"/>
        <v>93.959272727272719</v>
      </c>
      <c r="Q73" s="389">
        <f t="shared" si="37"/>
        <v>16.612000000000023</v>
      </c>
      <c r="R73" s="447" t="e">
        <f>#REF!</f>
        <v>#REF!</v>
      </c>
      <c r="S73" s="357" t="e">
        <f t="shared" si="33"/>
        <v>#REF!</v>
      </c>
      <c r="T73" s="49"/>
      <c r="U73" s="302" t="s">
        <v>69</v>
      </c>
      <c r="V73" s="285" t="s">
        <v>349</v>
      </c>
      <c r="W73" s="132"/>
    </row>
    <row r="74" spans="1:23" x14ac:dyDescent="0.2">
      <c r="A74" s="126"/>
      <c r="B74" s="23">
        <v>3639</v>
      </c>
      <c r="C74" s="23">
        <v>319</v>
      </c>
      <c r="D74" s="193" t="s">
        <v>284</v>
      </c>
      <c r="E74" s="39">
        <f>227+366</f>
        <v>593</v>
      </c>
      <c r="F74" s="13"/>
      <c r="G74" s="49">
        <f t="shared" si="34"/>
        <v>593</v>
      </c>
      <c r="H74" s="175"/>
      <c r="I74" s="174"/>
      <c r="J74" s="39">
        <f t="shared" si="35"/>
        <v>593</v>
      </c>
      <c r="K74" s="13"/>
      <c r="L74" s="49">
        <f t="shared" si="36"/>
        <v>593</v>
      </c>
      <c r="M74" s="39">
        <v>592.06623000000002</v>
      </c>
      <c r="N74" s="13"/>
      <c r="O74" s="49">
        <f t="shared" si="38"/>
        <v>592.06623000000002</v>
      </c>
      <c r="P74" s="49">
        <f t="shared" si="39"/>
        <v>99.842534569983144</v>
      </c>
      <c r="Q74" s="389">
        <f t="shared" si="37"/>
        <v>0.93376999999998134</v>
      </c>
      <c r="R74" s="13">
        <v>227</v>
      </c>
      <c r="S74" s="357">
        <f t="shared" si="33"/>
        <v>0.38279932546374368</v>
      </c>
      <c r="T74" s="49" t="s">
        <v>342</v>
      </c>
      <c r="U74" s="302" t="s">
        <v>378</v>
      </c>
      <c r="V74" s="285" t="s">
        <v>69</v>
      </c>
      <c r="W74" s="132"/>
    </row>
    <row r="75" spans="1:23" x14ac:dyDescent="0.2">
      <c r="A75" s="128"/>
      <c r="B75" s="29">
        <v>3639</v>
      </c>
      <c r="C75" s="29">
        <v>319.20999999999998</v>
      </c>
      <c r="D75" s="426" t="s">
        <v>282</v>
      </c>
      <c r="E75" s="39">
        <v>72</v>
      </c>
      <c r="F75" s="13"/>
      <c r="G75" s="49">
        <f t="shared" si="34"/>
        <v>72</v>
      </c>
      <c r="H75" s="404"/>
      <c r="I75" s="181"/>
      <c r="J75" s="53">
        <f t="shared" si="35"/>
        <v>72</v>
      </c>
      <c r="K75" s="56"/>
      <c r="L75" s="55">
        <f t="shared" si="36"/>
        <v>72</v>
      </c>
      <c r="M75" s="39">
        <f>19.351</f>
        <v>19.350999999999999</v>
      </c>
      <c r="N75" s="13"/>
      <c r="O75" s="49">
        <f t="shared" si="38"/>
        <v>19.350999999999999</v>
      </c>
      <c r="P75" s="55">
        <f t="shared" si="39"/>
        <v>26.876388888888886</v>
      </c>
      <c r="Q75" s="389">
        <f t="shared" si="37"/>
        <v>52.649000000000001</v>
      </c>
      <c r="R75" s="13"/>
      <c r="S75" s="359">
        <f t="shared" si="33"/>
        <v>0</v>
      </c>
      <c r="T75" s="55"/>
      <c r="U75" s="430" t="s">
        <v>378</v>
      </c>
      <c r="V75" s="287" t="s">
        <v>69</v>
      </c>
      <c r="W75" s="132"/>
    </row>
    <row r="76" spans="1:23" x14ac:dyDescent="0.2">
      <c r="A76" s="127">
        <v>37</v>
      </c>
      <c r="B76" s="18"/>
      <c r="C76" s="18"/>
      <c r="D76" s="425" t="s">
        <v>119</v>
      </c>
      <c r="E76" s="50">
        <f t="shared" ref="E76:L76" si="40">SUM(E77:E84)</f>
        <v>11345</v>
      </c>
      <c r="F76" s="51">
        <f t="shared" si="40"/>
        <v>0</v>
      </c>
      <c r="G76" s="52">
        <f t="shared" si="40"/>
        <v>11345</v>
      </c>
      <c r="H76" s="177">
        <f t="shared" si="40"/>
        <v>111.685</v>
      </c>
      <c r="I76" s="178">
        <f t="shared" si="40"/>
        <v>0</v>
      </c>
      <c r="J76" s="50">
        <f t="shared" si="40"/>
        <v>11456.684999999999</v>
      </c>
      <c r="K76" s="51">
        <f t="shared" si="40"/>
        <v>0</v>
      </c>
      <c r="L76" s="52">
        <f t="shared" si="40"/>
        <v>11456.684999999999</v>
      </c>
      <c r="M76" s="50">
        <f>SUM(M77:M84)</f>
        <v>9837.2560899999989</v>
      </c>
      <c r="N76" s="51">
        <f>SUM(N77:N84)</f>
        <v>0</v>
      </c>
      <c r="O76" s="52">
        <f>SUM(O77:O84)</f>
        <v>9837.2560899999989</v>
      </c>
      <c r="P76" s="52">
        <f t="shared" si="39"/>
        <v>85.864768822744097</v>
      </c>
      <c r="Q76" s="390">
        <f>SUM(Q77:Q84)</f>
        <v>1619.4289099999999</v>
      </c>
      <c r="R76" s="51" t="e">
        <f>SUM(R77:R84)</f>
        <v>#REF!</v>
      </c>
      <c r="S76" s="358" t="e">
        <f t="shared" si="33"/>
        <v>#REF!</v>
      </c>
      <c r="T76" s="52"/>
      <c r="U76" s="47"/>
      <c r="V76" s="67"/>
      <c r="W76" s="313"/>
    </row>
    <row r="77" spans="1:23" x14ac:dyDescent="0.2">
      <c r="A77" s="126"/>
      <c r="B77" s="23">
        <v>3722</v>
      </c>
      <c r="C77" s="23">
        <v>240</v>
      </c>
      <c r="D77" s="193" t="s">
        <v>79</v>
      </c>
      <c r="E77" s="39">
        <f>5418-340</f>
        <v>5078</v>
      </c>
      <c r="F77" s="13"/>
      <c r="G77" s="49">
        <f t="shared" ref="G77:G84" si="41">E77+F77</f>
        <v>5078</v>
      </c>
      <c r="H77" s="173">
        <f>220-45.315</f>
        <v>174.685</v>
      </c>
      <c r="I77" s="174"/>
      <c r="J77" s="39">
        <f t="shared" ref="J77:J84" si="42">E77+H77</f>
        <v>5252.6850000000004</v>
      </c>
      <c r="K77" s="13"/>
      <c r="L77" s="49">
        <f t="shared" ref="L77:L84" si="43">SUM(J77:K77)</f>
        <v>5252.6850000000004</v>
      </c>
      <c r="M77" s="39">
        <v>5207.3821200000002</v>
      </c>
      <c r="N77" s="13"/>
      <c r="O77" s="49">
        <f t="shared" ref="O77:O84" si="44">M77+N77</f>
        <v>5207.3821200000002</v>
      </c>
      <c r="P77" s="49">
        <f t="shared" si="39"/>
        <v>99.137529092264245</v>
      </c>
      <c r="Q77" s="389">
        <f t="shared" ref="Q77:Q84" si="45">L77-O77</f>
        <v>45.302880000000187</v>
      </c>
      <c r="R77" s="13">
        <v>5500</v>
      </c>
      <c r="S77" s="357">
        <f t="shared" si="33"/>
        <v>1.0831035840882237</v>
      </c>
      <c r="T77" s="49"/>
      <c r="U77" s="300" t="s">
        <v>380</v>
      </c>
      <c r="V77" s="285" t="s">
        <v>210</v>
      </c>
      <c r="W77" s="132"/>
    </row>
    <row r="78" spans="1:23" x14ac:dyDescent="0.2">
      <c r="A78" s="126"/>
      <c r="B78" s="23">
        <v>3722</v>
      </c>
      <c r="C78" s="23">
        <v>5110</v>
      </c>
      <c r="D78" s="193" t="s">
        <v>301</v>
      </c>
      <c r="E78" s="39">
        <f>380+47</f>
        <v>427</v>
      </c>
      <c r="F78" s="13"/>
      <c r="G78" s="49">
        <f t="shared" si="41"/>
        <v>427</v>
      </c>
      <c r="H78" s="179">
        <v>45.314999999999998</v>
      </c>
      <c r="I78" s="174"/>
      <c r="J78" s="39">
        <f t="shared" si="42"/>
        <v>472.315</v>
      </c>
      <c r="K78" s="13"/>
      <c r="L78" s="49">
        <f t="shared" si="43"/>
        <v>472.315</v>
      </c>
      <c r="M78" s="39">
        <v>476.72692999999998</v>
      </c>
      <c r="N78" s="13"/>
      <c r="O78" s="49">
        <f t="shared" si="44"/>
        <v>476.72692999999998</v>
      </c>
      <c r="P78" s="49"/>
      <c r="Q78" s="389">
        <f t="shared" si="45"/>
        <v>-4.4119299999999839</v>
      </c>
      <c r="R78" s="13">
        <v>500</v>
      </c>
      <c r="S78" s="357">
        <f t="shared" si="33"/>
        <v>1.1709601873536299</v>
      </c>
      <c r="T78" s="49"/>
      <c r="U78" s="300" t="s">
        <v>380</v>
      </c>
      <c r="V78" s="285" t="s">
        <v>210</v>
      </c>
      <c r="W78" s="132"/>
    </row>
    <row r="79" spans="1:23" x14ac:dyDescent="0.2">
      <c r="A79" s="126"/>
      <c r="B79" s="23">
        <v>3745</v>
      </c>
      <c r="C79" s="23">
        <v>241</v>
      </c>
      <c r="D79" s="193" t="s">
        <v>80</v>
      </c>
      <c r="E79" s="39">
        <f>2161-135+1374</f>
        <v>3400</v>
      </c>
      <c r="F79" s="13"/>
      <c r="G79" s="49">
        <f t="shared" si="41"/>
        <v>3400</v>
      </c>
      <c r="H79" s="179">
        <f>25-220</f>
        <v>-195</v>
      </c>
      <c r="I79" s="174"/>
      <c r="J79" s="39">
        <f t="shared" si="42"/>
        <v>3205</v>
      </c>
      <c r="K79" s="13"/>
      <c r="L79" s="49">
        <f t="shared" si="43"/>
        <v>3205</v>
      </c>
      <c r="M79" s="39">
        <v>3335.4947900000002</v>
      </c>
      <c r="N79" s="13"/>
      <c r="O79" s="49">
        <f t="shared" si="44"/>
        <v>3335.4947900000002</v>
      </c>
      <c r="P79" s="49">
        <f>O79/$L79*100</f>
        <v>104.07160031201248</v>
      </c>
      <c r="Q79" s="389">
        <f t="shared" si="45"/>
        <v>-130.49479000000019</v>
      </c>
      <c r="R79" s="447" t="e">
        <f>#REF!</f>
        <v>#REF!</v>
      </c>
      <c r="S79" s="357" t="e">
        <f t="shared" si="33"/>
        <v>#REF!</v>
      </c>
      <c r="T79" s="49"/>
      <c r="U79" s="300" t="s">
        <v>306</v>
      </c>
      <c r="V79" s="285" t="s">
        <v>210</v>
      </c>
      <c r="W79" s="132"/>
    </row>
    <row r="80" spans="1:23" x14ac:dyDescent="0.2">
      <c r="A80" s="126"/>
      <c r="B80" s="23">
        <v>3745</v>
      </c>
      <c r="C80" s="23">
        <v>242</v>
      </c>
      <c r="D80" s="193" t="s">
        <v>256</v>
      </c>
      <c r="E80" s="39">
        <v>470</v>
      </c>
      <c r="F80" s="13"/>
      <c r="G80" s="49">
        <f t="shared" si="41"/>
        <v>470</v>
      </c>
      <c r="H80" s="175"/>
      <c r="I80" s="174"/>
      <c r="J80" s="39">
        <f t="shared" si="42"/>
        <v>470</v>
      </c>
      <c r="K80" s="13"/>
      <c r="L80" s="49">
        <f t="shared" si="43"/>
        <v>470</v>
      </c>
      <c r="M80" s="39">
        <v>458.26100000000002</v>
      </c>
      <c r="N80" s="13"/>
      <c r="O80" s="49">
        <f t="shared" si="44"/>
        <v>458.26100000000002</v>
      </c>
      <c r="P80" s="49">
        <f>O80/$L80*100</f>
        <v>97.502340425531912</v>
      </c>
      <c r="Q80" s="389">
        <f t="shared" si="45"/>
        <v>11.738999999999976</v>
      </c>
      <c r="R80" s="13">
        <v>1170</v>
      </c>
      <c r="S80" s="357">
        <f t="shared" si="33"/>
        <v>2.4893617021276597</v>
      </c>
      <c r="T80" s="49"/>
      <c r="U80" s="300" t="s">
        <v>306</v>
      </c>
      <c r="V80" s="285" t="s">
        <v>210</v>
      </c>
      <c r="W80" s="132"/>
    </row>
    <row r="81" spans="1:23" x14ac:dyDescent="0.2">
      <c r="A81" s="126"/>
      <c r="B81" s="23">
        <v>3745</v>
      </c>
      <c r="C81" s="23">
        <v>244</v>
      </c>
      <c r="D81" s="427" t="s">
        <v>328</v>
      </c>
      <c r="E81" s="39">
        <v>410</v>
      </c>
      <c r="F81" s="13"/>
      <c r="G81" s="49">
        <f t="shared" si="41"/>
        <v>410</v>
      </c>
      <c r="H81" s="179">
        <v>86.685000000000002</v>
      </c>
      <c r="I81" s="174"/>
      <c r="J81" s="39">
        <f t="shared" si="42"/>
        <v>496.685</v>
      </c>
      <c r="K81" s="13">
        <f>F81+I81</f>
        <v>0</v>
      </c>
      <c r="L81" s="49">
        <f t="shared" si="43"/>
        <v>496.685</v>
      </c>
      <c r="M81" s="39">
        <v>281.39864</v>
      </c>
      <c r="N81" s="13"/>
      <c r="O81" s="49">
        <f t="shared" si="44"/>
        <v>281.39864</v>
      </c>
      <c r="P81" s="49">
        <f>O81/$L81*100</f>
        <v>56.655352990325859</v>
      </c>
      <c r="Q81" s="389">
        <f t="shared" si="45"/>
        <v>215.28636</v>
      </c>
      <c r="R81" s="13"/>
      <c r="S81" s="357"/>
      <c r="T81" s="403" t="s">
        <v>329</v>
      </c>
      <c r="U81" s="300" t="s">
        <v>306</v>
      </c>
      <c r="V81" s="285" t="s">
        <v>348</v>
      </c>
      <c r="W81" s="132"/>
    </row>
    <row r="82" spans="1:23" x14ac:dyDescent="0.2">
      <c r="A82" s="126"/>
      <c r="B82" s="23">
        <v>3745</v>
      </c>
      <c r="C82" s="23">
        <v>246</v>
      </c>
      <c r="D82" s="193" t="s">
        <v>303</v>
      </c>
      <c r="E82" s="39">
        <v>1500</v>
      </c>
      <c r="F82" s="13"/>
      <c r="G82" s="49">
        <f t="shared" si="41"/>
        <v>1500</v>
      </c>
      <c r="H82" s="179"/>
      <c r="I82" s="174"/>
      <c r="J82" s="39">
        <f t="shared" si="42"/>
        <v>1500</v>
      </c>
      <c r="K82" s="13">
        <f>F82+I82</f>
        <v>0</v>
      </c>
      <c r="L82" s="49">
        <f t="shared" si="43"/>
        <v>1500</v>
      </c>
      <c r="M82" s="39">
        <v>0</v>
      </c>
      <c r="N82" s="13"/>
      <c r="O82" s="49">
        <f t="shared" si="44"/>
        <v>0</v>
      </c>
      <c r="P82" s="49">
        <f>O82/$L82*100</f>
        <v>0</v>
      </c>
      <c r="Q82" s="389">
        <f t="shared" si="45"/>
        <v>1500</v>
      </c>
      <c r="R82" s="13">
        <v>1500</v>
      </c>
      <c r="S82" s="357">
        <f>R82/G82</f>
        <v>1</v>
      </c>
      <c r="T82" s="49"/>
      <c r="U82" s="302" t="s">
        <v>291</v>
      </c>
      <c r="V82" s="285" t="s">
        <v>348</v>
      </c>
      <c r="W82" s="132"/>
    </row>
    <row r="83" spans="1:23" x14ac:dyDescent="0.2">
      <c r="A83" s="126"/>
      <c r="B83" s="23">
        <v>3745</v>
      </c>
      <c r="C83" s="23">
        <v>1544</v>
      </c>
      <c r="D83" s="193" t="s">
        <v>309</v>
      </c>
      <c r="E83" s="39"/>
      <c r="F83" s="13"/>
      <c r="G83" s="49">
        <f t="shared" si="41"/>
        <v>0</v>
      </c>
      <c r="H83" s="173"/>
      <c r="I83" s="174"/>
      <c r="J83" s="39">
        <f t="shared" si="42"/>
        <v>0</v>
      </c>
      <c r="K83" s="13"/>
      <c r="L83" s="49">
        <f t="shared" si="43"/>
        <v>0</v>
      </c>
      <c r="M83" s="39">
        <v>22.816610000000001</v>
      </c>
      <c r="N83" s="13"/>
      <c r="O83" s="49">
        <f t="shared" si="44"/>
        <v>22.816610000000001</v>
      </c>
      <c r="P83" s="49"/>
      <c r="Q83" s="389">
        <f t="shared" si="45"/>
        <v>-22.816610000000001</v>
      </c>
      <c r="R83" s="13"/>
      <c r="S83" s="357"/>
      <c r="T83" s="49"/>
      <c r="U83" s="54"/>
      <c r="V83" s="49"/>
      <c r="W83" s="132"/>
    </row>
    <row r="84" spans="1:23" x14ac:dyDescent="0.2">
      <c r="A84" s="128"/>
      <c r="B84" s="29">
        <v>3792</v>
      </c>
      <c r="C84" s="29">
        <v>234</v>
      </c>
      <c r="D84" s="426" t="s">
        <v>296</v>
      </c>
      <c r="E84" s="39">
        <v>60</v>
      </c>
      <c r="F84" s="13"/>
      <c r="G84" s="49">
        <f t="shared" si="41"/>
        <v>60</v>
      </c>
      <c r="H84" s="328"/>
      <c r="I84" s="181"/>
      <c r="J84" s="53">
        <f t="shared" si="42"/>
        <v>60</v>
      </c>
      <c r="K84" s="56"/>
      <c r="L84" s="55">
        <f t="shared" si="43"/>
        <v>60</v>
      </c>
      <c r="M84" s="39">
        <v>55.176000000000002</v>
      </c>
      <c r="N84" s="13"/>
      <c r="O84" s="49">
        <f t="shared" si="44"/>
        <v>55.176000000000002</v>
      </c>
      <c r="P84" s="55">
        <f t="shared" ref="P84:P90" si="46">O84/$L84*100</f>
        <v>91.960000000000008</v>
      </c>
      <c r="Q84" s="389">
        <f t="shared" si="45"/>
        <v>4.8239999999999981</v>
      </c>
      <c r="R84" s="13">
        <v>60</v>
      </c>
      <c r="S84" s="359">
        <f t="shared" ref="S84:S95" si="47">R84/G84</f>
        <v>1</v>
      </c>
      <c r="T84" s="55"/>
      <c r="U84" s="300" t="s">
        <v>380</v>
      </c>
      <c r="V84" s="285" t="s">
        <v>348</v>
      </c>
      <c r="W84" s="132"/>
    </row>
    <row r="85" spans="1:23" x14ac:dyDescent="0.2">
      <c r="A85" s="127">
        <v>43</v>
      </c>
      <c r="B85" s="18">
        <v>4300</v>
      </c>
      <c r="C85" s="18"/>
      <c r="D85" s="425" t="s">
        <v>81</v>
      </c>
      <c r="E85" s="50">
        <f t="shared" ref="E85:O85" si="48">SUM(E86:E88)</f>
        <v>4273</v>
      </c>
      <c r="F85" s="51">
        <f t="shared" si="48"/>
        <v>0</v>
      </c>
      <c r="G85" s="52">
        <f t="shared" si="48"/>
        <v>4273</v>
      </c>
      <c r="H85" s="182">
        <f t="shared" si="48"/>
        <v>5347.6989999999996</v>
      </c>
      <c r="I85" s="183">
        <f t="shared" si="48"/>
        <v>0</v>
      </c>
      <c r="J85" s="47">
        <f t="shared" si="48"/>
        <v>9620.6990000000005</v>
      </c>
      <c r="K85" s="14">
        <f t="shared" si="48"/>
        <v>0</v>
      </c>
      <c r="L85" s="48">
        <f t="shared" si="48"/>
        <v>9620.6990000000005</v>
      </c>
      <c r="M85" s="50">
        <f t="shared" si="48"/>
        <v>9310.5487199999989</v>
      </c>
      <c r="N85" s="51">
        <f t="shared" si="48"/>
        <v>0</v>
      </c>
      <c r="O85" s="52">
        <f t="shared" si="48"/>
        <v>9310.5487199999989</v>
      </c>
      <c r="P85" s="48">
        <f t="shared" si="46"/>
        <v>96.776218858941519</v>
      </c>
      <c r="Q85" s="390">
        <f>SUM(Q86:Q88)</f>
        <v>310.15028000000018</v>
      </c>
      <c r="R85" s="51">
        <f>SUM(R86:R88)</f>
        <v>5133</v>
      </c>
      <c r="S85" s="360">
        <f t="shared" si="47"/>
        <v>1.2012637491223965</v>
      </c>
      <c r="T85" s="48"/>
      <c r="U85" s="50"/>
      <c r="V85" s="290"/>
      <c r="W85" s="313"/>
    </row>
    <row r="86" spans="1:23" x14ac:dyDescent="0.2">
      <c r="A86" s="126"/>
      <c r="B86" s="23">
        <v>4349</v>
      </c>
      <c r="C86" s="23">
        <v>228</v>
      </c>
      <c r="D86" s="193" t="s">
        <v>221</v>
      </c>
      <c r="E86" s="39">
        <v>320</v>
      </c>
      <c r="F86" s="13"/>
      <c r="G86" s="49">
        <f>E86+F86</f>
        <v>320</v>
      </c>
      <c r="H86" s="367"/>
      <c r="I86" s="174"/>
      <c r="J86" s="39">
        <f>E86+H86</f>
        <v>320</v>
      </c>
      <c r="K86" s="13"/>
      <c r="L86" s="49">
        <f>SUM(J86:K86)</f>
        <v>320</v>
      </c>
      <c r="M86" s="39">
        <v>81.759399999999999</v>
      </c>
      <c r="N86" s="13"/>
      <c r="O86" s="49">
        <f>M86+N86</f>
        <v>81.759399999999999</v>
      </c>
      <c r="P86" s="49">
        <f t="shared" si="46"/>
        <v>25.549812500000002</v>
      </c>
      <c r="Q86" s="389">
        <f>L86-O86</f>
        <v>238.2406</v>
      </c>
      <c r="R86" s="13">
        <v>370</v>
      </c>
      <c r="S86" s="357">
        <f t="shared" si="47"/>
        <v>1.15625</v>
      </c>
      <c r="T86" s="49"/>
      <c r="U86" s="54" t="s">
        <v>305</v>
      </c>
      <c r="V86" s="49" t="s">
        <v>335</v>
      </c>
      <c r="W86" s="132"/>
    </row>
    <row r="87" spans="1:23" x14ac:dyDescent="0.2">
      <c r="A87" s="126"/>
      <c r="B87" s="23">
        <v>4351</v>
      </c>
      <c r="C87" s="23">
        <v>227</v>
      </c>
      <c r="D87" s="193" t="s">
        <v>40</v>
      </c>
      <c r="E87" s="39">
        <f>315+2125+60</f>
        <v>2500</v>
      </c>
      <c r="F87" s="13"/>
      <c r="G87" s="49">
        <f>E87+F87</f>
        <v>2500</v>
      </c>
      <c r="H87" s="367">
        <f>271.699+37+75</f>
        <v>383.69900000000001</v>
      </c>
      <c r="I87" s="174"/>
      <c r="J87" s="39">
        <f>E87+H87</f>
        <v>2883.6990000000001</v>
      </c>
      <c r="K87" s="13">
        <f>F87+I87</f>
        <v>0</v>
      </c>
      <c r="L87" s="49">
        <f>SUM(J87:K87)</f>
        <v>2883.6990000000001</v>
      </c>
      <c r="M87" s="39">
        <v>2811.7893199999999</v>
      </c>
      <c r="N87" s="13"/>
      <c r="O87" s="49">
        <f>M87+N87</f>
        <v>2811.7893199999999</v>
      </c>
      <c r="P87" s="49">
        <f t="shared" si="46"/>
        <v>97.506338907077321</v>
      </c>
      <c r="Q87" s="389">
        <f>L87-O87</f>
        <v>71.909680000000208</v>
      </c>
      <c r="R87" s="13">
        <v>3310</v>
      </c>
      <c r="S87" s="357">
        <f t="shared" si="47"/>
        <v>1.3240000000000001</v>
      </c>
      <c r="T87" s="49"/>
      <c r="U87" s="304" t="s">
        <v>173</v>
      </c>
      <c r="V87" s="176" t="s">
        <v>82</v>
      </c>
      <c r="W87" s="132"/>
    </row>
    <row r="88" spans="1:23" ht="12.75" customHeight="1" x14ac:dyDescent="0.2">
      <c r="A88" s="126"/>
      <c r="B88" s="23">
        <v>4355</v>
      </c>
      <c r="C88" s="23">
        <v>307</v>
      </c>
      <c r="D88" s="193" t="s">
        <v>258</v>
      </c>
      <c r="E88" s="39">
        <f>741+712</f>
        <v>1453</v>
      </c>
      <c r="F88" s="13"/>
      <c r="G88" s="49">
        <f>E88+F88</f>
        <v>1453</v>
      </c>
      <c r="H88" s="367">
        <f>2806.8+1871.2+200+86</f>
        <v>4964</v>
      </c>
      <c r="I88" s="174"/>
      <c r="J88" s="39">
        <f>E88+H88</f>
        <v>6417</v>
      </c>
      <c r="K88" s="13"/>
      <c r="L88" s="49">
        <f>SUM(J88:K88)</f>
        <v>6417</v>
      </c>
      <c r="M88" s="39">
        <f>1453+86+4878</f>
        <v>6417</v>
      </c>
      <c r="N88" s="13"/>
      <c r="O88" s="49">
        <f>M88+N88</f>
        <v>6417</v>
      </c>
      <c r="P88" s="49">
        <f t="shared" si="46"/>
        <v>100</v>
      </c>
      <c r="Q88" s="389">
        <f>L88-O88</f>
        <v>0</v>
      </c>
      <c r="R88" s="39">
        <f>741+712</f>
        <v>1453</v>
      </c>
      <c r="S88" s="357">
        <f t="shared" si="47"/>
        <v>1</v>
      </c>
      <c r="T88" s="49"/>
      <c r="U88" s="299" t="s">
        <v>212</v>
      </c>
      <c r="V88" s="288" t="s">
        <v>71</v>
      </c>
      <c r="W88" s="132"/>
    </row>
    <row r="89" spans="1:23" x14ac:dyDescent="0.2">
      <c r="A89" s="127">
        <v>53</v>
      </c>
      <c r="B89" s="18">
        <v>5300</v>
      </c>
      <c r="C89" s="18"/>
      <c r="D89" s="425" t="s">
        <v>106</v>
      </c>
      <c r="E89" s="50">
        <f t="shared" ref="E89:L89" si="49">SUM(E90:E93)</f>
        <v>2684</v>
      </c>
      <c r="F89" s="51">
        <f t="shared" si="49"/>
        <v>800</v>
      </c>
      <c r="G89" s="52">
        <f t="shared" si="49"/>
        <v>3484</v>
      </c>
      <c r="H89" s="180">
        <f t="shared" si="49"/>
        <v>248.26099999999997</v>
      </c>
      <c r="I89" s="178">
        <f t="shared" si="49"/>
        <v>312</v>
      </c>
      <c r="J89" s="50">
        <f t="shared" si="49"/>
        <v>2932.2610000000004</v>
      </c>
      <c r="K89" s="51">
        <f t="shared" si="49"/>
        <v>1112</v>
      </c>
      <c r="L89" s="52">
        <f t="shared" si="49"/>
        <v>4044.2610000000004</v>
      </c>
      <c r="M89" s="50">
        <f>SUM(M90:M93)</f>
        <v>2659.91561</v>
      </c>
      <c r="N89" s="51">
        <f>SUM(N90:N93)</f>
        <v>1090.982</v>
      </c>
      <c r="O89" s="52">
        <f>SUM(O90:O93)</f>
        <v>3750.89761</v>
      </c>
      <c r="P89" s="52">
        <f t="shared" si="46"/>
        <v>92.746180575388166</v>
      </c>
      <c r="Q89" s="390">
        <f>SUM(Q90:Q93)</f>
        <v>293.36339000000044</v>
      </c>
      <c r="R89" s="51" t="e">
        <f>SUM(R90:R93)</f>
        <v>#REF!</v>
      </c>
      <c r="S89" s="358" t="e">
        <f t="shared" si="47"/>
        <v>#REF!</v>
      </c>
      <c r="T89" s="52"/>
      <c r="U89" s="50"/>
      <c r="V89" s="67"/>
      <c r="W89" s="313"/>
    </row>
    <row r="90" spans="1:23" x14ac:dyDescent="0.2">
      <c r="A90" s="80"/>
      <c r="B90" s="23">
        <v>5272</v>
      </c>
      <c r="C90" s="27">
        <v>320</v>
      </c>
      <c r="D90" s="193" t="s">
        <v>146</v>
      </c>
      <c r="E90" s="39">
        <f>243+131</f>
        <v>374</v>
      </c>
      <c r="F90" s="13"/>
      <c r="G90" s="49">
        <f>E90+F90</f>
        <v>374</v>
      </c>
      <c r="H90" s="175"/>
      <c r="I90" s="183"/>
      <c r="J90" s="39">
        <f>E90+H90</f>
        <v>374</v>
      </c>
      <c r="K90" s="13">
        <f>F90+I90</f>
        <v>0</v>
      </c>
      <c r="L90" s="49">
        <f>SUM(J90:K90)</f>
        <v>374</v>
      </c>
      <c r="M90" s="39">
        <v>217.42646999999999</v>
      </c>
      <c r="N90" s="13"/>
      <c r="O90" s="49">
        <f>M90+N90</f>
        <v>217.42646999999999</v>
      </c>
      <c r="P90" s="49">
        <f t="shared" si="46"/>
        <v>58.135419786096257</v>
      </c>
      <c r="Q90" s="389">
        <f>L90-O90</f>
        <v>156.57353000000001</v>
      </c>
      <c r="R90" s="447" t="e">
        <f>#REF!</f>
        <v>#REF!</v>
      </c>
      <c r="S90" s="357" t="e">
        <f t="shared" si="47"/>
        <v>#REF!</v>
      </c>
      <c r="T90" s="49"/>
      <c r="U90" s="326" t="s">
        <v>222</v>
      </c>
      <c r="V90" s="286" t="s">
        <v>213</v>
      </c>
      <c r="W90" s="132"/>
    </row>
    <row r="91" spans="1:23" ht="13.5" customHeight="1" x14ac:dyDescent="0.2">
      <c r="A91" s="126"/>
      <c r="B91" s="23">
        <v>5311</v>
      </c>
      <c r="C91" s="23">
        <v>321</v>
      </c>
      <c r="D91" s="193" t="s">
        <v>83</v>
      </c>
      <c r="E91" s="39">
        <f>1452+375</f>
        <v>1827</v>
      </c>
      <c r="F91" s="13">
        <v>450</v>
      </c>
      <c r="G91" s="49">
        <f>E91+F91</f>
        <v>2277</v>
      </c>
      <c r="H91" s="179">
        <v>73.817999999999998</v>
      </c>
      <c r="I91" s="174">
        <v>67</v>
      </c>
      <c r="J91" s="39">
        <f t="shared" ref="J91:K93" si="50">E91+H91</f>
        <v>1900.818</v>
      </c>
      <c r="K91" s="13">
        <f t="shared" si="50"/>
        <v>517</v>
      </c>
      <c r="L91" s="49">
        <f>SUM(J91:K91)</f>
        <v>2417.8180000000002</v>
      </c>
      <c r="M91" s="39">
        <f>2446.13138-N91</f>
        <v>1922.1453799999999</v>
      </c>
      <c r="N91" s="13">
        <v>523.98599999999999</v>
      </c>
      <c r="O91" s="49">
        <f>M91+N91</f>
        <v>2446.1313799999998</v>
      </c>
      <c r="P91" s="49">
        <f t="shared" ref="P91:P107" si="51">O91/$L91*100</f>
        <v>101.17103024297111</v>
      </c>
      <c r="Q91" s="389">
        <f>L91-O91</f>
        <v>-28.313379999999597</v>
      </c>
      <c r="R91" s="447" t="e">
        <f>#REF!</f>
        <v>#REF!</v>
      </c>
      <c r="S91" s="357" t="e">
        <f t="shared" si="47"/>
        <v>#REF!</v>
      </c>
      <c r="T91" s="49"/>
      <c r="U91" s="305" t="s">
        <v>165</v>
      </c>
      <c r="V91" s="286" t="s">
        <v>316</v>
      </c>
      <c r="W91" s="132"/>
    </row>
    <row r="92" spans="1:23" ht="13.5" customHeight="1" x14ac:dyDescent="0.2">
      <c r="A92" s="126"/>
      <c r="B92" s="23">
        <v>5512</v>
      </c>
      <c r="C92" s="23">
        <v>224</v>
      </c>
      <c r="D92" s="193" t="s">
        <v>302</v>
      </c>
      <c r="E92" s="39">
        <v>150</v>
      </c>
      <c r="F92" s="13"/>
      <c r="G92" s="49">
        <f>E92+F92</f>
        <v>150</v>
      </c>
      <c r="H92" s="173"/>
      <c r="I92" s="174"/>
      <c r="J92" s="39">
        <f>E92+H92</f>
        <v>150</v>
      </c>
      <c r="K92" s="13">
        <f>F92+I92</f>
        <v>0</v>
      </c>
      <c r="L92" s="49">
        <f>SUM(J92:K92)</f>
        <v>150</v>
      </c>
      <c r="M92" s="39">
        <v>67.404949999999999</v>
      </c>
      <c r="N92" s="13"/>
      <c r="O92" s="49">
        <f>M92+N92</f>
        <v>67.404949999999999</v>
      </c>
      <c r="P92" s="49">
        <f t="shared" si="51"/>
        <v>44.936633333333333</v>
      </c>
      <c r="Q92" s="389">
        <f>L92-O92</f>
        <v>82.595050000000001</v>
      </c>
      <c r="R92" s="13">
        <v>200</v>
      </c>
      <c r="S92" s="357">
        <f t="shared" si="47"/>
        <v>1.3333333333333333</v>
      </c>
      <c r="T92" s="49"/>
      <c r="U92" s="300" t="s">
        <v>166</v>
      </c>
      <c r="V92" s="285" t="s">
        <v>121</v>
      </c>
      <c r="W92" s="132"/>
    </row>
    <row r="93" spans="1:23" x14ac:dyDescent="0.2">
      <c r="A93" s="126"/>
      <c r="B93" s="23">
        <v>5512</v>
      </c>
      <c r="C93" s="23">
        <v>223</v>
      </c>
      <c r="D93" s="193" t="s">
        <v>203</v>
      </c>
      <c r="E93" s="39">
        <v>333</v>
      </c>
      <c r="F93" s="13">
        <f>250+100</f>
        <v>350</v>
      </c>
      <c r="G93" s="49">
        <f>E93+F93</f>
        <v>683</v>
      </c>
      <c r="H93" s="179">
        <f>120+26.2+14.595+13.648</f>
        <v>174.44299999999998</v>
      </c>
      <c r="I93" s="174">
        <v>245</v>
      </c>
      <c r="J93" s="39">
        <f t="shared" si="50"/>
        <v>507.44299999999998</v>
      </c>
      <c r="K93" s="13">
        <f t="shared" si="50"/>
        <v>595</v>
      </c>
      <c r="L93" s="49">
        <f>SUM(J93:K93)</f>
        <v>1102.443</v>
      </c>
      <c r="M93" s="39">
        <f>1019.93481-N93</f>
        <v>452.93880999999999</v>
      </c>
      <c r="N93" s="13">
        <v>566.99599999999998</v>
      </c>
      <c r="O93" s="49">
        <f>M93+N93</f>
        <v>1019.93481</v>
      </c>
      <c r="P93" s="49">
        <f t="shared" si="51"/>
        <v>92.51587701132847</v>
      </c>
      <c r="Q93" s="389">
        <f>L93-O93</f>
        <v>82.508190000000013</v>
      </c>
      <c r="R93" s="13">
        <v>6337</v>
      </c>
      <c r="S93" s="357">
        <f t="shared" si="47"/>
        <v>9.2781844802342608</v>
      </c>
      <c r="T93" s="49"/>
      <c r="U93" s="57" t="s">
        <v>169</v>
      </c>
      <c r="V93" s="431" t="s">
        <v>316</v>
      </c>
      <c r="W93" s="132"/>
    </row>
    <row r="94" spans="1:23" x14ac:dyDescent="0.2">
      <c r="A94" s="127">
        <v>61</v>
      </c>
      <c r="B94" s="18">
        <v>6100</v>
      </c>
      <c r="C94" s="18"/>
      <c r="D94" s="425" t="s">
        <v>84</v>
      </c>
      <c r="E94" s="50">
        <f t="shared" ref="E94:O94" si="52">SUM(E95:E99)</f>
        <v>44889</v>
      </c>
      <c r="F94" s="51">
        <f t="shared" si="52"/>
        <v>1642</v>
      </c>
      <c r="G94" s="52">
        <f t="shared" si="52"/>
        <v>46531</v>
      </c>
      <c r="H94" s="177">
        <f t="shared" si="52"/>
        <v>1051.9859999999999</v>
      </c>
      <c r="I94" s="178">
        <f t="shared" si="52"/>
        <v>0</v>
      </c>
      <c r="J94" s="50">
        <f t="shared" si="52"/>
        <v>45940.985999999997</v>
      </c>
      <c r="K94" s="51">
        <f t="shared" si="52"/>
        <v>1642</v>
      </c>
      <c r="L94" s="52">
        <f t="shared" si="52"/>
        <v>47582.985999999997</v>
      </c>
      <c r="M94" s="50">
        <f t="shared" si="52"/>
        <v>44837.840020000003</v>
      </c>
      <c r="N94" s="51">
        <f t="shared" si="52"/>
        <v>1297.06</v>
      </c>
      <c r="O94" s="52">
        <f t="shared" si="52"/>
        <v>46134.900020000001</v>
      </c>
      <c r="P94" s="52">
        <f t="shared" si="51"/>
        <v>96.956714780362887</v>
      </c>
      <c r="Q94" s="390">
        <f>SUM(Q95:Q99)</f>
        <v>1448.0859799999948</v>
      </c>
      <c r="R94" s="51" t="e">
        <f>SUM(R95:R99)</f>
        <v>#REF!</v>
      </c>
      <c r="S94" s="358" t="e">
        <f t="shared" si="47"/>
        <v>#REF!</v>
      </c>
      <c r="T94" s="52"/>
      <c r="U94" s="301"/>
      <c r="V94" s="67"/>
      <c r="W94" s="313"/>
    </row>
    <row r="95" spans="1:23" x14ac:dyDescent="0.2">
      <c r="A95" s="126"/>
      <c r="B95" s="23">
        <v>6112</v>
      </c>
      <c r="C95" s="23">
        <v>314</v>
      </c>
      <c r="D95" s="193" t="s">
        <v>85</v>
      </c>
      <c r="E95" s="39">
        <f>2044+60</f>
        <v>2104</v>
      </c>
      <c r="F95" s="13"/>
      <c r="G95" s="49">
        <f>E95+F95</f>
        <v>2104</v>
      </c>
      <c r="H95" s="179"/>
      <c r="I95" s="174"/>
      <c r="J95" s="39">
        <f>E95+H95</f>
        <v>2104</v>
      </c>
      <c r="K95" s="13"/>
      <c r="L95" s="49">
        <f>SUM(J95:K95)</f>
        <v>2104</v>
      </c>
      <c r="M95" s="39">
        <v>1948.32</v>
      </c>
      <c r="N95" s="13"/>
      <c r="O95" s="49">
        <f t="shared" ref="O95:O99" si="53">M95+N95</f>
        <v>1948.32</v>
      </c>
      <c r="P95" s="49">
        <f t="shared" si="51"/>
        <v>92.600760456273761</v>
      </c>
      <c r="Q95" s="389">
        <f>L95-O95</f>
        <v>155.68000000000006</v>
      </c>
      <c r="R95" s="447" t="e">
        <f>#REF!</f>
        <v>#REF!</v>
      </c>
      <c r="S95" s="357" t="e">
        <f t="shared" si="47"/>
        <v>#REF!</v>
      </c>
      <c r="T95" s="49"/>
      <c r="U95" s="297" t="s">
        <v>316</v>
      </c>
      <c r="V95" s="286" t="s">
        <v>213</v>
      </c>
      <c r="W95" s="132"/>
    </row>
    <row r="96" spans="1:23" x14ac:dyDescent="0.2">
      <c r="A96" s="126"/>
      <c r="B96" s="23">
        <v>6115</v>
      </c>
      <c r="C96" s="23"/>
      <c r="D96" s="193" t="s">
        <v>372</v>
      </c>
      <c r="E96" s="39"/>
      <c r="F96" s="13"/>
      <c r="G96" s="49"/>
      <c r="H96" s="179">
        <f>150+38.142</f>
        <v>188.142</v>
      </c>
      <c r="I96" s="174"/>
      <c r="J96" s="39">
        <f>E96+H96</f>
        <v>188.142</v>
      </c>
      <c r="K96" s="13"/>
      <c r="L96" s="49">
        <f>SUM(J96:K96)</f>
        <v>188.142</v>
      </c>
      <c r="M96" s="39">
        <v>188.81241</v>
      </c>
      <c r="N96" s="13"/>
      <c r="O96" s="49">
        <f t="shared" si="53"/>
        <v>188.81241</v>
      </c>
      <c r="P96" s="49">
        <f>O96/$L96*100</f>
        <v>100.35633191950761</v>
      </c>
      <c r="Q96" s="389">
        <f>L96-O96</f>
        <v>-0.67041000000000395</v>
      </c>
      <c r="R96" s="13"/>
      <c r="S96" s="357"/>
      <c r="T96" s="49"/>
      <c r="U96" s="297"/>
      <c r="V96" s="286"/>
      <c r="W96" s="132"/>
    </row>
    <row r="97" spans="1:23" x14ac:dyDescent="0.2">
      <c r="A97" s="126"/>
      <c r="B97" s="23">
        <v>6171</v>
      </c>
      <c r="C97" s="23">
        <v>314</v>
      </c>
      <c r="D97" s="193" t="s">
        <v>99</v>
      </c>
      <c r="E97" s="39">
        <v>42480</v>
      </c>
      <c r="F97" s="13">
        <v>1542</v>
      </c>
      <c r="G97" s="49">
        <f>E97+F97</f>
        <v>44022</v>
      </c>
      <c r="H97" s="175">
        <f>110.794+40.05+88</f>
        <v>238.84399999999999</v>
      </c>
      <c r="I97" s="176"/>
      <c r="J97" s="39">
        <f t="shared" ref="J97:K99" si="54">E97+H97</f>
        <v>42718.843999999997</v>
      </c>
      <c r="K97" s="13">
        <f t="shared" si="54"/>
        <v>1542</v>
      </c>
      <c r="L97" s="49">
        <f>SUM(J97:K97)</f>
        <v>44260.843999999997</v>
      </c>
      <c r="M97" s="39">
        <f>42997.61914-N97</f>
        <v>41700.559140000005</v>
      </c>
      <c r="N97" s="13">
        <f>154.941+1142.119</f>
        <v>1297.06</v>
      </c>
      <c r="O97" s="49">
        <f t="shared" si="53"/>
        <v>42997.619140000003</v>
      </c>
      <c r="P97" s="49">
        <f>O97/$L97*100</f>
        <v>97.145953972319205</v>
      </c>
      <c r="Q97" s="389">
        <f>L97-O97</f>
        <v>1263.2248599999948</v>
      </c>
      <c r="R97" s="447" t="e">
        <f>#REF!</f>
        <v>#REF!</v>
      </c>
      <c r="S97" s="357" t="e">
        <f t="shared" ref="S97:S106" si="55">R97/G97</f>
        <v>#REF!</v>
      </c>
      <c r="T97" s="49"/>
      <c r="U97" s="306" t="s">
        <v>437</v>
      </c>
      <c r="V97" s="67"/>
      <c r="W97" s="132"/>
    </row>
    <row r="98" spans="1:23" x14ac:dyDescent="0.2">
      <c r="A98" s="126"/>
      <c r="B98" s="23">
        <v>6171</v>
      </c>
      <c r="C98" s="23">
        <v>308</v>
      </c>
      <c r="D98" s="193" t="s">
        <v>334</v>
      </c>
      <c r="E98" s="39"/>
      <c r="F98" s="13">
        <v>100</v>
      </c>
      <c r="G98" s="49">
        <f>E98+F98</f>
        <v>100</v>
      </c>
      <c r="H98" s="175"/>
      <c r="I98" s="176"/>
      <c r="J98" s="39">
        <f t="shared" si="54"/>
        <v>0</v>
      </c>
      <c r="K98" s="13">
        <f t="shared" si="54"/>
        <v>100</v>
      </c>
      <c r="L98" s="49">
        <f>SUM(J98:K98)</f>
        <v>100</v>
      </c>
      <c r="M98" s="39">
        <v>100</v>
      </c>
      <c r="N98" s="13"/>
      <c r="O98" s="49">
        <f t="shared" si="53"/>
        <v>100</v>
      </c>
      <c r="P98" s="49">
        <f t="shared" si="51"/>
        <v>100</v>
      </c>
      <c r="Q98" s="389">
        <f>L98-O98</f>
        <v>0</v>
      </c>
      <c r="R98" s="13"/>
      <c r="S98" s="357">
        <f t="shared" si="55"/>
        <v>0</v>
      </c>
      <c r="T98" s="49" t="s">
        <v>382</v>
      </c>
      <c r="U98" s="326" t="s">
        <v>277</v>
      </c>
      <c r="V98" s="283" t="s">
        <v>71</v>
      </c>
      <c r="W98" s="331"/>
    </row>
    <row r="99" spans="1:23" x14ac:dyDescent="0.2">
      <c r="A99" s="126"/>
      <c r="B99" s="23">
        <v>6171</v>
      </c>
      <c r="C99" s="23">
        <v>318</v>
      </c>
      <c r="D99" s="193" t="s">
        <v>254</v>
      </c>
      <c r="E99" s="39">
        <v>305</v>
      </c>
      <c r="F99" s="13"/>
      <c r="G99" s="49">
        <f>E99+F99</f>
        <v>305</v>
      </c>
      <c r="H99" s="175">
        <v>625</v>
      </c>
      <c r="I99" s="176"/>
      <c r="J99" s="39">
        <f t="shared" si="54"/>
        <v>930</v>
      </c>
      <c r="K99" s="13">
        <f t="shared" si="54"/>
        <v>0</v>
      </c>
      <c r="L99" s="49">
        <f>SUM(J99:K99)</f>
        <v>930</v>
      </c>
      <c r="M99" s="39">
        <v>900.14846999999997</v>
      </c>
      <c r="N99" s="13"/>
      <c r="O99" s="49">
        <f t="shared" si="53"/>
        <v>900.14846999999997</v>
      </c>
      <c r="P99" s="49">
        <f t="shared" si="51"/>
        <v>96.790158064516135</v>
      </c>
      <c r="Q99" s="389">
        <f>L99-O99</f>
        <v>29.851530000000025</v>
      </c>
      <c r="R99" s="13">
        <v>655</v>
      </c>
      <c r="S99" s="357">
        <f t="shared" si="55"/>
        <v>2.1475409836065573</v>
      </c>
      <c r="T99" s="49"/>
      <c r="U99" s="298" t="s">
        <v>166</v>
      </c>
      <c r="V99" s="287" t="s">
        <v>69</v>
      </c>
      <c r="W99" s="132"/>
    </row>
    <row r="100" spans="1:23" x14ac:dyDescent="0.2">
      <c r="A100" s="127" t="s">
        <v>86</v>
      </c>
      <c r="B100" s="18">
        <v>6300</v>
      </c>
      <c r="C100" s="18"/>
      <c r="D100" s="425" t="s">
        <v>87</v>
      </c>
      <c r="E100" s="50">
        <f t="shared" ref="E100:L100" si="56">SUM(E101:E106)</f>
        <v>6384</v>
      </c>
      <c r="F100" s="51">
        <f t="shared" si="56"/>
        <v>10700</v>
      </c>
      <c r="G100" s="52">
        <f t="shared" si="56"/>
        <v>17084</v>
      </c>
      <c r="H100" s="177">
        <f t="shared" si="56"/>
        <v>-1374.6849999999999</v>
      </c>
      <c r="I100" s="178">
        <f t="shared" si="56"/>
        <v>0</v>
      </c>
      <c r="J100" s="50">
        <f t="shared" si="56"/>
        <v>5009.3150000000005</v>
      </c>
      <c r="K100" s="51">
        <f t="shared" si="56"/>
        <v>10700</v>
      </c>
      <c r="L100" s="52">
        <f t="shared" si="56"/>
        <v>15709.315000000001</v>
      </c>
      <c r="M100" s="50">
        <f>SUM(M101:M106)</f>
        <v>4595.7536300000002</v>
      </c>
      <c r="N100" s="51">
        <f>SUM(N101:N106)</f>
        <v>0</v>
      </c>
      <c r="O100" s="52">
        <f>SUM(O101:O106)</f>
        <v>4595.7536300000002</v>
      </c>
      <c r="P100" s="52">
        <f t="shared" si="51"/>
        <v>29.254958793556561</v>
      </c>
      <c r="Q100" s="390">
        <f>SUM(Q101:Q106)</f>
        <v>11113.561370000001</v>
      </c>
      <c r="R100" s="51">
        <f>SUM(R101:R106)</f>
        <v>4679</v>
      </c>
      <c r="S100" s="358">
        <f t="shared" si="55"/>
        <v>0.27388199484898151</v>
      </c>
      <c r="T100" s="52"/>
      <c r="U100" s="301"/>
      <c r="V100" s="67"/>
      <c r="W100" s="313"/>
    </row>
    <row r="101" spans="1:23" x14ac:dyDescent="0.2">
      <c r="A101" s="126"/>
      <c r="B101" s="23">
        <v>6320</v>
      </c>
      <c r="C101" s="23">
        <v>314</v>
      </c>
      <c r="D101" s="193" t="s">
        <v>204</v>
      </c>
      <c r="E101" s="39">
        <v>255</v>
      </c>
      <c r="F101" s="13"/>
      <c r="G101" s="49">
        <f t="shared" ref="G101:G106" si="57">E101+F101</f>
        <v>255</v>
      </c>
      <c r="H101" s="175"/>
      <c r="I101" s="174"/>
      <c r="J101" s="39">
        <f t="shared" ref="J101:J106" si="58">E101+H101</f>
        <v>255</v>
      </c>
      <c r="K101" s="13"/>
      <c r="L101" s="49">
        <f t="shared" ref="L101:L106" si="59">SUM(J101:K101)</f>
        <v>255</v>
      </c>
      <c r="M101" s="39">
        <v>234.619</v>
      </c>
      <c r="N101" s="13"/>
      <c r="O101" s="49">
        <f t="shared" ref="O101:O106" si="60">M101+N101</f>
        <v>234.619</v>
      </c>
      <c r="P101" s="49">
        <f t="shared" si="51"/>
        <v>92.007450980392164</v>
      </c>
      <c r="Q101" s="389">
        <f t="shared" ref="Q101:Q106" si="61">L101-O101</f>
        <v>20.381</v>
      </c>
      <c r="R101" s="13">
        <v>255</v>
      </c>
      <c r="S101" s="357">
        <f t="shared" si="55"/>
        <v>1</v>
      </c>
      <c r="T101" s="49"/>
      <c r="U101" s="302" t="s">
        <v>168</v>
      </c>
      <c r="V101" s="285" t="s">
        <v>69</v>
      </c>
      <c r="W101" s="132"/>
    </row>
    <row r="102" spans="1:23" x14ac:dyDescent="0.2">
      <c r="A102" s="126"/>
      <c r="B102" s="23">
        <v>6399</v>
      </c>
      <c r="C102" s="23">
        <v>314</v>
      </c>
      <c r="D102" s="193" t="s">
        <v>255</v>
      </c>
      <c r="E102" s="39">
        <v>150</v>
      </c>
      <c r="F102" s="13"/>
      <c r="G102" s="49">
        <f t="shared" si="57"/>
        <v>150</v>
      </c>
      <c r="H102" s="175"/>
      <c r="I102" s="174"/>
      <c r="J102" s="39">
        <f t="shared" si="58"/>
        <v>150</v>
      </c>
      <c r="K102" s="13"/>
      <c r="L102" s="49">
        <f t="shared" si="59"/>
        <v>150</v>
      </c>
      <c r="M102" s="39">
        <v>31.048999999999999</v>
      </c>
      <c r="N102" s="13"/>
      <c r="O102" s="49">
        <f t="shared" si="60"/>
        <v>31.048999999999999</v>
      </c>
      <c r="P102" s="49">
        <f t="shared" si="51"/>
        <v>20.699333333333332</v>
      </c>
      <c r="Q102" s="389">
        <f t="shared" si="61"/>
        <v>118.95099999999999</v>
      </c>
      <c r="R102" s="13">
        <v>150</v>
      </c>
      <c r="S102" s="357">
        <f t="shared" si="55"/>
        <v>1</v>
      </c>
      <c r="T102" s="49"/>
      <c r="U102" s="307" t="s">
        <v>71</v>
      </c>
      <c r="V102" s="286" t="s">
        <v>213</v>
      </c>
      <c r="W102" s="132"/>
    </row>
    <row r="103" spans="1:23" x14ac:dyDescent="0.2">
      <c r="A103" s="126"/>
      <c r="B103" s="23">
        <v>6399</v>
      </c>
      <c r="C103" s="23">
        <v>315</v>
      </c>
      <c r="D103" s="193" t="s">
        <v>88</v>
      </c>
      <c r="E103" s="39">
        <v>3100</v>
      </c>
      <c r="F103" s="13"/>
      <c r="G103" s="49">
        <f t="shared" si="57"/>
        <v>3100</v>
      </c>
      <c r="H103" s="175"/>
      <c r="I103" s="174"/>
      <c r="J103" s="39">
        <f t="shared" si="58"/>
        <v>3100</v>
      </c>
      <c r="K103" s="13"/>
      <c r="L103" s="49">
        <f t="shared" si="59"/>
        <v>3100</v>
      </c>
      <c r="M103" s="39">
        <v>3097.38</v>
      </c>
      <c r="N103" s="13"/>
      <c r="O103" s="49">
        <f t="shared" si="60"/>
        <v>3097.38</v>
      </c>
      <c r="P103" s="49">
        <f t="shared" si="51"/>
        <v>99.915483870967748</v>
      </c>
      <c r="Q103" s="389">
        <f t="shared" si="61"/>
        <v>2.6199999999998909</v>
      </c>
      <c r="R103" s="13">
        <v>3100</v>
      </c>
      <c r="S103" s="357">
        <f t="shared" si="55"/>
        <v>1</v>
      </c>
      <c r="T103" s="49" t="s">
        <v>205</v>
      </c>
      <c r="U103" s="299" t="s">
        <v>212</v>
      </c>
      <c r="V103" s="283" t="s">
        <v>71</v>
      </c>
      <c r="W103" s="132"/>
    </row>
    <row r="104" spans="1:23" x14ac:dyDescent="0.2">
      <c r="A104" s="126"/>
      <c r="B104" s="23">
        <v>6399</v>
      </c>
      <c r="C104" s="23">
        <v>665</v>
      </c>
      <c r="D104" s="193" t="s">
        <v>262</v>
      </c>
      <c r="E104" s="39">
        <v>600</v>
      </c>
      <c r="F104" s="13"/>
      <c r="G104" s="49">
        <f t="shared" si="57"/>
        <v>600</v>
      </c>
      <c r="H104" s="175">
        <v>354</v>
      </c>
      <c r="I104" s="174"/>
      <c r="J104" s="39">
        <f t="shared" si="58"/>
        <v>954</v>
      </c>
      <c r="K104" s="13"/>
      <c r="L104" s="49">
        <f t="shared" si="59"/>
        <v>954</v>
      </c>
      <c r="M104" s="39">
        <v>900.37842999999998</v>
      </c>
      <c r="N104" s="13"/>
      <c r="O104" s="49">
        <f t="shared" si="60"/>
        <v>900.37842999999998</v>
      </c>
      <c r="P104" s="49">
        <f t="shared" si="51"/>
        <v>94.379290356394137</v>
      </c>
      <c r="Q104" s="389">
        <f t="shared" si="61"/>
        <v>53.62157000000002</v>
      </c>
      <c r="R104" s="13">
        <v>825</v>
      </c>
      <c r="S104" s="357">
        <f t="shared" si="55"/>
        <v>1.375</v>
      </c>
      <c r="T104" s="49"/>
      <c r="U104" s="299" t="s">
        <v>212</v>
      </c>
      <c r="V104" s="283" t="s">
        <v>71</v>
      </c>
      <c r="W104" s="132"/>
    </row>
    <row r="105" spans="1:23" x14ac:dyDescent="0.2">
      <c r="A105" s="126"/>
      <c r="B105" s="23">
        <v>6409</v>
      </c>
      <c r="C105" s="23">
        <v>100</v>
      </c>
      <c r="D105" s="193" t="s">
        <v>170</v>
      </c>
      <c r="E105" s="39">
        <v>285</v>
      </c>
      <c r="F105" s="13"/>
      <c r="G105" s="49">
        <f t="shared" si="57"/>
        <v>285</v>
      </c>
      <c r="H105" s="175">
        <v>55</v>
      </c>
      <c r="I105" s="174"/>
      <c r="J105" s="39">
        <f t="shared" si="58"/>
        <v>340</v>
      </c>
      <c r="K105" s="13"/>
      <c r="L105" s="49">
        <f t="shared" si="59"/>
        <v>340</v>
      </c>
      <c r="M105" s="39">
        <v>332.3272</v>
      </c>
      <c r="N105" s="13"/>
      <c r="O105" s="49">
        <f t="shared" si="60"/>
        <v>332.3272</v>
      </c>
      <c r="P105" s="49">
        <f t="shared" si="51"/>
        <v>97.743294117647068</v>
      </c>
      <c r="Q105" s="389">
        <f t="shared" si="61"/>
        <v>7.6727999999999952</v>
      </c>
      <c r="R105" s="13">
        <v>349</v>
      </c>
      <c r="S105" s="357">
        <f t="shared" si="55"/>
        <v>1.224561403508772</v>
      </c>
      <c r="T105" s="49"/>
      <c r="U105" s="299" t="s">
        <v>212</v>
      </c>
      <c r="V105" s="286" t="s">
        <v>316</v>
      </c>
      <c r="W105" s="132"/>
    </row>
    <row r="106" spans="1:23" x14ac:dyDescent="0.2">
      <c r="A106" s="126"/>
      <c r="B106" s="23">
        <v>6409</v>
      </c>
      <c r="C106" s="23"/>
      <c r="D106" s="428" t="s">
        <v>149</v>
      </c>
      <c r="E106" s="39">
        <f>2000-6</f>
        <v>1994</v>
      </c>
      <c r="F106" s="13">
        <f>7000+3700</f>
        <v>10700</v>
      </c>
      <c r="G106" s="49">
        <f t="shared" si="57"/>
        <v>12694</v>
      </c>
      <c r="H106" s="175">
        <f>-15-55-25-15-625-315-547-186.685</f>
        <v>-1783.6849999999999</v>
      </c>
      <c r="I106" s="176"/>
      <c r="J106" s="39">
        <f t="shared" si="58"/>
        <v>210.31500000000005</v>
      </c>
      <c r="K106" s="13">
        <f>F106+I106</f>
        <v>10700</v>
      </c>
      <c r="L106" s="49">
        <f t="shared" si="59"/>
        <v>10910.315000000001</v>
      </c>
      <c r="M106" s="39"/>
      <c r="N106" s="13"/>
      <c r="O106" s="49">
        <f t="shared" si="60"/>
        <v>0</v>
      </c>
      <c r="P106" s="49">
        <f t="shared" si="51"/>
        <v>0</v>
      </c>
      <c r="Q106" s="389">
        <f t="shared" si="61"/>
        <v>10910.315000000001</v>
      </c>
      <c r="R106" s="13"/>
      <c r="S106" s="357">
        <f t="shared" si="55"/>
        <v>0</v>
      </c>
      <c r="T106" s="49"/>
      <c r="U106" s="308" t="s">
        <v>71</v>
      </c>
      <c r="V106" s="283" t="s">
        <v>336</v>
      </c>
      <c r="W106" s="132"/>
    </row>
    <row r="107" spans="1:23" ht="13.5" thickBot="1" x14ac:dyDescent="0.25">
      <c r="A107" s="129"/>
      <c r="B107" s="89"/>
      <c r="C107" s="89"/>
      <c r="D107" s="90" t="s">
        <v>89</v>
      </c>
      <c r="E107" s="166">
        <f t="shared" ref="E107:O107" si="62">SUM(E5+E8+E14+E24+E36+E45+E54+E57+E76+E85+E89+E94+E100)</f>
        <v>117440</v>
      </c>
      <c r="F107" s="350">
        <f t="shared" si="62"/>
        <v>77859</v>
      </c>
      <c r="G107" s="350">
        <f t="shared" si="62"/>
        <v>195299</v>
      </c>
      <c r="H107" s="185">
        <f t="shared" si="62"/>
        <v>9919.3507200000004</v>
      </c>
      <c r="I107" s="185">
        <f t="shared" si="62"/>
        <v>-6373</v>
      </c>
      <c r="J107" s="166">
        <f t="shared" si="62"/>
        <v>127359.35071999999</v>
      </c>
      <c r="K107" s="350">
        <f t="shared" si="62"/>
        <v>71486</v>
      </c>
      <c r="L107" s="350">
        <f t="shared" si="62"/>
        <v>198845.35071999999</v>
      </c>
      <c r="M107" s="166">
        <f t="shared" si="62"/>
        <v>117409.19490000002</v>
      </c>
      <c r="N107" s="350">
        <f t="shared" si="62"/>
        <v>17781.251100000001</v>
      </c>
      <c r="O107" s="350">
        <f t="shared" si="62"/>
        <v>135190.446</v>
      </c>
      <c r="P107" s="350">
        <f t="shared" si="51"/>
        <v>67.987732934407731</v>
      </c>
      <c r="Q107" s="391">
        <f>SUM(Q5+Q8+Q14+Q24+Q36+Q45+Q54+Q57+Q76+Q85+Q89+Q94+Q100)</f>
        <v>63654.904719999999</v>
      </c>
      <c r="R107" s="350" t="e">
        <f>SUM(R5+R8+R14+R24+R36+R45+R54+R57+R76+R85+R89+R94+R100)</f>
        <v>#REF!</v>
      </c>
      <c r="S107" s="361"/>
      <c r="T107" s="350"/>
      <c r="U107" s="166"/>
      <c r="V107" s="295"/>
      <c r="W107" s="333"/>
    </row>
    <row r="108" spans="1:23" ht="13.5" thickBot="1" x14ac:dyDescent="0.25">
      <c r="A108" s="130"/>
      <c r="B108" s="29"/>
      <c r="C108" s="29"/>
      <c r="D108" s="29"/>
      <c r="E108" s="57" t="s">
        <v>90</v>
      </c>
      <c r="F108" s="29"/>
      <c r="G108" s="55">
        <f>SUM(E107:F107)</f>
        <v>195299</v>
      </c>
      <c r="H108" s="184"/>
      <c r="I108" s="181"/>
      <c r="J108" s="57"/>
      <c r="K108" s="29"/>
      <c r="L108" s="55">
        <f>+G107+H107+I107</f>
        <v>198845.35071999999</v>
      </c>
      <c r="M108" s="57" t="s">
        <v>90</v>
      </c>
      <c r="N108" s="29"/>
      <c r="O108" s="55">
        <f>SUM(M107:N107)</f>
        <v>135190.44600000003</v>
      </c>
      <c r="P108" s="55"/>
      <c r="Q108" s="392"/>
      <c r="R108" s="29"/>
      <c r="S108" s="359"/>
      <c r="T108" s="55"/>
      <c r="U108" s="439"/>
      <c r="V108" s="78"/>
      <c r="W108" s="132"/>
    </row>
    <row r="109" spans="1:23" x14ac:dyDescent="0.2">
      <c r="A109" s="37"/>
      <c r="B109" s="17"/>
      <c r="C109" s="17"/>
      <c r="D109" s="17"/>
      <c r="E109" s="17"/>
      <c r="F109" s="17"/>
      <c r="G109" s="132"/>
      <c r="H109" s="186"/>
      <c r="I109" s="186"/>
      <c r="J109" s="17"/>
      <c r="K109" s="17"/>
      <c r="L109" s="132"/>
      <c r="M109" s="17"/>
      <c r="N109" s="17"/>
      <c r="O109" s="132"/>
      <c r="P109" s="132"/>
      <c r="Q109" s="17"/>
      <c r="R109" s="17"/>
      <c r="S109" s="362"/>
      <c r="T109" s="132"/>
      <c r="U109" s="17"/>
      <c r="W109" s="333"/>
    </row>
    <row r="110" spans="1:23" x14ac:dyDescent="0.2">
      <c r="A110" s="37"/>
      <c r="B110" s="17"/>
      <c r="C110" s="17"/>
      <c r="D110" s="209"/>
      <c r="E110" s="17"/>
      <c r="F110" s="132"/>
      <c r="G110" s="132"/>
      <c r="H110" s="186"/>
      <c r="I110" s="186"/>
      <c r="J110" s="132"/>
      <c r="K110" s="17"/>
      <c r="L110" s="132"/>
      <c r="M110" s="132"/>
      <c r="N110" s="132"/>
      <c r="O110" s="132"/>
      <c r="P110" s="132"/>
      <c r="Q110" s="132"/>
      <c r="R110" s="132"/>
      <c r="S110" s="362"/>
      <c r="T110" s="383"/>
      <c r="U110" s="17"/>
      <c r="W110" s="332"/>
    </row>
    <row r="111" spans="1:23" x14ac:dyDescent="0.2">
      <c r="A111" s="37"/>
      <c r="B111" s="17"/>
      <c r="C111" s="17"/>
      <c r="D111" s="209"/>
      <c r="E111" s="17"/>
      <c r="F111" s="132"/>
      <c r="G111" s="132"/>
      <c r="H111" s="186"/>
      <c r="I111" s="186"/>
      <c r="J111" s="132"/>
      <c r="K111" s="17"/>
      <c r="L111" s="132"/>
      <c r="O111" s="132"/>
      <c r="P111" s="132"/>
      <c r="Q111" s="132"/>
      <c r="R111" s="132"/>
      <c r="S111" s="362"/>
      <c r="T111" s="383"/>
      <c r="U111" s="17"/>
      <c r="W111" s="332"/>
    </row>
    <row r="112" spans="1:23" x14ac:dyDescent="0.2">
      <c r="A112" s="37"/>
      <c r="B112" s="17"/>
      <c r="C112" s="17"/>
      <c r="D112" s="209"/>
      <c r="E112" s="17"/>
      <c r="F112" s="132"/>
      <c r="G112" s="132"/>
      <c r="H112" s="186"/>
      <c r="I112" s="186"/>
      <c r="J112" s="132"/>
      <c r="K112" s="17"/>
      <c r="L112" s="132"/>
      <c r="M112" s="17"/>
      <c r="N112" s="132"/>
      <c r="O112" s="132"/>
      <c r="P112" s="132"/>
      <c r="Q112" s="132"/>
      <c r="R112" s="132"/>
      <c r="S112" s="362"/>
      <c r="T112" s="383"/>
      <c r="U112" s="17"/>
      <c r="W112" s="332"/>
    </row>
    <row r="113" spans="4:22" x14ac:dyDescent="0.2">
      <c r="D113" s="208"/>
      <c r="E113" s="313"/>
      <c r="F113" s="313"/>
      <c r="G113" s="139"/>
      <c r="H113" s="186"/>
      <c r="I113" s="186"/>
      <c r="L113" s="139"/>
      <c r="M113" s="313"/>
      <c r="N113" s="313"/>
      <c r="O113" s="139"/>
      <c r="P113" s="139"/>
      <c r="Q113" s="17"/>
      <c r="R113" s="313"/>
      <c r="T113" s="441"/>
      <c r="U113" s="17"/>
    </row>
    <row r="114" spans="4:22" x14ac:dyDescent="0.2">
      <c r="D114" s="208"/>
      <c r="E114" s="313"/>
      <c r="F114" s="313"/>
      <c r="G114" s="139"/>
      <c r="H114" s="186"/>
      <c r="I114" s="186"/>
      <c r="L114" s="139"/>
      <c r="M114" s="313"/>
      <c r="N114" s="313"/>
      <c r="O114" s="139"/>
      <c r="P114" s="139"/>
      <c r="Q114" s="17"/>
      <c r="R114" s="313"/>
      <c r="T114" s="383"/>
      <c r="U114" s="17"/>
      <c r="V114" s="106"/>
    </row>
    <row r="115" spans="4:22" x14ac:dyDescent="0.2">
      <c r="D115" s="208"/>
      <c r="F115" s="106"/>
      <c r="H115" s="186"/>
      <c r="I115" s="186"/>
      <c r="M115" s="106"/>
      <c r="N115" s="106"/>
      <c r="Q115" s="17"/>
      <c r="R115" s="106"/>
      <c r="T115" s="383"/>
      <c r="U115" s="17"/>
      <c r="V115" s="106"/>
    </row>
    <row r="116" spans="4:22" x14ac:dyDescent="0.2">
      <c r="D116" s="208"/>
      <c r="F116" s="106"/>
      <c r="H116" s="186"/>
      <c r="I116" s="186"/>
      <c r="M116" s="106"/>
      <c r="N116" s="106"/>
      <c r="Q116" s="17"/>
      <c r="R116" s="106"/>
      <c r="T116" s="115"/>
      <c r="U116" s="17"/>
    </row>
    <row r="117" spans="4:22" x14ac:dyDescent="0.2">
      <c r="D117" s="208"/>
      <c r="F117" s="106"/>
      <c r="H117" s="186"/>
      <c r="I117" s="186"/>
      <c r="M117" s="106"/>
      <c r="N117" s="106"/>
      <c r="Q117" s="17"/>
      <c r="R117" s="106"/>
      <c r="T117" s="383"/>
      <c r="U117" s="446"/>
    </row>
    <row r="118" spans="4:22" x14ac:dyDescent="0.2">
      <c r="D118" s="208"/>
      <c r="F118" s="106"/>
      <c r="H118" s="186"/>
      <c r="I118" s="186"/>
      <c r="M118" s="106"/>
      <c r="N118" s="106"/>
      <c r="Q118" s="17"/>
      <c r="R118" s="106"/>
      <c r="T118" s="383"/>
    </row>
    <row r="119" spans="4:22" x14ac:dyDescent="0.2">
      <c r="D119" s="208"/>
      <c r="F119" s="106"/>
      <c r="H119" s="186"/>
      <c r="I119" s="186"/>
      <c r="M119" s="106"/>
      <c r="N119" s="106"/>
      <c r="Q119" s="17"/>
      <c r="R119" s="106"/>
      <c r="U119" s="60"/>
    </row>
    <row r="120" spans="4:22" x14ac:dyDescent="0.2">
      <c r="D120" s="208"/>
      <c r="F120" s="106"/>
      <c r="H120" s="186"/>
      <c r="I120" s="186"/>
      <c r="M120" s="106"/>
      <c r="N120" s="106"/>
      <c r="Q120" s="17"/>
      <c r="R120" s="106"/>
      <c r="T120" s="115"/>
      <c r="U120" s="59"/>
    </row>
    <row r="121" spans="4:22" x14ac:dyDescent="0.2">
      <c r="D121" s="208"/>
      <c r="F121" s="106"/>
      <c r="H121" s="186"/>
      <c r="I121" s="186"/>
      <c r="M121" s="106"/>
      <c r="N121" s="106"/>
      <c r="Q121" s="17"/>
      <c r="R121" s="106"/>
      <c r="T121" s="115"/>
      <c r="U121" s="59"/>
    </row>
    <row r="122" spans="4:22" x14ac:dyDescent="0.2">
      <c r="D122" s="208"/>
      <c r="F122" s="106"/>
      <c r="H122" s="186"/>
      <c r="I122" s="186"/>
      <c r="M122" s="106"/>
      <c r="N122" s="106"/>
      <c r="Q122" s="17"/>
      <c r="R122" s="106"/>
      <c r="T122" s="444"/>
    </row>
    <row r="123" spans="4:22" x14ac:dyDescent="0.2">
      <c r="D123" s="208"/>
      <c r="F123" s="106"/>
      <c r="H123" s="186"/>
      <c r="I123" s="186"/>
      <c r="M123" s="106"/>
      <c r="N123" s="106"/>
      <c r="Q123" s="17"/>
      <c r="R123" s="106"/>
    </row>
    <row r="124" spans="4:22" x14ac:dyDescent="0.2">
      <c r="F124" s="106"/>
      <c r="H124" s="186"/>
      <c r="I124" s="186"/>
      <c r="M124" s="106"/>
      <c r="N124" s="106"/>
      <c r="Q124" s="17"/>
      <c r="R124" s="106"/>
    </row>
    <row r="125" spans="4:22" x14ac:dyDescent="0.2">
      <c r="D125" s="208"/>
      <c r="F125" s="106"/>
      <c r="H125" s="186"/>
      <c r="I125" s="186"/>
      <c r="M125" s="106"/>
      <c r="N125" s="106"/>
      <c r="Q125" s="17"/>
      <c r="R125" s="106"/>
    </row>
    <row r="126" spans="4:22" x14ac:dyDescent="0.2">
      <c r="D126" s="208"/>
      <c r="F126" s="106"/>
      <c r="H126" s="186"/>
      <c r="I126" s="186"/>
      <c r="M126" s="106"/>
      <c r="N126" s="106"/>
      <c r="Q126" s="17"/>
      <c r="R126" s="106"/>
    </row>
    <row r="127" spans="4:22" x14ac:dyDescent="0.2">
      <c r="D127" s="208"/>
      <c r="F127" s="106"/>
      <c r="H127" s="186"/>
      <c r="I127" s="186"/>
      <c r="M127" s="106"/>
      <c r="N127" s="106"/>
      <c r="Q127" s="17"/>
      <c r="R127" s="106"/>
    </row>
    <row r="128" spans="4:22" x14ac:dyDescent="0.2">
      <c r="D128" s="208"/>
      <c r="F128" s="106"/>
      <c r="H128" s="186"/>
      <c r="I128" s="186"/>
      <c r="M128" s="106"/>
      <c r="N128" s="106"/>
      <c r="Q128" s="17"/>
      <c r="R128" s="106"/>
    </row>
    <row r="129" spans="4:18" x14ac:dyDescent="0.2">
      <c r="F129" s="106"/>
      <c r="H129" s="186"/>
      <c r="I129" s="186"/>
      <c r="M129" s="106"/>
      <c r="N129" s="106"/>
      <c r="Q129" s="17"/>
      <c r="R129" s="106"/>
    </row>
    <row r="130" spans="4:18" x14ac:dyDescent="0.2">
      <c r="F130" s="106"/>
      <c r="H130" s="186"/>
      <c r="I130" s="186"/>
      <c r="M130" s="106"/>
      <c r="N130" s="106"/>
      <c r="Q130" s="17"/>
      <c r="R130" s="106"/>
    </row>
    <row r="131" spans="4:18" x14ac:dyDescent="0.2">
      <c r="D131" s="208"/>
      <c r="F131" s="106"/>
      <c r="H131" s="186"/>
      <c r="I131" s="186"/>
      <c r="M131" s="106"/>
      <c r="N131" s="106"/>
      <c r="Q131" s="17"/>
      <c r="R131" s="106"/>
    </row>
    <row r="132" spans="4:18" x14ac:dyDescent="0.2">
      <c r="H132" s="186"/>
      <c r="I132" s="186"/>
      <c r="Q132" s="17"/>
    </row>
    <row r="133" spans="4:18" x14ac:dyDescent="0.2">
      <c r="H133" s="186"/>
      <c r="I133" s="186"/>
      <c r="Q133" s="17"/>
    </row>
    <row r="134" spans="4:18" x14ac:dyDescent="0.2">
      <c r="D134" s="209"/>
      <c r="H134" s="186"/>
      <c r="I134" s="186"/>
      <c r="Q134" s="17"/>
    </row>
    <row r="135" spans="4:18" x14ac:dyDescent="0.2">
      <c r="D135" s="209"/>
    </row>
    <row r="136" spans="4:18" x14ac:dyDescent="0.2">
      <c r="D136" s="209"/>
    </row>
    <row r="137" spans="4:18" x14ac:dyDescent="0.2">
      <c r="D137" s="209"/>
    </row>
  </sheetData>
  <mergeCells count="1">
    <mergeCell ref="H2:I2"/>
  </mergeCells>
  <phoneticPr fontId="6" type="noConversion"/>
  <pageMargins left="0.43307086614173229" right="0.19685039370078741" top="0.27559055118110237" bottom="0.23622047244094491" header="0.15748031496062992" footer="0.23622047244094491"/>
  <pageSetup paperSize="9" scale="95" orientation="landscape" verticalDpi="300" r:id="rId1"/>
  <headerFooter alignWithMargins="0">
    <oddHeader xml:space="preserve">&amp;R&amp;P+4.strana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2:O35"/>
  <sheetViews>
    <sheetView workbookViewId="0">
      <selection activeCell="A21" sqref="A21"/>
    </sheetView>
  </sheetViews>
  <sheetFormatPr defaultRowHeight="12.75" x14ac:dyDescent="0.2"/>
  <cols>
    <col min="1" max="1" width="25.7109375" customWidth="1"/>
    <col min="2" max="2" width="11" customWidth="1"/>
    <col min="3" max="3" width="11.28515625" customWidth="1"/>
    <col min="4" max="4" width="10.5703125" customWidth="1"/>
    <col min="5" max="5" width="10.140625" customWidth="1"/>
    <col min="6" max="6" width="9.42578125" customWidth="1"/>
    <col min="7" max="7" width="10" customWidth="1"/>
    <col min="8" max="8" width="10.140625" customWidth="1"/>
    <col min="9" max="9" width="11" customWidth="1"/>
    <col min="10" max="10" width="10.140625" bestFit="1" customWidth="1"/>
    <col min="11" max="11" width="10.5703125" customWidth="1"/>
    <col min="12" max="12" width="8.85546875" customWidth="1"/>
    <col min="13" max="13" width="9.7109375" customWidth="1"/>
    <col min="14" max="14" width="8.5703125" customWidth="1"/>
    <col min="15" max="15" width="10.140625" style="211" customWidth="1"/>
    <col min="257" max="257" width="22.7109375" customWidth="1"/>
    <col min="258" max="258" width="11.28515625" customWidth="1"/>
    <col min="259" max="259" width="11.5703125" customWidth="1"/>
    <col min="260" max="260" width="10.5703125" customWidth="1"/>
    <col min="261" max="261" width="9.28515625" customWidth="1"/>
    <col min="262" max="262" width="9.42578125" customWidth="1"/>
    <col min="263" max="263" width="8.42578125" customWidth="1"/>
    <col min="264" max="264" width="9.5703125" customWidth="1"/>
    <col min="265" max="265" width="11" customWidth="1"/>
    <col min="267" max="267" width="9.28515625" customWidth="1"/>
    <col min="268" max="268" width="8.7109375" customWidth="1"/>
    <col min="269" max="269" width="7.42578125" customWidth="1"/>
    <col min="270" max="270" width="8.5703125" customWidth="1"/>
    <col min="271" max="271" width="16.140625" customWidth="1"/>
    <col min="513" max="513" width="22.7109375" customWidth="1"/>
    <col min="514" max="514" width="11.28515625" customWidth="1"/>
    <col min="515" max="515" width="11.5703125" customWidth="1"/>
    <col min="516" max="516" width="10.5703125" customWidth="1"/>
    <col min="517" max="517" width="9.28515625" customWidth="1"/>
    <col min="518" max="518" width="9.42578125" customWidth="1"/>
    <col min="519" max="519" width="8.42578125" customWidth="1"/>
    <col min="520" max="520" width="9.5703125" customWidth="1"/>
    <col min="521" max="521" width="11" customWidth="1"/>
    <col min="523" max="523" width="9.28515625" customWidth="1"/>
    <col min="524" max="524" width="8.7109375" customWidth="1"/>
    <col min="525" max="525" width="7.42578125" customWidth="1"/>
    <col min="526" max="526" width="8.5703125" customWidth="1"/>
    <col min="527" max="527" width="16.140625" customWidth="1"/>
    <col min="769" max="769" width="22.7109375" customWidth="1"/>
    <col min="770" max="770" width="11.28515625" customWidth="1"/>
    <col min="771" max="771" width="11.5703125" customWidth="1"/>
    <col min="772" max="772" width="10.5703125" customWidth="1"/>
    <col min="773" max="773" width="9.28515625" customWidth="1"/>
    <col min="774" max="774" width="9.42578125" customWidth="1"/>
    <col min="775" max="775" width="8.42578125" customWidth="1"/>
    <col min="776" max="776" width="9.5703125" customWidth="1"/>
    <col min="777" max="777" width="11" customWidth="1"/>
    <col min="779" max="779" width="9.28515625" customWidth="1"/>
    <col min="780" max="780" width="8.7109375" customWidth="1"/>
    <col min="781" max="781" width="7.42578125" customWidth="1"/>
    <col min="782" max="782" width="8.5703125" customWidth="1"/>
    <col min="783" max="783" width="16.140625" customWidth="1"/>
    <col min="1025" max="1025" width="22.7109375" customWidth="1"/>
    <col min="1026" max="1026" width="11.28515625" customWidth="1"/>
    <col min="1027" max="1027" width="11.5703125" customWidth="1"/>
    <col min="1028" max="1028" width="10.5703125" customWidth="1"/>
    <col min="1029" max="1029" width="9.28515625" customWidth="1"/>
    <col min="1030" max="1030" width="9.42578125" customWidth="1"/>
    <col min="1031" max="1031" width="8.42578125" customWidth="1"/>
    <col min="1032" max="1032" width="9.5703125" customWidth="1"/>
    <col min="1033" max="1033" width="11" customWidth="1"/>
    <col min="1035" max="1035" width="9.28515625" customWidth="1"/>
    <col min="1036" max="1036" width="8.7109375" customWidth="1"/>
    <col min="1037" max="1037" width="7.42578125" customWidth="1"/>
    <col min="1038" max="1038" width="8.5703125" customWidth="1"/>
    <col min="1039" max="1039" width="16.140625" customWidth="1"/>
    <col min="1281" max="1281" width="22.7109375" customWidth="1"/>
    <col min="1282" max="1282" width="11.28515625" customWidth="1"/>
    <col min="1283" max="1283" width="11.5703125" customWidth="1"/>
    <col min="1284" max="1284" width="10.5703125" customWidth="1"/>
    <col min="1285" max="1285" width="9.28515625" customWidth="1"/>
    <col min="1286" max="1286" width="9.42578125" customWidth="1"/>
    <col min="1287" max="1287" width="8.42578125" customWidth="1"/>
    <col min="1288" max="1288" width="9.5703125" customWidth="1"/>
    <col min="1289" max="1289" width="11" customWidth="1"/>
    <col min="1291" max="1291" width="9.28515625" customWidth="1"/>
    <col min="1292" max="1292" width="8.7109375" customWidth="1"/>
    <col min="1293" max="1293" width="7.42578125" customWidth="1"/>
    <col min="1294" max="1294" width="8.5703125" customWidth="1"/>
    <col min="1295" max="1295" width="16.140625" customWidth="1"/>
    <col min="1537" max="1537" width="22.7109375" customWidth="1"/>
    <col min="1538" max="1538" width="11.28515625" customWidth="1"/>
    <col min="1539" max="1539" width="11.5703125" customWidth="1"/>
    <col min="1540" max="1540" width="10.5703125" customWidth="1"/>
    <col min="1541" max="1541" width="9.28515625" customWidth="1"/>
    <col min="1542" max="1542" width="9.42578125" customWidth="1"/>
    <col min="1543" max="1543" width="8.42578125" customWidth="1"/>
    <col min="1544" max="1544" width="9.5703125" customWidth="1"/>
    <col min="1545" max="1545" width="11" customWidth="1"/>
    <col min="1547" max="1547" width="9.28515625" customWidth="1"/>
    <col min="1548" max="1548" width="8.7109375" customWidth="1"/>
    <col min="1549" max="1549" width="7.42578125" customWidth="1"/>
    <col min="1550" max="1550" width="8.5703125" customWidth="1"/>
    <col min="1551" max="1551" width="16.140625" customWidth="1"/>
    <col min="1793" max="1793" width="22.7109375" customWidth="1"/>
    <col min="1794" max="1794" width="11.28515625" customWidth="1"/>
    <col min="1795" max="1795" width="11.5703125" customWidth="1"/>
    <col min="1796" max="1796" width="10.5703125" customWidth="1"/>
    <col min="1797" max="1797" width="9.28515625" customWidth="1"/>
    <col min="1798" max="1798" width="9.42578125" customWidth="1"/>
    <col min="1799" max="1799" width="8.42578125" customWidth="1"/>
    <col min="1800" max="1800" width="9.5703125" customWidth="1"/>
    <col min="1801" max="1801" width="11" customWidth="1"/>
    <col min="1803" max="1803" width="9.28515625" customWidth="1"/>
    <col min="1804" max="1804" width="8.7109375" customWidth="1"/>
    <col min="1805" max="1805" width="7.42578125" customWidth="1"/>
    <col min="1806" max="1806" width="8.5703125" customWidth="1"/>
    <col min="1807" max="1807" width="16.140625" customWidth="1"/>
    <col min="2049" max="2049" width="22.7109375" customWidth="1"/>
    <col min="2050" max="2050" width="11.28515625" customWidth="1"/>
    <col min="2051" max="2051" width="11.5703125" customWidth="1"/>
    <col min="2052" max="2052" width="10.5703125" customWidth="1"/>
    <col min="2053" max="2053" width="9.28515625" customWidth="1"/>
    <col min="2054" max="2054" width="9.42578125" customWidth="1"/>
    <col min="2055" max="2055" width="8.42578125" customWidth="1"/>
    <col min="2056" max="2056" width="9.5703125" customWidth="1"/>
    <col min="2057" max="2057" width="11" customWidth="1"/>
    <col min="2059" max="2059" width="9.28515625" customWidth="1"/>
    <col min="2060" max="2060" width="8.7109375" customWidth="1"/>
    <col min="2061" max="2061" width="7.42578125" customWidth="1"/>
    <col min="2062" max="2062" width="8.5703125" customWidth="1"/>
    <col min="2063" max="2063" width="16.140625" customWidth="1"/>
    <col min="2305" max="2305" width="22.7109375" customWidth="1"/>
    <col min="2306" max="2306" width="11.28515625" customWidth="1"/>
    <col min="2307" max="2307" width="11.5703125" customWidth="1"/>
    <col min="2308" max="2308" width="10.5703125" customWidth="1"/>
    <col min="2309" max="2309" width="9.28515625" customWidth="1"/>
    <col min="2310" max="2310" width="9.42578125" customWidth="1"/>
    <col min="2311" max="2311" width="8.42578125" customWidth="1"/>
    <col min="2312" max="2312" width="9.5703125" customWidth="1"/>
    <col min="2313" max="2313" width="11" customWidth="1"/>
    <col min="2315" max="2315" width="9.28515625" customWidth="1"/>
    <col min="2316" max="2316" width="8.7109375" customWidth="1"/>
    <col min="2317" max="2317" width="7.42578125" customWidth="1"/>
    <col min="2318" max="2318" width="8.5703125" customWidth="1"/>
    <col min="2319" max="2319" width="16.140625" customWidth="1"/>
    <col min="2561" max="2561" width="22.7109375" customWidth="1"/>
    <col min="2562" max="2562" width="11.28515625" customWidth="1"/>
    <col min="2563" max="2563" width="11.5703125" customWidth="1"/>
    <col min="2564" max="2564" width="10.5703125" customWidth="1"/>
    <col min="2565" max="2565" width="9.28515625" customWidth="1"/>
    <col min="2566" max="2566" width="9.42578125" customWidth="1"/>
    <col min="2567" max="2567" width="8.42578125" customWidth="1"/>
    <col min="2568" max="2568" width="9.5703125" customWidth="1"/>
    <col min="2569" max="2569" width="11" customWidth="1"/>
    <col min="2571" max="2571" width="9.28515625" customWidth="1"/>
    <col min="2572" max="2572" width="8.7109375" customWidth="1"/>
    <col min="2573" max="2573" width="7.42578125" customWidth="1"/>
    <col min="2574" max="2574" width="8.5703125" customWidth="1"/>
    <col min="2575" max="2575" width="16.140625" customWidth="1"/>
    <col min="2817" max="2817" width="22.7109375" customWidth="1"/>
    <col min="2818" max="2818" width="11.28515625" customWidth="1"/>
    <col min="2819" max="2819" width="11.5703125" customWidth="1"/>
    <col min="2820" max="2820" width="10.5703125" customWidth="1"/>
    <col min="2821" max="2821" width="9.28515625" customWidth="1"/>
    <col min="2822" max="2822" width="9.42578125" customWidth="1"/>
    <col min="2823" max="2823" width="8.42578125" customWidth="1"/>
    <col min="2824" max="2824" width="9.5703125" customWidth="1"/>
    <col min="2825" max="2825" width="11" customWidth="1"/>
    <col min="2827" max="2827" width="9.28515625" customWidth="1"/>
    <col min="2828" max="2828" width="8.7109375" customWidth="1"/>
    <col min="2829" max="2829" width="7.42578125" customWidth="1"/>
    <col min="2830" max="2830" width="8.5703125" customWidth="1"/>
    <col min="2831" max="2831" width="16.140625" customWidth="1"/>
    <col min="3073" max="3073" width="22.7109375" customWidth="1"/>
    <col min="3074" max="3074" width="11.28515625" customWidth="1"/>
    <col min="3075" max="3075" width="11.5703125" customWidth="1"/>
    <col min="3076" max="3076" width="10.5703125" customWidth="1"/>
    <col min="3077" max="3077" width="9.28515625" customWidth="1"/>
    <col min="3078" max="3078" width="9.42578125" customWidth="1"/>
    <col min="3079" max="3079" width="8.42578125" customWidth="1"/>
    <col min="3080" max="3080" width="9.5703125" customWidth="1"/>
    <col min="3081" max="3081" width="11" customWidth="1"/>
    <col min="3083" max="3083" width="9.28515625" customWidth="1"/>
    <col min="3084" max="3084" width="8.7109375" customWidth="1"/>
    <col min="3085" max="3085" width="7.42578125" customWidth="1"/>
    <col min="3086" max="3086" width="8.5703125" customWidth="1"/>
    <col min="3087" max="3087" width="16.140625" customWidth="1"/>
    <col min="3329" max="3329" width="22.7109375" customWidth="1"/>
    <col min="3330" max="3330" width="11.28515625" customWidth="1"/>
    <col min="3331" max="3331" width="11.5703125" customWidth="1"/>
    <col min="3332" max="3332" width="10.5703125" customWidth="1"/>
    <col min="3333" max="3333" width="9.28515625" customWidth="1"/>
    <col min="3334" max="3334" width="9.42578125" customWidth="1"/>
    <col min="3335" max="3335" width="8.42578125" customWidth="1"/>
    <col min="3336" max="3336" width="9.5703125" customWidth="1"/>
    <col min="3337" max="3337" width="11" customWidth="1"/>
    <col min="3339" max="3339" width="9.28515625" customWidth="1"/>
    <col min="3340" max="3340" width="8.7109375" customWidth="1"/>
    <col min="3341" max="3341" width="7.42578125" customWidth="1"/>
    <col min="3342" max="3342" width="8.5703125" customWidth="1"/>
    <col min="3343" max="3343" width="16.140625" customWidth="1"/>
    <col min="3585" max="3585" width="22.7109375" customWidth="1"/>
    <col min="3586" max="3586" width="11.28515625" customWidth="1"/>
    <col min="3587" max="3587" width="11.5703125" customWidth="1"/>
    <col min="3588" max="3588" width="10.5703125" customWidth="1"/>
    <col min="3589" max="3589" width="9.28515625" customWidth="1"/>
    <col min="3590" max="3590" width="9.42578125" customWidth="1"/>
    <col min="3591" max="3591" width="8.42578125" customWidth="1"/>
    <col min="3592" max="3592" width="9.5703125" customWidth="1"/>
    <col min="3593" max="3593" width="11" customWidth="1"/>
    <col min="3595" max="3595" width="9.28515625" customWidth="1"/>
    <col min="3596" max="3596" width="8.7109375" customWidth="1"/>
    <col min="3597" max="3597" width="7.42578125" customWidth="1"/>
    <col min="3598" max="3598" width="8.5703125" customWidth="1"/>
    <col min="3599" max="3599" width="16.140625" customWidth="1"/>
    <col min="3841" max="3841" width="22.7109375" customWidth="1"/>
    <col min="3842" max="3842" width="11.28515625" customWidth="1"/>
    <col min="3843" max="3843" width="11.5703125" customWidth="1"/>
    <col min="3844" max="3844" width="10.5703125" customWidth="1"/>
    <col min="3845" max="3845" width="9.28515625" customWidth="1"/>
    <col min="3846" max="3846" width="9.42578125" customWidth="1"/>
    <col min="3847" max="3847" width="8.42578125" customWidth="1"/>
    <col min="3848" max="3848" width="9.5703125" customWidth="1"/>
    <col min="3849" max="3849" width="11" customWidth="1"/>
    <col min="3851" max="3851" width="9.28515625" customWidth="1"/>
    <col min="3852" max="3852" width="8.7109375" customWidth="1"/>
    <col min="3853" max="3853" width="7.42578125" customWidth="1"/>
    <col min="3854" max="3854" width="8.5703125" customWidth="1"/>
    <col min="3855" max="3855" width="16.140625" customWidth="1"/>
    <col min="4097" max="4097" width="22.7109375" customWidth="1"/>
    <col min="4098" max="4098" width="11.28515625" customWidth="1"/>
    <col min="4099" max="4099" width="11.5703125" customWidth="1"/>
    <col min="4100" max="4100" width="10.5703125" customWidth="1"/>
    <col min="4101" max="4101" width="9.28515625" customWidth="1"/>
    <col min="4102" max="4102" width="9.42578125" customWidth="1"/>
    <col min="4103" max="4103" width="8.42578125" customWidth="1"/>
    <col min="4104" max="4104" width="9.5703125" customWidth="1"/>
    <col min="4105" max="4105" width="11" customWidth="1"/>
    <col min="4107" max="4107" width="9.28515625" customWidth="1"/>
    <col min="4108" max="4108" width="8.7109375" customWidth="1"/>
    <col min="4109" max="4109" width="7.42578125" customWidth="1"/>
    <col min="4110" max="4110" width="8.5703125" customWidth="1"/>
    <col min="4111" max="4111" width="16.140625" customWidth="1"/>
    <col min="4353" max="4353" width="22.7109375" customWidth="1"/>
    <col min="4354" max="4354" width="11.28515625" customWidth="1"/>
    <col min="4355" max="4355" width="11.5703125" customWidth="1"/>
    <col min="4356" max="4356" width="10.5703125" customWidth="1"/>
    <col min="4357" max="4357" width="9.28515625" customWidth="1"/>
    <col min="4358" max="4358" width="9.42578125" customWidth="1"/>
    <col min="4359" max="4359" width="8.42578125" customWidth="1"/>
    <col min="4360" max="4360" width="9.5703125" customWidth="1"/>
    <col min="4361" max="4361" width="11" customWidth="1"/>
    <col min="4363" max="4363" width="9.28515625" customWidth="1"/>
    <col min="4364" max="4364" width="8.7109375" customWidth="1"/>
    <col min="4365" max="4365" width="7.42578125" customWidth="1"/>
    <col min="4366" max="4366" width="8.5703125" customWidth="1"/>
    <col min="4367" max="4367" width="16.140625" customWidth="1"/>
    <col min="4609" max="4609" width="22.7109375" customWidth="1"/>
    <col min="4610" max="4610" width="11.28515625" customWidth="1"/>
    <col min="4611" max="4611" width="11.5703125" customWidth="1"/>
    <col min="4612" max="4612" width="10.5703125" customWidth="1"/>
    <col min="4613" max="4613" width="9.28515625" customWidth="1"/>
    <col min="4614" max="4614" width="9.42578125" customWidth="1"/>
    <col min="4615" max="4615" width="8.42578125" customWidth="1"/>
    <col min="4616" max="4616" width="9.5703125" customWidth="1"/>
    <col min="4617" max="4617" width="11" customWidth="1"/>
    <col min="4619" max="4619" width="9.28515625" customWidth="1"/>
    <col min="4620" max="4620" width="8.7109375" customWidth="1"/>
    <col min="4621" max="4621" width="7.42578125" customWidth="1"/>
    <col min="4622" max="4622" width="8.5703125" customWidth="1"/>
    <col min="4623" max="4623" width="16.140625" customWidth="1"/>
    <col min="4865" max="4865" width="22.7109375" customWidth="1"/>
    <col min="4866" max="4866" width="11.28515625" customWidth="1"/>
    <col min="4867" max="4867" width="11.5703125" customWidth="1"/>
    <col min="4868" max="4868" width="10.5703125" customWidth="1"/>
    <col min="4869" max="4869" width="9.28515625" customWidth="1"/>
    <col min="4870" max="4870" width="9.42578125" customWidth="1"/>
    <col min="4871" max="4871" width="8.42578125" customWidth="1"/>
    <col min="4872" max="4872" width="9.5703125" customWidth="1"/>
    <col min="4873" max="4873" width="11" customWidth="1"/>
    <col min="4875" max="4875" width="9.28515625" customWidth="1"/>
    <col min="4876" max="4876" width="8.7109375" customWidth="1"/>
    <col min="4877" max="4877" width="7.42578125" customWidth="1"/>
    <col min="4878" max="4878" width="8.5703125" customWidth="1"/>
    <col min="4879" max="4879" width="16.140625" customWidth="1"/>
    <col min="5121" max="5121" width="22.7109375" customWidth="1"/>
    <col min="5122" max="5122" width="11.28515625" customWidth="1"/>
    <col min="5123" max="5123" width="11.5703125" customWidth="1"/>
    <col min="5124" max="5124" width="10.5703125" customWidth="1"/>
    <col min="5125" max="5125" width="9.28515625" customWidth="1"/>
    <col min="5126" max="5126" width="9.42578125" customWidth="1"/>
    <col min="5127" max="5127" width="8.42578125" customWidth="1"/>
    <col min="5128" max="5128" width="9.5703125" customWidth="1"/>
    <col min="5129" max="5129" width="11" customWidth="1"/>
    <col min="5131" max="5131" width="9.28515625" customWidth="1"/>
    <col min="5132" max="5132" width="8.7109375" customWidth="1"/>
    <col min="5133" max="5133" width="7.42578125" customWidth="1"/>
    <col min="5134" max="5134" width="8.5703125" customWidth="1"/>
    <col min="5135" max="5135" width="16.140625" customWidth="1"/>
    <col min="5377" max="5377" width="22.7109375" customWidth="1"/>
    <col min="5378" max="5378" width="11.28515625" customWidth="1"/>
    <col min="5379" max="5379" width="11.5703125" customWidth="1"/>
    <col min="5380" max="5380" width="10.5703125" customWidth="1"/>
    <col min="5381" max="5381" width="9.28515625" customWidth="1"/>
    <col min="5382" max="5382" width="9.42578125" customWidth="1"/>
    <col min="5383" max="5383" width="8.42578125" customWidth="1"/>
    <col min="5384" max="5384" width="9.5703125" customWidth="1"/>
    <col min="5385" max="5385" width="11" customWidth="1"/>
    <col min="5387" max="5387" width="9.28515625" customWidth="1"/>
    <col min="5388" max="5388" width="8.7109375" customWidth="1"/>
    <col min="5389" max="5389" width="7.42578125" customWidth="1"/>
    <col min="5390" max="5390" width="8.5703125" customWidth="1"/>
    <col min="5391" max="5391" width="16.140625" customWidth="1"/>
    <col min="5633" max="5633" width="22.7109375" customWidth="1"/>
    <col min="5634" max="5634" width="11.28515625" customWidth="1"/>
    <col min="5635" max="5635" width="11.5703125" customWidth="1"/>
    <col min="5636" max="5636" width="10.5703125" customWidth="1"/>
    <col min="5637" max="5637" width="9.28515625" customWidth="1"/>
    <col min="5638" max="5638" width="9.42578125" customWidth="1"/>
    <col min="5639" max="5639" width="8.42578125" customWidth="1"/>
    <col min="5640" max="5640" width="9.5703125" customWidth="1"/>
    <col min="5641" max="5641" width="11" customWidth="1"/>
    <col min="5643" max="5643" width="9.28515625" customWidth="1"/>
    <col min="5644" max="5644" width="8.7109375" customWidth="1"/>
    <col min="5645" max="5645" width="7.42578125" customWidth="1"/>
    <col min="5646" max="5646" width="8.5703125" customWidth="1"/>
    <col min="5647" max="5647" width="16.140625" customWidth="1"/>
    <col min="5889" max="5889" width="22.7109375" customWidth="1"/>
    <col min="5890" max="5890" width="11.28515625" customWidth="1"/>
    <col min="5891" max="5891" width="11.5703125" customWidth="1"/>
    <col min="5892" max="5892" width="10.5703125" customWidth="1"/>
    <col min="5893" max="5893" width="9.28515625" customWidth="1"/>
    <col min="5894" max="5894" width="9.42578125" customWidth="1"/>
    <col min="5895" max="5895" width="8.42578125" customWidth="1"/>
    <col min="5896" max="5896" width="9.5703125" customWidth="1"/>
    <col min="5897" max="5897" width="11" customWidth="1"/>
    <col min="5899" max="5899" width="9.28515625" customWidth="1"/>
    <col min="5900" max="5900" width="8.7109375" customWidth="1"/>
    <col min="5901" max="5901" width="7.42578125" customWidth="1"/>
    <col min="5902" max="5902" width="8.5703125" customWidth="1"/>
    <col min="5903" max="5903" width="16.140625" customWidth="1"/>
    <col min="6145" max="6145" width="22.7109375" customWidth="1"/>
    <col min="6146" max="6146" width="11.28515625" customWidth="1"/>
    <col min="6147" max="6147" width="11.5703125" customWidth="1"/>
    <col min="6148" max="6148" width="10.5703125" customWidth="1"/>
    <col min="6149" max="6149" width="9.28515625" customWidth="1"/>
    <col min="6150" max="6150" width="9.42578125" customWidth="1"/>
    <col min="6151" max="6151" width="8.42578125" customWidth="1"/>
    <col min="6152" max="6152" width="9.5703125" customWidth="1"/>
    <col min="6153" max="6153" width="11" customWidth="1"/>
    <col min="6155" max="6155" width="9.28515625" customWidth="1"/>
    <col min="6156" max="6156" width="8.7109375" customWidth="1"/>
    <col min="6157" max="6157" width="7.42578125" customWidth="1"/>
    <col min="6158" max="6158" width="8.5703125" customWidth="1"/>
    <col min="6159" max="6159" width="16.140625" customWidth="1"/>
    <col min="6401" max="6401" width="22.7109375" customWidth="1"/>
    <col min="6402" max="6402" width="11.28515625" customWidth="1"/>
    <col min="6403" max="6403" width="11.5703125" customWidth="1"/>
    <col min="6404" max="6404" width="10.5703125" customWidth="1"/>
    <col min="6405" max="6405" width="9.28515625" customWidth="1"/>
    <col min="6406" max="6406" width="9.42578125" customWidth="1"/>
    <col min="6407" max="6407" width="8.42578125" customWidth="1"/>
    <col min="6408" max="6408" width="9.5703125" customWidth="1"/>
    <col min="6409" max="6409" width="11" customWidth="1"/>
    <col min="6411" max="6411" width="9.28515625" customWidth="1"/>
    <col min="6412" max="6412" width="8.7109375" customWidth="1"/>
    <col min="6413" max="6413" width="7.42578125" customWidth="1"/>
    <col min="6414" max="6414" width="8.5703125" customWidth="1"/>
    <col min="6415" max="6415" width="16.140625" customWidth="1"/>
    <col min="6657" max="6657" width="22.7109375" customWidth="1"/>
    <col min="6658" max="6658" width="11.28515625" customWidth="1"/>
    <col min="6659" max="6659" width="11.5703125" customWidth="1"/>
    <col min="6660" max="6660" width="10.5703125" customWidth="1"/>
    <col min="6661" max="6661" width="9.28515625" customWidth="1"/>
    <col min="6662" max="6662" width="9.42578125" customWidth="1"/>
    <col min="6663" max="6663" width="8.42578125" customWidth="1"/>
    <col min="6664" max="6664" width="9.5703125" customWidth="1"/>
    <col min="6665" max="6665" width="11" customWidth="1"/>
    <col min="6667" max="6667" width="9.28515625" customWidth="1"/>
    <col min="6668" max="6668" width="8.7109375" customWidth="1"/>
    <col min="6669" max="6669" width="7.42578125" customWidth="1"/>
    <col min="6670" max="6670" width="8.5703125" customWidth="1"/>
    <col min="6671" max="6671" width="16.140625" customWidth="1"/>
    <col min="6913" max="6913" width="22.7109375" customWidth="1"/>
    <col min="6914" max="6914" width="11.28515625" customWidth="1"/>
    <col min="6915" max="6915" width="11.5703125" customWidth="1"/>
    <col min="6916" max="6916" width="10.5703125" customWidth="1"/>
    <col min="6917" max="6917" width="9.28515625" customWidth="1"/>
    <col min="6918" max="6918" width="9.42578125" customWidth="1"/>
    <col min="6919" max="6919" width="8.42578125" customWidth="1"/>
    <col min="6920" max="6920" width="9.5703125" customWidth="1"/>
    <col min="6921" max="6921" width="11" customWidth="1"/>
    <col min="6923" max="6923" width="9.28515625" customWidth="1"/>
    <col min="6924" max="6924" width="8.7109375" customWidth="1"/>
    <col min="6925" max="6925" width="7.42578125" customWidth="1"/>
    <col min="6926" max="6926" width="8.5703125" customWidth="1"/>
    <col min="6927" max="6927" width="16.140625" customWidth="1"/>
    <col min="7169" max="7169" width="22.7109375" customWidth="1"/>
    <col min="7170" max="7170" width="11.28515625" customWidth="1"/>
    <col min="7171" max="7171" width="11.5703125" customWidth="1"/>
    <col min="7172" max="7172" width="10.5703125" customWidth="1"/>
    <col min="7173" max="7173" width="9.28515625" customWidth="1"/>
    <col min="7174" max="7174" width="9.42578125" customWidth="1"/>
    <col min="7175" max="7175" width="8.42578125" customWidth="1"/>
    <col min="7176" max="7176" width="9.5703125" customWidth="1"/>
    <col min="7177" max="7177" width="11" customWidth="1"/>
    <col min="7179" max="7179" width="9.28515625" customWidth="1"/>
    <col min="7180" max="7180" width="8.7109375" customWidth="1"/>
    <col min="7181" max="7181" width="7.42578125" customWidth="1"/>
    <col min="7182" max="7182" width="8.5703125" customWidth="1"/>
    <col min="7183" max="7183" width="16.140625" customWidth="1"/>
    <col min="7425" max="7425" width="22.7109375" customWidth="1"/>
    <col min="7426" max="7426" width="11.28515625" customWidth="1"/>
    <col min="7427" max="7427" width="11.5703125" customWidth="1"/>
    <col min="7428" max="7428" width="10.5703125" customWidth="1"/>
    <col min="7429" max="7429" width="9.28515625" customWidth="1"/>
    <col min="7430" max="7430" width="9.42578125" customWidth="1"/>
    <col min="7431" max="7431" width="8.42578125" customWidth="1"/>
    <col min="7432" max="7432" width="9.5703125" customWidth="1"/>
    <col min="7433" max="7433" width="11" customWidth="1"/>
    <col min="7435" max="7435" width="9.28515625" customWidth="1"/>
    <col min="7436" max="7436" width="8.7109375" customWidth="1"/>
    <col min="7437" max="7437" width="7.42578125" customWidth="1"/>
    <col min="7438" max="7438" width="8.5703125" customWidth="1"/>
    <col min="7439" max="7439" width="16.140625" customWidth="1"/>
    <col min="7681" max="7681" width="22.7109375" customWidth="1"/>
    <col min="7682" max="7682" width="11.28515625" customWidth="1"/>
    <col min="7683" max="7683" width="11.5703125" customWidth="1"/>
    <col min="7684" max="7684" width="10.5703125" customWidth="1"/>
    <col min="7685" max="7685" width="9.28515625" customWidth="1"/>
    <col min="7686" max="7686" width="9.42578125" customWidth="1"/>
    <col min="7687" max="7687" width="8.42578125" customWidth="1"/>
    <col min="7688" max="7688" width="9.5703125" customWidth="1"/>
    <col min="7689" max="7689" width="11" customWidth="1"/>
    <col min="7691" max="7691" width="9.28515625" customWidth="1"/>
    <col min="7692" max="7692" width="8.7109375" customWidth="1"/>
    <col min="7693" max="7693" width="7.42578125" customWidth="1"/>
    <col min="7694" max="7694" width="8.5703125" customWidth="1"/>
    <col min="7695" max="7695" width="16.140625" customWidth="1"/>
    <col min="7937" max="7937" width="22.7109375" customWidth="1"/>
    <col min="7938" max="7938" width="11.28515625" customWidth="1"/>
    <col min="7939" max="7939" width="11.5703125" customWidth="1"/>
    <col min="7940" max="7940" width="10.5703125" customWidth="1"/>
    <col min="7941" max="7941" width="9.28515625" customWidth="1"/>
    <col min="7942" max="7942" width="9.42578125" customWidth="1"/>
    <col min="7943" max="7943" width="8.42578125" customWidth="1"/>
    <col min="7944" max="7944" width="9.5703125" customWidth="1"/>
    <col min="7945" max="7945" width="11" customWidth="1"/>
    <col min="7947" max="7947" width="9.28515625" customWidth="1"/>
    <col min="7948" max="7948" width="8.7109375" customWidth="1"/>
    <col min="7949" max="7949" width="7.42578125" customWidth="1"/>
    <col min="7950" max="7950" width="8.5703125" customWidth="1"/>
    <col min="7951" max="7951" width="16.140625" customWidth="1"/>
    <col min="8193" max="8193" width="22.7109375" customWidth="1"/>
    <col min="8194" max="8194" width="11.28515625" customWidth="1"/>
    <col min="8195" max="8195" width="11.5703125" customWidth="1"/>
    <col min="8196" max="8196" width="10.5703125" customWidth="1"/>
    <col min="8197" max="8197" width="9.28515625" customWidth="1"/>
    <col min="8198" max="8198" width="9.42578125" customWidth="1"/>
    <col min="8199" max="8199" width="8.42578125" customWidth="1"/>
    <col min="8200" max="8200" width="9.5703125" customWidth="1"/>
    <col min="8201" max="8201" width="11" customWidth="1"/>
    <col min="8203" max="8203" width="9.28515625" customWidth="1"/>
    <col min="8204" max="8204" width="8.7109375" customWidth="1"/>
    <col min="8205" max="8205" width="7.42578125" customWidth="1"/>
    <col min="8206" max="8206" width="8.5703125" customWidth="1"/>
    <col min="8207" max="8207" width="16.140625" customWidth="1"/>
    <col min="8449" max="8449" width="22.7109375" customWidth="1"/>
    <col min="8450" max="8450" width="11.28515625" customWidth="1"/>
    <col min="8451" max="8451" width="11.5703125" customWidth="1"/>
    <col min="8452" max="8452" width="10.5703125" customWidth="1"/>
    <col min="8453" max="8453" width="9.28515625" customWidth="1"/>
    <col min="8454" max="8454" width="9.42578125" customWidth="1"/>
    <col min="8455" max="8455" width="8.42578125" customWidth="1"/>
    <col min="8456" max="8456" width="9.5703125" customWidth="1"/>
    <col min="8457" max="8457" width="11" customWidth="1"/>
    <col min="8459" max="8459" width="9.28515625" customWidth="1"/>
    <col min="8460" max="8460" width="8.7109375" customWidth="1"/>
    <col min="8461" max="8461" width="7.42578125" customWidth="1"/>
    <col min="8462" max="8462" width="8.5703125" customWidth="1"/>
    <col min="8463" max="8463" width="16.140625" customWidth="1"/>
    <col min="8705" max="8705" width="22.7109375" customWidth="1"/>
    <col min="8706" max="8706" width="11.28515625" customWidth="1"/>
    <col min="8707" max="8707" width="11.5703125" customWidth="1"/>
    <col min="8708" max="8708" width="10.5703125" customWidth="1"/>
    <col min="8709" max="8709" width="9.28515625" customWidth="1"/>
    <col min="8710" max="8710" width="9.42578125" customWidth="1"/>
    <col min="8711" max="8711" width="8.42578125" customWidth="1"/>
    <col min="8712" max="8712" width="9.5703125" customWidth="1"/>
    <col min="8713" max="8713" width="11" customWidth="1"/>
    <col min="8715" max="8715" width="9.28515625" customWidth="1"/>
    <col min="8716" max="8716" width="8.7109375" customWidth="1"/>
    <col min="8717" max="8717" width="7.42578125" customWidth="1"/>
    <col min="8718" max="8718" width="8.5703125" customWidth="1"/>
    <col min="8719" max="8719" width="16.140625" customWidth="1"/>
    <col min="8961" max="8961" width="22.7109375" customWidth="1"/>
    <col min="8962" max="8962" width="11.28515625" customWidth="1"/>
    <col min="8963" max="8963" width="11.5703125" customWidth="1"/>
    <col min="8964" max="8964" width="10.5703125" customWidth="1"/>
    <col min="8965" max="8965" width="9.28515625" customWidth="1"/>
    <col min="8966" max="8966" width="9.42578125" customWidth="1"/>
    <col min="8967" max="8967" width="8.42578125" customWidth="1"/>
    <col min="8968" max="8968" width="9.5703125" customWidth="1"/>
    <col min="8969" max="8969" width="11" customWidth="1"/>
    <col min="8971" max="8971" width="9.28515625" customWidth="1"/>
    <col min="8972" max="8972" width="8.7109375" customWidth="1"/>
    <col min="8973" max="8973" width="7.42578125" customWidth="1"/>
    <col min="8974" max="8974" width="8.5703125" customWidth="1"/>
    <col min="8975" max="8975" width="16.140625" customWidth="1"/>
    <col min="9217" max="9217" width="22.7109375" customWidth="1"/>
    <col min="9218" max="9218" width="11.28515625" customWidth="1"/>
    <col min="9219" max="9219" width="11.5703125" customWidth="1"/>
    <col min="9220" max="9220" width="10.5703125" customWidth="1"/>
    <col min="9221" max="9221" width="9.28515625" customWidth="1"/>
    <col min="9222" max="9222" width="9.42578125" customWidth="1"/>
    <col min="9223" max="9223" width="8.42578125" customWidth="1"/>
    <col min="9224" max="9224" width="9.5703125" customWidth="1"/>
    <col min="9225" max="9225" width="11" customWidth="1"/>
    <col min="9227" max="9227" width="9.28515625" customWidth="1"/>
    <col min="9228" max="9228" width="8.7109375" customWidth="1"/>
    <col min="9229" max="9229" width="7.42578125" customWidth="1"/>
    <col min="9230" max="9230" width="8.5703125" customWidth="1"/>
    <col min="9231" max="9231" width="16.140625" customWidth="1"/>
    <col min="9473" max="9473" width="22.7109375" customWidth="1"/>
    <col min="9474" max="9474" width="11.28515625" customWidth="1"/>
    <col min="9475" max="9475" width="11.5703125" customWidth="1"/>
    <col min="9476" max="9476" width="10.5703125" customWidth="1"/>
    <col min="9477" max="9477" width="9.28515625" customWidth="1"/>
    <col min="9478" max="9478" width="9.42578125" customWidth="1"/>
    <col min="9479" max="9479" width="8.42578125" customWidth="1"/>
    <col min="9480" max="9480" width="9.5703125" customWidth="1"/>
    <col min="9481" max="9481" width="11" customWidth="1"/>
    <col min="9483" max="9483" width="9.28515625" customWidth="1"/>
    <col min="9484" max="9484" width="8.7109375" customWidth="1"/>
    <col min="9485" max="9485" width="7.42578125" customWidth="1"/>
    <col min="9486" max="9486" width="8.5703125" customWidth="1"/>
    <col min="9487" max="9487" width="16.140625" customWidth="1"/>
    <col min="9729" max="9729" width="22.7109375" customWidth="1"/>
    <col min="9730" max="9730" width="11.28515625" customWidth="1"/>
    <col min="9731" max="9731" width="11.5703125" customWidth="1"/>
    <col min="9732" max="9732" width="10.5703125" customWidth="1"/>
    <col min="9733" max="9733" width="9.28515625" customWidth="1"/>
    <col min="9734" max="9734" width="9.42578125" customWidth="1"/>
    <col min="9735" max="9735" width="8.42578125" customWidth="1"/>
    <col min="9736" max="9736" width="9.5703125" customWidth="1"/>
    <col min="9737" max="9737" width="11" customWidth="1"/>
    <col min="9739" max="9739" width="9.28515625" customWidth="1"/>
    <col min="9740" max="9740" width="8.7109375" customWidth="1"/>
    <col min="9741" max="9741" width="7.42578125" customWidth="1"/>
    <col min="9742" max="9742" width="8.5703125" customWidth="1"/>
    <col min="9743" max="9743" width="16.140625" customWidth="1"/>
    <col min="9985" max="9985" width="22.7109375" customWidth="1"/>
    <col min="9986" max="9986" width="11.28515625" customWidth="1"/>
    <col min="9987" max="9987" width="11.5703125" customWidth="1"/>
    <col min="9988" max="9988" width="10.5703125" customWidth="1"/>
    <col min="9989" max="9989" width="9.28515625" customWidth="1"/>
    <col min="9990" max="9990" width="9.42578125" customWidth="1"/>
    <col min="9991" max="9991" width="8.42578125" customWidth="1"/>
    <col min="9992" max="9992" width="9.5703125" customWidth="1"/>
    <col min="9993" max="9993" width="11" customWidth="1"/>
    <col min="9995" max="9995" width="9.28515625" customWidth="1"/>
    <col min="9996" max="9996" width="8.7109375" customWidth="1"/>
    <col min="9997" max="9997" width="7.42578125" customWidth="1"/>
    <col min="9998" max="9998" width="8.5703125" customWidth="1"/>
    <col min="9999" max="9999" width="16.140625" customWidth="1"/>
    <col min="10241" max="10241" width="22.7109375" customWidth="1"/>
    <col min="10242" max="10242" width="11.28515625" customWidth="1"/>
    <col min="10243" max="10243" width="11.5703125" customWidth="1"/>
    <col min="10244" max="10244" width="10.5703125" customWidth="1"/>
    <col min="10245" max="10245" width="9.28515625" customWidth="1"/>
    <col min="10246" max="10246" width="9.42578125" customWidth="1"/>
    <col min="10247" max="10247" width="8.42578125" customWidth="1"/>
    <col min="10248" max="10248" width="9.5703125" customWidth="1"/>
    <col min="10249" max="10249" width="11" customWidth="1"/>
    <col min="10251" max="10251" width="9.28515625" customWidth="1"/>
    <col min="10252" max="10252" width="8.7109375" customWidth="1"/>
    <col min="10253" max="10253" width="7.42578125" customWidth="1"/>
    <col min="10254" max="10254" width="8.5703125" customWidth="1"/>
    <col min="10255" max="10255" width="16.140625" customWidth="1"/>
    <col min="10497" max="10497" width="22.7109375" customWidth="1"/>
    <col min="10498" max="10498" width="11.28515625" customWidth="1"/>
    <col min="10499" max="10499" width="11.5703125" customWidth="1"/>
    <col min="10500" max="10500" width="10.5703125" customWidth="1"/>
    <col min="10501" max="10501" width="9.28515625" customWidth="1"/>
    <col min="10502" max="10502" width="9.42578125" customWidth="1"/>
    <col min="10503" max="10503" width="8.42578125" customWidth="1"/>
    <col min="10504" max="10504" width="9.5703125" customWidth="1"/>
    <col min="10505" max="10505" width="11" customWidth="1"/>
    <col min="10507" max="10507" width="9.28515625" customWidth="1"/>
    <col min="10508" max="10508" width="8.7109375" customWidth="1"/>
    <col min="10509" max="10509" width="7.42578125" customWidth="1"/>
    <col min="10510" max="10510" width="8.5703125" customWidth="1"/>
    <col min="10511" max="10511" width="16.140625" customWidth="1"/>
    <col min="10753" max="10753" width="22.7109375" customWidth="1"/>
    <col min="10754" max="10754" width="11.28515625" customWidth="1"/>
    <col min="10755" max="10755" width="11.5703125" customWidth="1"/>
    <col min="10756" max="10756" width="10.5703125" customWidth="1"/>
    <col min="10757" max="10757" width="9.28515625" customWidth="1"/>
    <col min="10758" max="10758" width="9.42578125" customWidth="1"/>
    <col min="10759" max="10759" width="8.42578125" customWidth="1"/>
    <col min="10760" max="10760" width="9.5703125" customWidth="1"/>
    <col min="10761" max="10761" width="11" customWidth="1"/>
    <col min="10763" max="10763" width="9.28515625" customWidth="1"/>
    <col min="10764" max="10764" width="8.7109375" customWidth="1"/>
    <col min="10765" max="10765" width="7.42578125" customWidth="1"/>
    <col min="10766" max="10766" width="8.5703125" customWidth="1"/>
    <col min="10767" max="10767" width="16.140625" customWidth="1"/>
    <col min="11009" max="11009" width="22.7109375" customWidth="1"/>
    <col min="11010" max="11010" width="11.28515625" customWidth="1"/>
    <col min="11011" max="11011" width="11.5703125" customWidth="1"/>
    <col min="11012" max="11012" width="10.5703125" customWidth="1"/>
    <col min="11013" max="11013" width="9.28515625" customWidth="1"/>
    <col min="11014" max="11014" width="9.42578125" customWidth="1"/>
    <col min="11015" max="11015" width="8.42578125" customWidth="1"/>
    <col min="11016" max="11016" width="9.5703125" customWidth="1"/>
    <col min="11017" max="11017" width="11" customWidth="1"/>
    <col min="11019" max="11019" width="9.28515625" customWidth="1"/>
    <col min="11020" max="11020" width="8.7109375" customWidth="1"/>
    <col min="11021" max="11021" width="7.42578125" customWidth="1"/>
    <col min="11022" max="11022" width="8.5703125" customWidth="1"/>
    <col min="11023" max="11023" width="16.140625" customWidth="1"/>
    <col min="11265" max="11265" width="22.7109375" customWidth="1"/>
    <col min="11266" max="11266" width="11.28515625" customWidth="1"/>
    <col min="11267" max="11267" width="11.5703125" customWidth="1"/>
    <col min="11268" max="11268" width="10.5703125" customWidth="1"/>
    <col min="11269" max="11269" width="9.28515625" customWidth="1"/>
    <col min="11270" max="11270" width="9.42578125" customWidth="1"/>
    <col min="11271" max="11271" width="8.42578125" customWidth="1"/>
    <col min="11272" max="11272" width="9.5703125" customWidth="1"/>
    <col min="11273" max="11273" width="11" customWidth="1"/>
    <col min="11275" max="11275" width="9.28515625" customWidth="1"/>
    <col min="11276" max="11276" width="8.7109375" customWidth="1"/>
    <col min="11277" max="11277" width="7.42578125" customWidth="1"/>
    <col min="11278" max="11278" width="8.5703125" customWidth="1"/>
    <col min="11279" max="11279" width="16.140625" customWidth="1"/>
    <col min="11521" max="11521" width="22.7109375" customWidth="1"/>
    <col min="11522" max="11522" width="11.28515625" customWidth="1"/>
    <col min="11523" max="11523" width="11.5703125" customWidth="1"/>
    <col min="11524" max="11524" width="10.5703125" customWidth="1"/>
    <col min="11525" max="11525" width="9.28515625" customWidth="1"/>
    <col min="11526" max="11526" width="9.42578125" customWidth="1"/>
    <col min="11527" max="11527" width="8.42578125" customWidth="1"/>
    <col min="11528" max="11528" width="9.5703125" customWidth="1"/>
    <col min="11529" max="11529" width="11" customWidth="1"/>
    <col min="11531" max="11531" width="9.28515625" customWidth="1"/>
    <col min="11532" max="11532" width="8.7109375" customWidth="1"/>
    <col min="11533" max="11533" width="7.42578125" customWidth="1"/>
    <col min="11534" max="11534" width="8.5703125" customWidth="1"/>
    <col min="11535" max="11535" width="16.140625" customWidth="1"/>
    <col min="11777" max="11777" width="22.7109375" customWidth="1"/>
    <col min="11778" max="11778" width="11.28515625" customWidth="1"/>
    <col min="11779" max="11779" width="11.5703125" customWidth="1"/>
    <col min="11780" max="11780" width="10.5703125" customWidth="1"/>
    <col min="11781" max="11781" width="9.28515625" customWidth="1"/>
    <col min="11782" max="11782" width="9.42578125" customWidth="1"/>
    <col min="11783" max="11783" width="8.42578125" customWidth="1"/>
    <col min="11784" max="11784" width="9.5703125" customWidth="1"/>
    <col min="11785" max="11785" width="11" customWidth="1"/>
    <col min="11787" max="11787" width="9.28515625" customWidth="1"/>
    <col min="11788" max="11788" width="8.7109375" customWidth="1"/>
    <col min="11789" max="11789" width="7.42578125" customWidth="1"/>
    <col min="11790" max="11790" width="8.5703125" customWidth="1"/>
    <col min="11791" max="11791" width="16.140625" customWidth="1"/>
    <col min="12033" max="12033" width="22.7109375" customWidth="1"/>
    <col min="12034" max="12034" width="11.28515625" customWidth="1"/>
    <col min="12035" max="12035" width="11.5703125" customWidth="1"/>
    <col min="12036" max="12036" width="10.5703125" customWidth="1"/>
    <col min="12037" max="12037" width="9.28515625" customWidth="1"/>
    <col min="12038" max="12038" width="9.42578125" customWidth="1"/>
    <col min="12039" max="12039" width="8.42578125" customWidth="1"/>
    <col min="12040" max="12040" width="9.5703125" customWidth="1"/>
    <col min="12041" max="12041" width="11" customWidth="1"/>
    <col min="12043" max="12043" width="9.28515625" customWidth="1"/>
    <col min="12044" max="12044" width="8.7109375" customWidth="1"/>
    <col min="12045" max="12045" width="7.42578125" customWidth="1"/>
    <col min="12046" max="12046" width="8.5703125" customWidth="1"/>
    <col min="12047" max="12047" width="16.140625" customWidth="1"/>
    <col min="12289" max="12289" width="22.7109375" customWidth="1"/>
    <col min="12290" max="12290" width="11.28515625" customWidth="1"/>
    <col min="12291" max="12291" width="11.5703125" customWidth="1"/>
    <col min="12292" max="12292" width="10.5703125" customWidth="1"/>
    <col min="12293" max="12293" width="9.28515625" customWidth="1"/>
    <col min="12294" max="12294" width="9.42578125" customWidth="1"/>
    <col min="12295" max="12295" width="8.42578125" customWidth="1"/>
    <col min="12296" max="12296" width="9.5703125" customWidth="1"/>
    <col min="12297" max="12297" width="11" customWidth="1"/>
    <col min="12299" max="12299" width="9.28515625" customWidth="1"/>
    <col min="12300" max="12300" width="8.7109375" customWidth="1"/>
    <col min="12301" max="12301" width="7.42578125" customWidth="1"/>
    <col min="12302" max="12302" width="8.5703125" customWidth="1"/>
    <col min="12303" max="12303" width="16.140625" customWidth="1"/>
    <col min="12545" max="12545" width="22.7109375" customWidth="1"/>
    <col min="12546" max="12546" width="11.28515625" customWidth="1"/>
    <col min="12547" max="12547" width="11.5703125" customWidth="1"/>
    <col min="12548" max="12548" width="10.5703125" customWidth="1"/>
    <col min="12549" max="12549" width="9.28515625" customWidth="1"/>
    <col min="12550" max="12550" width="9.42578125" customWidth="1"/>
    <col min="12551" max="12551" width="8.42578125" customWidth="1"/>
    <col min="12552" max="12552" width="9.5703125" customWidth="1"/>
    <col min="12553" max="12553" width="11" customWidth="1"/>
    <col min="12555" max="12555" width="9.28515625" customWidth="1"/>
    <col min="12556" max="12556" width="8.7109375" customWidth="1"/>
    <col min="12557" max="12557" width="7.42578125" customWidth="1"/>
    <col min="12558" max="12558" width="8.5703125" customWidth="1"/>
    <col min="12559" max="12559" width="16.140625" customWidth="1"/>
    <col min="12801" max="12801" width="22.7109375" customWidth="1"/>
    <col min="12802" max="12802" width="11.28515625" customWidth="1"/>
    <col min="12803" max="12803" width="11.5703125" customWidth="1"/>
    <col min="12804" max="12804" width="10.5703125" customWidth="1"/>
    <col min="12805" max="12805" width="9.28515625" customWidth="1"/>
    <col min="12806" max="12806" width="9.42578125" customWidth="1"/>
    <col min="12807" max="12807" width="8.42578125" customWidth="1"/>
    <col min="12808" max="12808" width="9.5703125" customWidth="1"/>
    <col min="12809" max="12809" width="11" customWidth="1"/>
    <col min="12811" max="12811" width="9.28515625" customWidth="1"/>
    <col min="12812" max="12812" width="8.7109375" customWidth="1"/>
    <col min="12813" max="12813" width="7.42578125" customWidth="1"/>
    <col min="12814" max="12814" width="8.5703125" customWidth="1"/>
    <col min="12815" max="12815" width="16.140625" customWidth="1"/>
    <col min="13057" max="13057" width="22.7109375" customWidth="1"/>
    <col min="13058" max="13058" width="11.28515625" customWidth="1"/>
    <col min="13059" max="13059" width="11.5703125" customWidth="1"/>
    <col min="13060" max="13060" width="10.5703125" customWidth="1"/>
    <col min="13061" max="13061" width="9.28515625" customWidth="1"/>
    <col min="13062" max="13062" width="9.42578125" customWidth="1"/>
    <col min="13063" max="13063" width="8.42578125" customWidth="1"/>
    <col min="13064" max="13064" width="9.5703125" customWidth="1"/>
    <col min="13065" max="13065" width="11" customWidth="1"/>
    <col min="13067" max="13067" width="9.28515625" customWidth="1"/>
    <col min="13068" max="13068" width="8.7109375" customWidth="1"/>
    <col min="13069" max="13069" width="7.42578125" customWidth="1"/>
    <col min="13070" max="13070" width="8.5703125" customWidth="1"/>
    <col min="13071" max="13071" width="16.140625" customWidth="1"/>
    <col min="13313" max="13313" width="22.7109375" customWidth="1"/>
    <col min="13314" max="13314" width="11.28515625" customWidth="1"/>
    <col min="13315" max="13315" width="11.5703125" customWidth="1"/>
    <col min="13316" max="13316" width="10.5703125" customWidth="1"/>
    <col min="13317" max="13317" width="9.28515625" customWidth="1"/>
    <col min="13318" max="13318" width="9.42578125" customWidth="1"/>
    <col min="13319" max="13319" width="8.42578125" customWidth="1"/>
    <col min="13320" max="13320" width="9.5703125" customWidth="1"/>
    <col min="13321" max="13321" width="11" customWidth="1"/>
    <col min="13323" max="13323" width="9.28515625" customWidth="1"/>
    <col min="13324" max="13324" width="8.7109375" customWidth="1"/>
    <col min="13325" max="13325" width="7.42578125" customWidth="1"/>
    <col min="13326" max="13326" width="8.5703125" customWidth="1"/>
    <col min="13327" max="13327" width="16.140625" customWidth="1"/>
    <col min="13569" max="13569" width="22.7109375" customWidth="1"/>
    <col min="13570" max="13570" width="11.28515625" customWidth="1"/>
    <col min="13571" max="13571" width="11.5703125" customWidth="1"/>
    <col min="13572" max="13572" width="10.5703125" customWidth="1"/>
    <col min="13573" max="13573" width="9.28515625" customWidth="1"/>
    <col min="13574" max="13574" width="9.42578125" customWidth="1"/>
    <col min="13575" max="13575" width="8.42578125" customWidth="1"/>
    <col min="13576" max="13576" width="9.5703125" customWidth="1"/>
    <col min="13577" max="13577" width="11" customWidth="1"/>
    <col min="13579" max="13579" width="9.28515625" customWidth="1"/>
    <col min="13580" max="13580" width="8.7109375" customWidth="1"/>
    <col min="13581" max="13581" width="7.42578125" customWidth="1"/>
    <col min="13582" max="13582" width="8.5703125" customWidth="1"/>
    <col min="13583" max="13583" width="16.140625" customWidth="1"/>
    <col min="13825" max="13825" width="22.7109375" customWidth="1"/>
    <col min="13826" max="13826" width="11.28515625" customWidth="1"/>
    <col min="13827" max="13827" width="11.5703125" customWidth="1"/>
    <col min="13828" max="13828" width="10.5703125" customWidth="1"/>
    <col min="13829" max="13829" width="9.28515625" customWidth="1"/>
    <col min="13830" max="13830" width="9.42578125" customWidth="1"/>
    <col min="13831" max="13831" width="8.42578125" customWidth="1"/>
    <col min="13832" max="13832" width="9.5703125" customWidth="1"/>
    <col min="13833" max="13833" width="11" customWidth="1"/>
    <col min="13835" max="13835" width="9.28515625" customWidth="1"/>
    <col min="13836" max="13836" width="8.7109375" customWidth="1"/>
    <col min="13837" max="13837" width="7.42578125" customWidth="1"/>
    <col min="13838" max="13838" width="8.5703125" customWidth="1"/>
    <col min="13839" max="13839" width="16.140625" customWidth="1"/>
    <col min="14081" max="14081" width="22.7109375" customWidth="1"/>
    <col min="14082" max="14082" width="11.28515625" customWidth="1"/>
    <col min="14083" max="14083" width="11.5703125" customWidth="1"/>
    <col min="14084" max="14084" width="10.5703125" customWidth="1"/>
    <col min="14085" max="14085" width="9.28515625" customWidth="1"/>
    <col min="14086" max="14086" width="9.42578125" customWidth="1"/>
    <col min="14087" max="14087" width="8.42578125" customWidth="1"/>
    <col min="14088" max="14088" width="9.5703125" customWidth="1"/>
    <col min="14089" max="14089" width="11" customWidth="1"/>
    <col min="14091" max="14091" width="9.28515625" customWidth="1"/>
    <col min="14092" max="14092" width="8.7109375" customWidth="1"/>
    <col min="14093" max="14093" width="7.42578125" customWidth="1"/>
    <col min="14094" max="14094" width="8.5703125" customWidth="1"/>
    <col min="14095" max="14095" width="16.140625" customWidth="1"/>
    <col min="14337" max="14337" width="22.7109375" customWidth="1"/>
    <col min="14338" max="14338" width="11.28515625" customWidth="1"/>
    <col min="14339" max="14339" width="11.5703125" customWidth="1"/>
    <col min="14340" max="14340" width="10.5703125" customWidth="1"/>
    <col min="14341" max="14341" width="9.28515625" customWidth="1"/>
    <col min="14342" max="14342" width="9.42578125" customWidth="1"/>
    <col min="14343" max="14343" width="8.42578125" customWidth="1"/>
    <col min="14344" max="14344" width="9.5703125" customWidth="1"/>
    <col min="14345" max="14345" width="11" customWidth="1"/>
    <col min="14347" max="14347" width="9.28515625" customWidth="1"/>
    <col min="14348" max="14348" width="8.7109375" customWidth="1"/>
    <col min="14349" max="14349" width="7.42578125" customWidth="1"/>
    <col min="14350" max="14350" width="8.5703125" customWidth="1"/>
    <col min="14351" max="14351" width="16.140625" customWidth="1"/>
    <col min="14593" max="14593" width="22.7109375" customWidth="1"/>
    <col min="14594" max="14594" width="11.28515625" customWidth="1"/>
    <col min="14595" max="14595" width="11.5703125" customWidth="1"/>
    <col min="14596" max="14596" width="10.5703125" customWidth="1"/>
    <col min="14597" max="14597" width="9.28515625" customWidth="1"/>
    <col min="14598" max="14598" width="9.42578125" customWidth="1"/>
    <col min="14599" max="14599" width="8.42578125" customWidth="1"/>
    <col min="14600" max="14600" width="9.5703125" customWidth="1"/>
    <col min="14601" max="14601" width="11" customWidth="1"/>
    <col min="14603" max="14603" width="9.28515625" customWidth="1"/>
    <col min="14604" max="14604" width="8.7109375" customWidth="1"/>
    <col min="14605" max="14605" width="7.42578125" customWidth="1"/>
    <col min="14606" max="14606" width="8.5703125" customWidth="1"/>
    <col min="14607" max="14607" width="16.140625" customWidth="1"/>
    <col min="14849" max="14849" width="22.7109375" customWidth="1"/>
    <col min="14850" max="14850" width="11.28515625" customWidth="1"/>
    <col min="14851" max="14851" width="11.5703125" customWidth="1"/>
    <col min="14852" max="14852" width="10.5703125" customWidth="1"/>
    <col min="14853" max="14853" width="9.28515625" customWidth="1"/>
    <col min="14854" max="14854" width="9.42578125" customWidth="1"/>
    <col min="14855" max="14855" width="8.42578125" customWidth="1"/>
    <col min="14856" max="14856" width="9.5703125" customWidth="1"/>
    <col min="14857" max="14857" width="11" customWidth="1"/>
    <col min="14859" max="14859" width="9.28515625" customWidth="1"/>
    <col min="14860" max="14860" width="8.7109375" customWidth="1"/>
    <col min="14861" max="14861" width="7.42578125" customWidth="1"/>
    <col min="14862" max="14862" width="8.5703125" customWidth="1"/>
    <col min="14863" max="14863" width="16.140625" customWidth="1"/>
    <col min="15105" max="15105" width="22.7109375" customWidth="1"/>
    <col min="15106" max="15106" width="11.28515625" customWidth="1"/>
    <col min="15107" max="15107" width="11.5703125" customWidth="1"/>
    <col min="15108" max="15108" width="10.5703125" customWidth="1"/>
    <col min="15109" max="15109" width="9.28515625" customWidth="1"/>
    <col min="15110" max="15110" width="9.42578125" customWidth="1"/>
    <col min="15111" max="15111" width="8.42578125" customWidth="1"/>
    <col min="15112" max="15112" width="9.5703125" customWidth="1"/>
    <col min="15113" max="15113" width="11" customWidth="1"/>
    <col min="15115" max="15115" width="9.28515625" customWidth="1"/>
    <col min="15116" max="15116" width="8.7109375" customWidth="1"/>
    <col min="15117" max="15117" width="7.42578125" customWidth="1"/>
    <col min="15118" max="15118" width="8.5703125" customWidth="1"/>
    <col min="15119" max="15119" width="16.140625" customWidth="1"/>
    <col min="15361" max="15361" width="22.7109375" customWidth="1"/>
    <col min="15362" max="15362" width="11.28515625" customWidth="1"/>
    <col min="15363" max="15363" width="11.5703125" customWidth="1"/>
    <col min="15364" max="15364" width="10.5703125" customWidth="1"/>
    <col min="15365" max="15365" width="9.28515625" customWidth="1"/>
    <col min="15366" max="15366" width="9.42578125" customWidth="1"/>
    <col min="15367" max="15367" width="8.42578125" customWidth="1"/>
    <col min="15368" max="15368" width="9.5703125" customWidth="1"/>
    <col min="15369" max="15369" width="11" customWidth="1"/>
    <col min="15371" max="15371" width="9.28515625" customWidth="1"/>
    <col min="15372" max="15372" width="8.7109375" customWidth="1"/>
    <col min="15373" max="15373" width="7.42578125" customWidth="1"/>
    <col min="15374" max="15374" width="8.5703125" customWidth="1"/>
    <col min="15375" max="15375" width="16.140625" customWidth="1"/>
    <col min="15617" max="15617" width="22.7109375" customWidth="1"/>
    <col min="15618" max="15618" width="11.28515625" customWidth="1"/>
    <col min="15619" max="15619" width="11.5703125" customWidth="1"/>
    <col min="15620" max="15620" width="10.5703125" customWidth="1"/>
    <col min="15621" max="15621" width="9.28515625" customWidth="1"/>
    <col min="15622" max="15622" width="9.42578125" customWidth="1"/>
    <col min="15623" max="15623" width="8.42578125" customWidth="1"/>
    <col min="15624" max="15624" width="9.5703125" customWidth="1"/>
    <col min="15625" max="15625" width="11" customWidth="1"/>
    <col min="15627" max="15627" width="9.28515625" customWidth="1"/>
    <col min="15628" max="15628" width="8.7109375" customWidth="1"/>
    <col min="15629" max="15629" width="7.42578125" customWidth="1"/>
    <col min="15630" max="15630" width="8.5703125" customWidth="1"/>
    <col min="15631" max="15631" width="16.140625" customWidth="1"/>
    <col min="15873" max="15873" width="22.7109375" customWidth="1"/>
    <col min="15874" max="15874" width="11.28515625" customWidth="1"/>
    <col min="15875" max="15875" width="11.5703125" customWidth="1"/>
    <col min="15876" max="15876" width="10.5703125" customWidth="1"/>
    <col min="15877" max="15877" width="9.28515625" customWidth="1"/>
    <col min="15878" max="15878" width="9.42578125" customWidth="1"/>
    <col min="15879" max="15879" width="8.42578125" customWidth="1"/>
    <col min="15880" max="15880" width="9.5703125" customWidth="1"/>
    <col min="15881" max="15881" width="11" customWidth="1"/>
    <col min="15883" max="15883" width="9.28515625" customWidth="1"/>
    <col min="15884" max="15884" width="8.7109375" customWidth="1"/>
    <col min="15885" max="15885" width="7.42578125" customWidth="1"/>
    <col min="15886" max="15886" width="8.5703125" customWidth="1"/>
    <col min="15887" max="15887" width="16.140625" customWidth="1"/>
    <col min="16129" max="16129" width="22.7109375" customWidth="1"/>
    <col min="16130" max="16130" width="11.28515625" customWidth="1"/>
    <col min="16131" max="16131" width="11.5703125" customWidth="1"/>
    <col min="16132" max="16132" width="10.5703125" customWidth="1"/>
    <col min="16133" max="16133" width="9.28515625" customWidth="1"/>
    <col min="16134" max="16134" width="9.42578125" customWidth="1"/>
    <col min="16135" max="16135" width="8.42578125" customWidth="1"/>
    <col min="16136" max="16136" width="9.5703125" customWidth="1"/>
    <col min="16137" max="16137" width="11" customWidth="1"/>
    <col min="16139" max="16139" width="9.28515625" customWidth="1"/>
    <col min="16140" max="16140" width="8.7109375" customWidth="1"/>
    <col min="16141" max="16141" width="7.42578125" customWidth="1"/>
    <col min="16142" max="16142" width="8.5703125" customWidth="1"/>
    <col min="16143" max="16143" width="16.140625" customWidth="1"/>
  </cols>
  <sheetData>
    <row r="2" spans="1:15" ht="18" x14ac:dyDescent="0.25">
      <c r="A2" s="456" t="s">
        <v>399</v>
      </c>
    </row>
    <row r="4" spans="1:15" ht="20.100000000000001" customHeight="1" thickBot="1" x14ac:dyDescent="0.25"/>
    <row r="5" spans="1:15" ht="20.100000000000001" customHeight="1" x14ac:dyDescent="0.2">
      <c r="A5" s="245" t="s">
        <v>227</v>
      </c>
      <c r="B5" s="246" t="s">
        <v>228</v>
      </c>
      <c r="C5" s="315" t="s">
        <v>229</v>
      </c>
      <c r="D5" s="248"/>
      <c r="E5" s="279" t="s">
        <v>230</v>
      </c>
      <c r="F5" s="247" t="s">
        <v>229</v>
      </c>
      <c r="G5" s="248"/>
      <c r="H5" s="249" t="s">
        <v>260</v>
      </c>
      <c r="I5" s="245" t="s">
        <v>231</v>
      </c>
      <c r="J5" s="245" t="s">
        <v>231</v>
      </c>
      <c r="K5" s="245" t="s">
        <v>145</v>
      </c>
      <c r="L5" s="245" t="s">
        <v>217</v>
      </c>
      <c r="M5" s="250" t="s">
        <v>271</v>
      </c>
      <c r="N5" s="335" t="s">
        <v>400</v>
      </c>
      <c r="O5" s="251"/>
    </row>
    <row r="6" spans="1:15" ht="20.100000000000001" customHeight="1" thickBot="1" x14ac:dyDescent="0.25">
      <c r="A6" s="252"/>
      <c r="B6" s="253" t="s">
        <v>232</v>
      </c>
      <c r="C6" s="254" t="s">
        <v>233</v>
      </c>
      <c r="D6" s="255" t="s">
        <v>260</v>
      </c>
      <c r="E6" s="253" t="s">
        <v>232</v>
      </c>
      <c r="F6" s="254" t="s">
        <v>233</v>
      </c>
      <c r="G6" s="255" t="s">
        <v>260</v>
      </c>
      <c r="H6" s="256" t="s">
        <v>67</v>
      </c>
      <c r="I6" s="257" t="s">
        <v>234</v>
      </c>
      <c r="J6" s="257" t="s">
        <v>235</v>
      </c>
      <c r="K6" s="257" t="s">
        <v>251</v>
      </c>
      <c r="L6" s="336" t="s">
        <v>397</v>
      </c>
      <c r="M6" s="257" t="s">
        <v>251</v>
      </c>
      <c r="N6" s="336"/>
      <c r="O6" s="258" t="s">
        <v>236</v>
      </c>
    </row>
    <row r="7" spans="1:15" ht="21.75" customHeight="1" x14ac:dyDescent="0.2">
      <c r="A7" s="337" t="s">
        <v>237</v>
      </c>
      <c r="B7" s="453">
        <v>10426078.890000001</v>
      </c>
      <c r="C7" s="454">
        <v>10095854.220000001</v>
      </c>
      <c r="D7" s="415">
        <f t="shared" ref="D7:D15" si="0">C7-B7</f>
        <v>-330224.66999999993</v>
      </c>
      <c r="E7" s="453"/>
      <c r="F7" s="454"/>
      <c r="G7" s="415">
        <f t="shared" ref="G7:G15" si="1">F7-E7</f>
        <v>0</v>
      </c>
      <c r="H7" s="261">
        <f t="shared" ref="H7:H15" si="2">D7+G7</f>
        <v>-330224.66999999993</v>
      </c>
      <c r="I7" s="453">
        <v>243609</v>
      </c>
      <c r="J7" s="455">
        <v>579093.24</v>
      </c>
      <c r="K7" s="262">
        <v>267000</v>
      </c>
      <c r="L7" s="262">
        <v>251215.4</v>
      </c>
      <c r="M7" s="325">
        <f>L7/K7</f>
        <v>0.94088164794007489</v>
      </c>
      <c r="N7" s="416">
        <f>K7-L7</f>
        <v>15784.600000000006</v>
      </c>
      <c r="O7" s="314"/>
    </row>
    <row r="8" spans="1:15" ht="22.5" customHeight="1" x14ac:dyDescent="0.2">
      <c r="A8" s="337" t="s">
        <v>238</v>
      </c>
      <c r="B8" s="453">
        <v>354600605.26999998</v>
      </c>
      <c r="C8" s="454">
        <v>354700231.38</v>
      </c>
      <c r="D8" s="415">
        <f t="shared" si="0"/>
        <v>99626.110000014305</v>
      </c>
      <c r="E8" s="453"/>
      <c r="F8" s="454"/>
      <c r="G8" s="415">
        <f t="shared" si="1"/>
        <v>0</v>
      </c>
      <c r="H8" s="261">
        <f t="shared" si="2"/>
        <v>99626.110000014305</v>
      </c>
      <c r="I8" s="453">
        <v>21973422.52</v>
      </c>
      <c r="J8" s="455">
        <v>6262117.1299999999</v>
      </c>
      <c r="K8" s="262">
        <v>7682000</v>
      </c>
      <c r="L8" s="262">
        <v>7435248.0499999998</v>
      </c>
      <c r="M8" s="325">
        <f>L8/K8</f>
        <v>0.96787920463420984</v>
      </c>
      <c r="N8" s="416">
        <f t="shared" ref="N8:N14" si="3">K8-L8</f>
        <v>246751.95000000019</v>
      </c>
      <c r="O8" s="314" t="s">
        <v>398</v>
      </c>
    </row>
    <row r="9" spans="1:15" ht="21.75" customHeight="1" x14ac:dyDescent="0.2">
      <c r="A9" s="337" t="s">
        <v>239</v>
      </c>
      <c r="B9" s="453">
        <v>13770807.02</v>
      </c>
      <c r="C9" s="454">
        <v>13865066.41</v>
      </c>
      <c r="D9" s="415">
        <f t="shared" si="0"/>
        <v>94259.390000000596</v>
      </c>
      <c r="E9" s="453">
        <v>388247</v>
      </c>
      <c r="F9" s="454">
        <v>389367</v>
      </c>
      <c r="G9" s="415">
        <f t="shared" si="1"/>
        <v>1120</v>
      </c>
      <c r="H9" s="261">
        <f t="shared" si="2"/>
        <v>95379.390000000596</v>
      </c>
      <c r="I9" s="453">
        <v>12110</v>
      </c>
      <c r="J9" s="455">
        <v>91371.93</v>
      </c>
      <c r="K9" s="262">
        <v>1167000</v>
      </c>
      <c r="L9" s="262">
        <v>1078805.7</v>
      </c>
      <c r="M9" s="325">
        <f t="shared" ref="M9:M14" si="4">L9/K9</f>
        <v>0.92442647814910017</v>
      </c>
      <c r="N9" s="416">
        <f t="shared" si="3"/>
        <v>88194.300000000047</v>
      </c>
      <c r="O9" s="314"/>
    </row>
    <row r="10" spans="1:15" ht="21.75" customHeight="1" x14ac:dyDescent="0.2">
      <c r="A10" s="337" t="s">
        <v>240</v>
      </c>
      <c r="B10" s="453">
        <v>8454393.4000000004</v>
      </c>
      <c r="C10" s="454">
        <v>8412454.9700000007</v>
      </c>
      <c r="D10" s="415">
        <f t="shared" si="0"/>
        <v>-41938.429999999702</v>
      </c>
      <c r="E10" s="453">
        <v>1179380.46</v>
      </c>
      <c r="F10" s="454">
        <v>1456852.72</v>
      </c>
      <c r="G10" s="415">
        <f t="shared" si="1"/>
        <v>277472.26</v>
      </c>
      <c r="H10" s="261">
        <f t="shared" si="2"/>
        <v>235533.83000000031</v>
      </c>
      <c r="I10" s="453">
        <v>187003.39</v>
      </c>
      <c r="J10" s="455">
        <v>14311.93</v>
      </c>
      <c r="K10" s="262">
        <v>1287000</v>
      </c>
      <c r="L10" s="262">
        <f>896232.44+189862.5</f>
        <v>1086094.94</v>
      </c>
      <c r="M10" s="325">
        <f t="shared" si="4"/>
        <v>0.84389661227661228</v>
      </c>
      <c r="N10" s="416">
        <f t="shared" si="3"/>
        <v>200905.06000000006</v>
      </c>
      <c r="O10" s="314"/>
    </row>
    <row r="11" spans="1:15" ht="21.75" customHeight="1" x14ac:dyDescent="0.2">
      <c r="A11" s="337" t="s">
        <v>241</v>
      </c>
      <c r="B11" s="453">
        <v>12214796.289999999</v>
      </c>
      <c r="C11" s="454">
        <v>12785010.949999999</v>
      </c>
      <c r="D11" s="415">
        <f t="shared" si="0"/>
        <v>570214.66000000015</v>
      </c>
      <c r="E11" s="453">
        <v>382229.1</v>
      </c>
      <c r="F11" s="454">
        <v>615593.98</v>
      </c>
      <c r="G11" s="415">
        <f t="shared" si="1"/>
        <v>233364.88</v>
      </c>
      <c r="H11" s="261">
        <f t="shared" si="2"/>
        <v>803579.54000000015</v>
      </c>
      <c r="I11" s="453">
        <v>44634.29</v>
      </c>
      <c r="J11" s="455">
        <v>573.28</v>
      </c>
      <c r="K11" s="262">
        <v>3030000</v>
      </c>
      <c r="L11" s="262">
        <f>2788910.33+155107</f>
        <v>2944017.33</v>
      </c>
      <c r="M11" s="325">
        <f t="shared" si="4"/>
        <v>0.97162288118811879</v>
      </c>
      <c r="N11" s="416">
        <f t="shared" si="3"/>
        <v>85982.669999999925</v>
      </c>
      <c r="O11" s="314"/>
    </row>
    <row r="12" spans="1:15" ht="21.75" customHeight="1" x14ac:dyDescent="0.2">
      <c r="A12" s="337" t="s">
        <v>242</v>
      </c>
      <c r="B12" s="453">
        <v>15990353.9</v>
      </c>
      <c r="C12" s="454">
        <v>16138196.890000001</v>
      </c>
      <c r="D12" s="415">
        <f t="shared" si="0"/>
        <v>147842.99000000022</v>
      </c>
      <c r="E12" s="453">
        <v>58352.9</v>
      </c>
      <c r="F12" s="454">
        <v>112403</v>
      </c>
      <c r="G12" s="415">
        <f t="shared" si="1"/>
        <v>54050.1</v>
      </c>
      <c r="H12" s="261">
        <f t="shared" si="2"/>
        <v>201893.09000000023</v>
      </c>
      <c r="I12" s="453">
        <v>143216.6</v>
      </c>
      <c r="J12" s="455">
        <v>491759.06</v>
      </c>
      <c r="K12" s="262">
        <v>579000</v>
      </c>
      <c r="L12" s="262">
        <v>413878.6</v>
      </c>
      <c r="M12" s="325">
        <f t="shared" si="4"/>
        <v>0.71481623488773749</v>
      </c>
      <c r="N12" s="416">
        <f t="shared" si="3"/>
        <v>165121.40000000002</v>
      </c>
      <c r="O12" s="314"/>
    </row>
    <row r="13" spans="1:15" ht="21.75" customHeight="1" x14ac:dyDescent="0.2">
      <c r="A13" s="337" t="s">
        <v>243</v>
      </c>
      <c r="B13" s="453">
        <v>15447823.18</v>
      </c>
      <c r="C13" s="454">
        <v>15516335.710000001</v>
      </c>
      <c r="D13" s="415">
        <f t="shared" si="0"/>
        <v>68512.530000001192</v>
      </c>
      <c r="E13" s="453">
        <v>112950</v>
      </c>
      <c r="F13" s="454">
        <v>196870</v>
      </c>
      <c r="G13" s="415">
        <f t="shared" si="1"/>
        <v>83920</v>
      </c>
      <c r="H13" s="261">
        <f t="shared" si="2"/>
        <v>152432.53000000119</v>
      </c>
      <c r="I13" s="453">
        <v>114747.07</v>
      </c>
      <c r="J13" s="455">
        <v>41717.230000000003</v>
      </c>
      <c r="K13" s="262">
        <v>630000</v>
      </c>
      <c r="L13" s="262">
        <v>568100.69999999995</v>
      </c>
      <c r="M13" s="325">
        <f t="shared" si="4"/>
        <v>0.90174714285714275</v>
      </c>
      <c r="N13" s="416">
        <f t="shared" si="3"/>
        <v>61899.300000000047</v>
      </c>
      <c r="O13" s="314"/>
    </row>
    <row r="14" spans="1:15" ht="21.75" customHeight="1" x14ac:dyDescent="0.2">
      <c r="A14" s="337" t="s">
        <v>244</v>
      </c>
      <c r="B14" s="453">
        <v>8096055.2699999996</v>
      </c>
      <c r="C14" s="454">
        <v>8346758</v>
      </c>
      <c r="D14" s="415">
        <f t="shared" si="0"/>
        <v>250702.73000000045</v>
      </c>
      <c r="E14" s="453">
        <v>70295.539999999994</v>
      </c>
      <c r="F14" s="454">
        <v>97770</v>
      </c>
      <c r="G14" s="415">
        <f t="shared" si="1"/>
        <v>27474.460000000006</v>
      </c>
      <c r="H14" s="261">
        <f t="shared" si="2"/>
        <v>278177.19000000047</v>
      </c>
      <c r="I14" s="453">
        <v>144774</v>
      </c>
      <c r="J14" s="455">
        <v>483602.64</v>
      </c>
      <c r="K14" s="262">
        <v>217000</v>
      </c>
      <c r="L14" s="262">
        <v>195118</v>
      </c>
      <c r="M14" s="325">
        <f t="shared" si="4"/>
        <v>0.89916129032258063</v>
      </c>
      <c r="N14" s="416">
        <f t="shared" si="3"/>
        <v>21882</v>
      </c>
      <c r="O14" s="314"/>
    </row>
    <row r="15" spans="1:15" ht="21.75" customHeight="1" thickBot="1" x14ac:dyDescent="0.25">
      <c r="A15" s="337" t="s">
        <v>245</v>
      </c>
      <c r="B15" s="453">
        <v>5092525.63</v>
      </c>
      <c r="C15" s="454">
        <v>5093825.16</v>
      </c>
      <c r="D15" s="415">
        <f t="shared" si="0"/>
        <v>1299.5300000002608</v>
      </c>
      <c r="E15" s="453"/>
      <c r="F15" s="454"/>
      <c r="G15" s="415">
        <f t="shared" si="1"/>
        <v>0</v>
      </c>
      <c r="H15" s="261">
        <f t="shared" si="2"/>
        <v>1299.5300000002608</v>
      </c>
      <c r="I15" s="453">
        <v>0</v>
      </c>
      <c r="J15" s="455">
        <v>15668.07</v>
      </c>
      <c r="K15" s="262">
        <v>0</v>
      </c>
      <c r="L15" s="262">
        <v>0</v>
      </c>
      <c r="M15" s="325"/>
      <c r="N15" s="416"/>
      <c r="O15" s="314"/>
    </row>
    <row r="16" spans="1:15" x14ac:dyDescent="0.2">
      <c r="A16" s="264"/>
      <c r="B16" s="265"/>
      <c r="C16" s="266"/>
      <c r="D16" s="267"/>
      <c r="E16" s="265"/>
      <c r="F16" s="266"/>
      <c r="G16" s="267"/>
      <c r="H16" s="268"/>
      <c r="I16" s="259"/>
      <c r="J16" s="259"/>
      <c r="K16" s="260"/>
      <c r="L16" s="260"/>
      <c r="M16" s="260"/>
      <c r="N16" s="260"/>
      <c r="O16" s="269"/>
    </row>
    <row r="17" spans="1:15" x14ac:dyDescent="0.2">
      <c r="A17" s="270" t="s">
        <v>246</v>
      </c>
      <c r="B17" s="406">
        <f t="shared" ref="B17:N17" si="5">SUM(B7:B15)</f>
        <v>444093438.8499999</v>
      </c>
      <c r="C17" s="407">
        <f t="shared" si="5"/>
        <v>444953733.69000006</v>
      </c>
      <c r="D17" s="408">
        <f t="shared" si="5"/>
        <v>860294.84000001755</v>
      </c>
      <c r="E17" s="406">
        <f t="shared" si="5"/>
        <v>2191455</v>
      </c>
      <c r="F17" s="407">
        <f t="shared" si="5"/>
        <v>2868856.7</v>
      </c>
      <c r="G17" s="408">
        <f t="shared" si="5"/>
        <v>677401.7</v>
      </c>
      <c r="H17" s="409">
        <f t="shared" si="5"/>
        <v>1537696.5400000175</v>
      </c>
      <c r="I17" s="410">
        <f t="shared" si="5"/>
        <v>22863516.870000001</v>
      </c>
      <c r="J17" s="410">
        <f t="shared" si="5"/>
        <v>7980214.5099999998</v>
      </c>
      <c r="K17" s="277">
        <f t="shared" si="5"/>
        <v>14859000</v>
      </c>
      <c r="L17" s="277">
        <f t="shared" si="5"/>
        <v>13972478.719999999</v>
      </c>
      <c r="M17" s="338">
        <f>L17/K17</f>
        <v>0.9403377562420081</v>
      </c>
      <c r="N17" s="405">
        <f t="shared" si="5"/>
        <v>886521.28000000026</v>
      </c>
      <c r="O17" s="271"/>
    </row>
    <row r="18" spans="1:15" ht="13.5" thickBot="1" x14ac:dyDescent="0.25">
      <c r="A18" s="252"/>
      <c r="B18" s="272"/>
      <c r="C18" s="273"/>
      <c r="D18" s="274"/>
      <c r="E18" s="272"/>
      <c r="F18" s="273"/>
      <c r="G18" s="274"/>
      <c r="H18" s="275"/>
      <c r="I18" s="263"/>
      <c r="J18" s="263"/>
      <c r="K18" s="263"/>
      <c r="L18" s="263"/>
      <c r="M18" s="263"/>
      <c r="N18" s="263"/>
      <c r="O18" s="276"/>
    </row>
    <row r="20" spans="1:15" x14ac:dyDescent="0.2">
      <c r="A20" s="3"/>
    </row>
    <row r="21" spans="1:15" ht="18" x14ac:dyDescent="0.25">
      <c r="A21" s="456" t="s">
        <v>409</v>
      </c>
    </row>
    <row r="22" spans="1:15" ht="13.5" thickBot="1" x14ac:dyDescent="0.25"/>
    <row r="23" spans="1:15" s="459" customFormat="1" x14ac:dyDescent="0.2">
      <c r="A23" s="473" t="s">
        <v>410</v>
      </c>
      <c r="B23" s="505" t="s">
        <v>407</v>
      </c>
      <c r="C23" s="506"/>
      <c r="D23" s="505" t="s">
        <v>408</v>
      </c>
      <c r="E23" s="506"/>
      <c r="F23" s="507" t="s">
        <v>403</v>
      </c>
      <c r="G23" s="506"/>
      <c r="H23" s="505" t="s">
        <v>404</v>
      </c>
      <c r="I23" s="506"/>
      <c r="J23" s="505" t="s">
        <v>405</v>
      </c>
      <c r="K23" s="506"/>
      <c r="L23" s="505" t="s">
        <v>406</v>
      </c>
      <c r="M23" s="506"/>
      <c r="O23" s="460"/>
    </row>
    <row r="24" spans="1:15" s="459" customFormat="1" x14ac:dyDescent="0.2">
      <c r="A24" s="474"/>
      <c r="B24" s="465">
        <v>42370</v>
      </c>
      <c r="C24" s="466">
        <v>42735</v>
      </c>
      <c r="D24" s="465">
        <v>42370</v>
      </c>
      <c r="E24" s="466">
        <v>42735</v>
      </c>
      <c r="F24" s="464">
        <v>42370</v>
      </c>
      <c r="G24" s="466">
        <v>42735</v>
      </c>
      <c r="H24" s="465">
        <v>42370</v>
      </c>
      <c r="I24" s="466">
        <v>42735</v>
      </c>
      <c r="J24" s="465">
        <v>42370</v>
      </c>
      <c r="K24" s="466">
        <v>42735</v>
      </c>
      <c r="L24" s="465">
        <v>42370</v>
      </c>
      <c r="M24" s="466">
        <v>42735</v>
      </c>
      <c r="O24" s="460"/>
    </row>
    <row r="25" spans="1:15" ht="21.75" customHeight="1" x14ac:dyDescent="0.2">
      <c r="A25" s="462" t="s">
        <v>237</v>
      </c>
      <c r="B25" s="467">
        <v>372063</v>
      </c>
      <c r="C25" s="468">
        <v>342735</v>
      </c>
      <c r="D25" s="476">
        <v>2405285</v>
      </c>
      <c r="E25" s="477">
        <v>1752994</v>
      </c>
      <c r="F25" s="480">
        <v>2330006</v>
      </c>
      <c r="G25" s="477">
        <v>2412638</v>
      </c>
      <c r="H25" s="476">
        <v>1838501</v>
      </c>
      <c r="I25" s="477">
        <v>1755248</v>
      </c>
      <c r="J25" s="476">
        <v>2853746</v>
      </c>
      <c r="K25" s="477">
        <v>2740609</v>
      </c>
      <c r="L25" s="476">
        <v>0</v>
      </c>
      <c r="M25" s="477">
        <v>0</v>
      </c>
    </row>
    <row r="26" spans="1:15" ht="21.75" customHeight="1" x14ac:dyDescent="0.2">
      <c r="A26" s="462" t="s">
        <v>238</v>
      </c>
      <c r="B26" s="463">
        <v>457347704.22000003</v>
      </c>
      <c r="C26" s="483">
        <v>80076339.719999999</v>
      </c>
      <c r="D26" s="463">
        <v>41573687</v>
      </c>
      <c r="E26" s="483">
        <v>34882470</v>
      </c>
      <c r="F26" s="481">
        <v>4285424.71</v>
      </c>
      <c r="G26" s="461">
        <v>2231841.14</v>
      </c>
      <c r="H26" s="476">
        <v>21766897</v>
      </c>
      <c r="I26" s="477">
        <v>29406066</v>
      </c>
      <c r="J26" s="476">
        <v>48812848</v>
      </c>
      <c r="K26" s="477">
        <v>42045296</v>
      </c>
      <c r="L26" s="476">
        <v>6872368</v>
      </c>
      <c r="M26" s="477">
        <v>3731152</v>
      </c>
    </row>
    <row r="27" spans="1:15" ht="21.75" customHeight="1" x14ac:dyDescent="0.2">
      <c r="A27" s="462" t="s">
        <v>239</v>
      </c>
      <c r="B27" s="467">
        <v>18648699</v>
      </c>
      <c r="C27" s="468">
        <v>18851051</v>
      </c>
      <c r="D27" s="476">
        <v>178715</v>
      </c>
      <c r="E27" s="477">
        <v>276048</v>
      </c>
      <c r="F27" s="480">
        <v>1928202</v>
      </c>
      <c r="G27" s="477">
        <v>1627431</v>
      </c>
      <c r="H27" s="476">
        <v>476604</v>
      </c>
      <c r="I27" s="477">
        <v>338923</v>
      </c>
      <c r="J27" s="476">
        <v>1650399</v>
      </c>
      <c r="K27" s="477">
        <v>1631378</v>
      </c>
      <c r="L27" s="476">
        <v>0</v>
      </c>
      <c r="M27" s="477">
        <v>0</v>
      </c>
    </row>
    <row r="28" spans="1:15" ht="21.75" customHeight="1" x14ac:dyDescent="0.2">
      <c r="A28" s="462" t="s">
        <v>240</v>
      </c>
      <c r="B28" s="467">
        <v>25106477</v>
      </c>
      <c r="C28" s="468">
        <v>24443787</v>
      </c>
      <c r="D28" s="476">
        <v>448252</v>
      </c>
      <c r="E28" s="477">
        <v>306642</v>
      </c>
      <c r="F28" s="480">
        <v>722155</v>
      </c>
      <c r="G28" s="477">
        <v>1393333</v>
      </c>
      <c r="H28" s="476">
        <v>276392</v>
      </c>
      <c r="I28" s="477">
        <v>256269</v>
      </c>
      <c r="J28" s="476">
        <v>1200966</v>
      </c>
      <c r="K28" s="477">
        <v>1504007</v>
      </c>
      <c r="L28" s="476">
        <v>58750</v>
      </c>
      <c r="M28" s="477">
        <v>58750</v>
      </c>
    </row>
    <row r="29" spans="1:15" ht="21.75" customHeight="1" x14ac:dyDescent="0.2">
      <c r="A29" s="462" t="s">
        <v>241</v>
      </c>
      <c r="B29" s="467">
        <v>53251589</v>
      </c>
      <c r="C29" s="468">
        <v>52795640</v>
      </c>
      <c r="D29" s="476">
        <v>239295</v>
      </c>
      <c r="E29" s="477">
        <v>127879</v>
      </c>
      <c r="F29" s="480">
        <v>1323511</v>
      </c>
      <c r="G29" s="477">
        <v>1410330</v>
      </c>
      <c r="H29" s="476">
        <v>138430</v>
      </c>
      <c r="I29" s="477">
        <v>78614</v>
      </c>
      <c r="J29" s="476">
        <v>603369</v>
      </c>
      <c r="K29" s="477">
        <v>656017</v>
      </c>
      <c r="L29" s="476">
        <v>0</v>
      </c>
      <c r="M29" s="477">
        <v>0</v>
      </c>
    </row>
    <row r="30" spans="1:15" ht="21.75" customHeight="1" x14ac:dyDescent="0.2">
      <c r="A30" s="462" t="s">
        <v>242</v>
      </c>
      <c r="B30" s="467">
        <v>34621623</v>
      </c>
      <c r="C30" s="468">
        <v>34248312</v>
      </c>
      <c r="D30" s="476">
        <v>237941</v>
      </c>
      <c r="E30" s="477">
        <v>123570</v>
      </c>
      <c r="F30" s="480">
        <v>1938892</v>
      </c>
      <c r="G30" s="477">
        <v>2256550</v>
      </c>
      <c r="H30" s="476">
        <v>665691</v>
      </c>
      <c r="I30" s="477">
        <v>8259701</v>
      </c>
      <c r="J30" s="476">
        <v>1315701</v>
      </c>
      <c r="K30" s="477">
        <v>1524522</v>
      </c>
      <c r="L30" s="476">
        <v>0</v>
      </c>
      <c r="M30" s="477">
        <v>0</v>
      </c>
    </row>
    <row r="31" spans="1:15" ht="21.75" customHeight="1" x14ac:dyDescent="0.2">
      <c r="A31" s="462" t="s">
        <v>243</v>
      </c>
      <c r="B31" s="467">
        <v>14358392</v>
      </c>
      <c r="C31" s="468">
        <v>14019970</v>
      </c>
      <c r="D31" s="476">
        <v>167644</v>
      </c>
      <c r="E31" s="477">
        <v>63280</v>
      </c>
      <c r="F31" s="480">
        <v>1857652</v>
      </c>
      <c r="G31" s="477">
        <v>1848158</v>
      </c>
      <c r="H31" s="476">
        <v>567111</v>
      </c>
      <c r="I31" s="477">
        <v>342254</v>
      </c>
      <c r="J31" s="476">
        <v>1333101</v>
      </c>
      <c r="K31" s="477">
        <v>1416752</v>
      </c>
      <c r="L31" s="476">
        <v>0</v>
      </c>
      <c r="M31" s="477">
        <v>0</v>
      </c>
    </row>
    <row r="32" spans="1:15" ht="21.75" customHeight="1" x14ac:dyDescent="0.2">
      <c r="A32" s="462" t="s">
        <v>244</v>
      </c>
      <c r="B32" s="469">
        <v>557634</v>
      </c>
      <c r="C32" s="470">
        <v>613630</v>
      </c>
      <c r="D32" s="476">
        <v>24719</v>
      </c>
      <c r="E32" s="477">
        <v>29213</v>
      </c>
      <c r="F32" s="480">
        <v>1795889</v>
      </c>
      <c r="G32" s="477">
        <v>2048420</v>
      </c>
      <c r="H32" s="476">
        <v>959308</v>
      </c>
      <c r="I32" s="477">
        <v>920867</v>
      </c>
      <c r="J32" s="476">
        <v>797464</v>
      </c>
      <c r="K32" s="477">
        <v>878598</v>
      </c>
      <c r="L32" s="476">
        <v>0</v>
      </c>
      <c r="M32" s="477">
        <v>0</v>
      </c>
    </row>
    <row r="33" spans="1:15" ht="21.75" customHeight="1" thickBot="1" x14ac:dyDescent="0.25">
      <c r="A33" s="475" t="s">
        <v>245</v>
      </c>
      <c r="B33" s="471">
        <v>0</v>
      </c>
      <c r="C33" s="472">
        <v>0</v>
      </c>
      <c r="D33" s="478">
        <v>141321</v>
      </c>
      <c r="E33" s="479">
        <v>35767</v>
      </c>
      <c r="F33" s="482">
        <v>451257</v>
      </c>
      <c r="G33" s="479">
        <v>833404</v>
      </c>
      <c r="H33" s="478">
        <v>133070</v>
      </c>
      <c r="I33" s="479">
        <v>105034</v>
      </c>
      <c r="J33" s="478">
        <v>455948</v>
      </c>
      <c r="K33" s="479">
        <v>762837</v>
      </c>
      <c r="L33" s="478"/>
      <c r="M33" s="479"/>
    </row>
    <row r="35" spans="1:15" ht="27" customHeight="1" x14ac:dyDescent="0.2">
      <c r="A35" s="503" t="s">
        <v>411</v>
      </c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</row>
  </sheetData>
  <mergeCells count="7">
    <mergeCell ref="A35:O35"/>
    <mergeCell ref="B23:C23"/>
    <mergeCell ref="D23:E23"/>
    <mergeCell ref="F23:G23"/>
    <mergeCell ref="H23:I23"/>
    <mergeCell ref="J23:K23"/>
    <mergeCell ref="L23:M23"/>
  </mergeCells>
  <phoneticPr fontId="6" type="noConversion"/>
  <pageMargins left="0.15748031496062992" right="0.15748031496062992" top="0.15748031496062992" bottom="0.19685039370078741" header="0.19685039370078741" footer="0.15748031496062992"/>
  <pageSetup paperSize="9" scale="88" orientation="landscape" r:id="rId1"/>
  <headerFooter alignWithMargins="0">
    <oddHeader>&amp;R8. strana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A5" sqref="A5"/>
    </sheetView>
  </sheetViews>
  <sheetFormatPr defaultRowHeight="12.75" x14ac:dyDescent="0.2"/>
  <cols>
    <col min="1" max="1" width="35.7109375" customWidth="1"/>
    <col min="2" max="5" width="11.7109375" customWidth="1"/>
    <col min="6" max="6" width="14.28515625" customWidth="1"/>
    <col min="7" max="11" width="11.7109375" customWidth="1"/>
  </cols>
  <sheetData>
    <row r="1" spans="1:3" ht="18" x14ac:dyDescent="0.25">
      <c r="A1" s="456" t="s">
        <v>434</v>
      </c>
    </row>
    <row r="2" spans="1:3" ht="18" x14ac:dyDescent="0.25">
      <c r="A2" s="456"/>
    </row>
    <row r="3" spans="1:3" x14ac:dyDescent="0.2">
      <c r="A3" s="459" t="s">
        <v>436</v>
      </c>
    </row>
    <row r="4" spans="1:3" s="459" customFormat="1" x14ac:dyDescent="0.2">
      <c r="A4" s="459" t="s">
        <v>438</v>
      </c>
    </row>
    <row r="5" spans="1:3" ht="13.5" thickBot="1" x14ac:dyDescent="0.25"/>
    <row r="6" spans="1:3" x14ac:dyDescent="0.2">
      <c r="A6" s="488" t="s">
        <v>432</v>
      </c>
      <c r="B6" s="499" t="s">
        <v>420</v>
      </c>
      <c r="C6" s="500" t="s">
        <v>421</v>
      </c>
    </row>
    <row r="7" spans="1:3" ht="15.75" x14ac:dyDescent="0.25">
      <c r="A7" s="489" t="s">
        <v>433</v>
      </c>
      <c r="B7" s="485"/>
      <c r="C7" s="490"/>
    </row>
    <row r="8" spans="1:3" ht="15.75" x14ac:dyDescent="0.25">
      <c r="A8" s="489"/>
      <c r="B8" s="485"/>
      <c r="C8" s="490"/>
    </row>
    <row r="9" spans="1:3" s="459" customFormat="1" x14ac:dyDescent="0.2">
      <c r="A9" s="491" t="s">
        <v>414</v>
      </c>
      <c r="B9" s="486">
        <v>4908</v>
      </c>
      <c r="C9" s="492">
        <v>15914</v>
      </c>
    </row>
    <row r="10" spans="1:3" x14ac:dyDescent="0.2">
      <c r="A10" s="493" t="s">
        <v>415</v>
      </c>
      <c r="B10" s="487"/>
      <c r="C10" s="477"/>
    </row>
    <row r="11" spans="1:3" x14ac:dyDescent="0.2">
      <c r="A11" s="493" t="s">
        <v>422</v>
      </c>
      <c r="B11" s="487">
        <v>4773</v>
      </c>
      <c r="C11" s="477">
        <v>8296</v>
      </c>
    </row>
    <row r="12" spans="1:3" x14ac:dyDescent="0.2">
      <c r="A12" s="493" t="s">
        <v>423</v>
      </c>
      <c r="B12" s="487">
        <v>0</v>
      </c>
      <c r="C12" s="477">
        <v>920</v>
      </c>
    </row>
    <row r="13" spans="1:3" x14ac:dyDescent="0.2">
      <c r="A13" s="493" t="s">
        <v>417</v>
      </c>
      <c r="B13" s="487">
        <v>-1</v>
      </c>
      <c r="C13" s="477">
        <v>3535</v>
      </c>
    </row>
    <row r="14" spans="1:3" x14ac:dyDescent="0.2">
      <c r="A14" s="493" t="s">
        <v>424</v>
      </c>
      <c r="B14" s="487">
        <v>136</v>
      </c>
      <c r="C14" s="477">
        <v>3114</v>
      </c>
    </row>
    <row r="15" spans="1:3" x14ac:dyDescent="0.2">
      <c r="A15" s="493" t="s">
        <v>425</v>
      </c>
      <c r="B15" s="487">
        <v>0</v>
      </c>
      <c r="C15" s="477">
        <v>49</v>
      </c>
    </row>
    <row r="16" spans="1:3" x14ac:dyDescent="0.2">
      <c r="A16" s="493"/>
      <c r="B16" s="487"/>
      <c r="C16" s="477"/>
    </row>
    <row r="17" spans="1:3" s="459" customFormat="1" x14ac:dyDescent="0.2">
      <c r="A17" s="491" t="s">
        <v>416</v>
      </c>
      <c r="B17" s="486">
        <v>4908</v>
      </c>
      <c r="C17" s="492">
        <v>15914</v>
      </c>
    </row>
    <row r="18" spans="1:3" ht="13.5" customHeight="1" x14ac:dyDescent="0.2">
      <c r="A18" s="493" t="s">
        <v>415</v>
      </c>
      <c r="B18" s="487"/>
      <c r="C18" s="477"/>
    </row>
    <row r="19" spans="1:3" ht="13.5" customHeight="1" x14ac:dyDescent="0.2">
      <c r="A19" s="493" t="s">
        <v>427</v>
      </c>
      <c r="B19" s="487">
        <v>4780</v>
      </c>
      <c r="C19" s="477">
        <v>8600</v>
      </c>
    </row>
    <row r="20" spans="1:3" x14ac:dyDescent="0.2">
      <c r="A20" s="493" t="s">
        <v>428</v>
      </c>
      <c r="B20" s="487">
        <v>315</v>
      </c>
      <c r="C20" s="477">
        <v>1530</v>
      </c>
    </row>
    <row r="21" spans="1:3" x14ac:dyDescent="0.2">
      <c r="A21" s="493" t="s">
        <v>429</v>
      </c>
      <c r="B21" s="487">
        <v>0</v>
      </c>
      <c r="C21" s="477">
        <v>2224</v>
      </c>
    </row>
    <row r="22" spans="1:3" x14ac:dyDescent="0.2">
      <c r="A22" s="493" t="s">
        <v>419</v>
      </c>
      <c r="B22" s="487">
        <v>-519</v>
      </c>
      <c r="C22" s="477">
        <v>210</v>
      </c>
    </row>
    <row r="23" spans="1:3" x14ac:dyDescent="0.2">
      <c r="A23" s="493" t="s">
        <v>430</v>
      </c>
      <c r="B23" s="487">
        <v>0</v>
      </c>
      <c r="C23" s="477">
        <v>391</v>
      </c>
    </row>
    <row r="24" spans="1:3" x14ac:dyDescent="0.2">
      <c r="A24" s="493" t="s">
        <v>431</v>
      </c>
      <c r="B24" s="487">
        <v>332</v>
      </c>
      <c r="C24" s="477">
        <v>1938</v>
      </c>
    </row>
    <row r="25" spans="1:3" x14ac:dyDescent="0.2">
      <c r="A25" s="493" t="s">
        <v>426</v>
      </c>
      <c r="B25" s="487">
        <v>0</v>
      </c>
      <c r="C25" s="477">
        <v>1021</v>
      </c>
    </row>
    <row r="26" spans="1:3" x14ac:dyDescent="0.2">
      <c r="A26" s="494"/>
      <c r="B26" s="495"/>
      <c r="C26" s="496"/>
    </row>
    <row r="27" spans="1:3" ht="15.75" x14ac:dyDescent="0.25">
      <c r="A27" s="489" t="s">
        <v>418</v>
      </c>
      <c r="B27" s="487"/>
      <c r="C27" s="477"/>
    </row>
    <row r="28" spans="1:3" x14ac:dyDescent="0.2">
      <c r="A28" s="493" t="s">
        <v>412</v>
      </c>
      <c r="B28" s="487">
        <v>542</v>
      </c>
      <c r="C28" s="477">
        <v>14992</v>
      </c>
    </row>
    <row r="29" spans="1:3" x14ac:dyDescent="0.2">
      <c r="A29" s="493" t="s">
        <v>413</v>
      </c>
      <c r="B29" s="487">
        <v>23</v>
      </c>
      <c r="C29" s="477">
        <v>15202</v>
      </c>
    </row>
    <row r="30" spans="1:3" x14ac:dyDescent="0.2">
      <c r="A30" s="476"/>
      <c r="B30" s="487"/>
      <c r="C30" s="477"/>
    </row>
    <row r="31" spans="1:3" ht="13.5" thickBot="1" x14ac:dyDescent="0.25">
      <c r="A31" s="497" t="s">
        <v>435</v>
      </c>
      <c r="B31" s="498">
        <f>B29-B28</f>
        <v>-519</v>
      </c>
      <c r="C31" s="479">
        <f>C29-C28</f>
        <v>210</v>
      </c>
    </row>
    <row r="32" spans="1:3" x14ac:dyDescent="0.2">
      <c r="A32" s="484"/>
    </row>
    <row r="34" spans="1:1" x14ac:dyDescent="0.2">
      <c r="A34" s="484"/>
    </row>
  </sheetData>
  <pageMargins left="0.51181102362204722" right="0.15748031496062992" top="0.56000000000000005" bottom="0.78740157480314965" header="0.31496062992125984" footer="0.31496062992125984"/>
  <pageSetup paperSize="9" orientation="landscape" r:id="rId1"/>
  <headerFooter>
    <oddHeader>&amp;R9.strana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Sumář</vt:lpstr>
      <vt:lpstr>Příjmy</vt:lpstr>
      <vt:lpstr>Výdaje</vt:lpstr>
      <vt:lpstr>Příspěvkové organizace</vt:lpstr>
      <vt:lpstr>Obchodní organizace</vt:lpstr>
      <vt:lpstr>Příjmy!Názvy_tisku</vt:lpstr>
      <vt:lpstr>Výdaje!Názvy_tisku</vt:lpstr>
      <vt:lpstr>Příjmy!Oblast_tisku</vt:lpstr>
      <vt:lpstr>Výdaje!Oblast_tisku</vt:lpstr>
    </vt:vector>
  </TitlesOfParts>
  <Company>Jilemnice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Jilemnice</dc:creator>
  <cp:lastModifiedBy>Město Jilemnice</cp:lastModifiedBy>
  <cp:lastPrinted>2017-06-05T08:23:14Z</cp:lastPrinted>
  <dcterms:created xsi:type="dcterms:W3CDTF">1999-02-03T10:11:29Z</dcterms:created>
  <dcterms:modified xsi:type="dcterms:W3CDTF">2017-06-05T08:24:20Z</dcterms:modified>
</cp:coreProperties>
</file>