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ynčlová\Documents\Rok 2021\Rozpočet 2021\"/>
    </mc:Choice>
  </mc:AlternateContent>
  <bookViews>
    <workbookView xWindow="0" yWindow="0" windowWidth="27675" windowHeight="17700"/>
  </bookViews>
  <sheets>
    <sheet name="sumář" sheetId="1" r:id="rId1"/>
    <sheet name="příjmy" sheetId="2" r:id="rId2"/>
    <sheet name="výdaje" sheetId="3" r:id="rId3"/>
    <sheet name="Závazné ukazatele 2021" sheetId="21" r:id="rId4"/>
    <sheet name="okruhy rozpočtu" sheetId="14" r:id="rId5"/>
    <sheet name="Projekty" sheetId="22" r:id="rId6"/>
  </sheets>
  <definedNames>
    <definedName name="_xlnm.Print_Titles" localSheetId="1">příjmy!$A:$E,příjmy!$1:$3</definedName>
    <definedName name="_xlnm.Print_Titles" localSheetId="2">výdaje!$A:$D,výdaje!$1:$4</definedName>
    <definedName name="_xlnm.Print_Area" localSheetId="5">Projekty!$A$1:$W$22</definedName>
    <definedName name="_xlnm.Print_Area" localSheetId="1">příjmy!$A$1:$T$157</definedName>
    <definedName name="_xlnm.Print_Area" localSheetId="2">výdaje!$A$1:$AL$125</definedName>
  </definedNames>
  <calcPr calcId="162913"/>
</workbook>
</file>

<file path=xl/calcChain.xml><?xml version="1.0" encoding="utf-8"?>
<calcChain xmlns="http://schemas.openxmlformats.org/spreadsheetml/2006/main">
  <c r="AD90" i="3" l="1"/>
  <c r="M112" i="3"/>
  <c r="AD108" i="3" l="1"/>
  <c r="S58" i="2"/>
  <c r="G22" i="22" l="1"/>
  <c r="I22" i="22" s="1"/>
  <c r="Q22" i="22" s="1"/>
  <c r="G21" i="22"/>
  <c r="I21" i="22" s="1"/>
  <c r="Q18" i="22"/>
  <c r="P18" i="22"/>
  <c r="O18" i="22"/>
  <c r="N18" i="22"/>
  <c r="M18" i="22"/>
  <c r="K18" i="22"/>
  <c r="J18" i="22"/>
  <c r="H18" i="22"/>
  <c r="S17" i="22"/>
  <c r="I17" i="22"/>
  <c r="T16" i="22"/>
  <c r="T18" i="22" s="1"/>
  <c r="G15" i="22"/>
  <c r="R13" i="22"/>
  <c r="R18" i="22" s="1"/>
  <c r="I13" i="22"/>
  <c r="I12" i="22"/>
  <c r="S12" i="22" s="1"/>
  <c r="S11" i="22"/>
  <c r="O10" i="22"/>
  <c r="J10" i="22"/>
  <c r="I10" i="22"/>
  <c r="J9" i="22"/>
  <c r="G9" i="22"/>
  <c r="G18" i="22" s="1"/>
  <c r="L7" i="22"/>
  <c r="L18" i="22" s="1"/>
  <c r="I6" i="22"/>
  <c r="I9" i="22" l="1"/>
  <c r="S9" i="22" s="1"/>
  <c r="S6" i="22"/>
  <c r="C30" i="21"/>
  <c r="AF92" i="3"/>
  <c r="S18" i="22" l="1"/>
  <c r="I18" i="22"/>
  <c r="C20" i="21"/>
  <c r="C17" i="21"/>
  <c r="C12" i="21"/>
  <c r="C11" i="21"/>
  <c r="C28" i="21"/>
  <c r="C31" i="21" s="1"/>
  <c r="F30" i="14"/>
  <c r="AE24" i="3" l="1"/>
  <c r="AD96" i="3"/>
  <c r="AD50" i="3"/>
  <c r="AE70" i="3"/>
  <c r="Y87" i="3" l="1"/>
  <c r="AD33" i="3" l="1"/>
  <c r="AD34" i="3"/>
  <c r="P22" i="1" l="1"/>
  <c r="AF123" i="3"/>
  <c r="AD123" i="3"/>
  <c r="AD105" i="3"/>
  <c r="AE58" i="3" l="1"/>
  <c r="H38" i="3" l="1"/>
  <c r="I38" i="3"/>
  <c r="AD20" i="3" l="1"/>
  <c r="AE20" i="3"/>
  <c r="O67" i="2" l="1"/>
  <c r="AF113" i="3" l="1"/>
  <c r="H27" i="3" l="1"/>
  <c r="I25" i="3"/>
  <c r="H14" i="3"/>
  <c r="O30" i="1" l="1"/>
  <c r="O28" i="1"/>
  <c r="O23" i="1"/>
  <c r="S101" i="2" l="1"/>
  <c r="AA113" i="3"/>
  <c r="Y108" i="3"/>
  <c r="AD89" i="3" l="1"/>
  <c r="S60" i="2"/>
  <c r="Y14" i="3" l="1"/>
  <c r="Z112" i="3"/>
  <c r="Z109" i="3"/>
  <c r="G121" i="2"/>
  <c r="H53" i="3"/>
  <c r="AA112" i="3"/>
  <c r="AA14" i="3"/>
  <c r="Y6" i="3"/>
  <c r="Y5" i="3" s="1"/>
  <c r="AA111" i="3"/>
  <c r="AA107" i="3"/>
  <c r="AA108" i="3"/>
  <c r="Y105" i="3"/>
  <c r="AA106" i="3"/>
  <c r="Y103" i="3"/>
  <c r="AA103" i="3" s="1"/>
  <c r="AA102" i="3"/>
  <c r="H33" i="14" s="1"/>
  <c r="AA101" i="3"/>
  <c r="AA100" i="3"/>
  <c r="AA99" i="3"/>
  <c r="Y95" i="3"/>
  <c r="AA95" i="3" s="1"/>
  <c r="Y80" i="3"/>
  <c r="AA73" i="3"/>
  <c r="AA74" i="3"/>
  <c r="AA75" i="3"/>
  <c r="AA76" i="3"/>
  <c r="AA78" i="3"/>
  <c r="AA79" i="3"/>
  <c r="H27" i="14" s="1"/>
  <c r="AA81" i="3"/>
  <c r="AA82" i="3"/>
  <c r="AA87" i="3"/>
  <c r="AB87" i="3" s="1"/>
  <c r="AA83" i="3"/>
  <c r="AA84" i="3"/>
  <c r="AA85" i="3"/>
  <c r="AA86" i="3"/>
  <c r="Z70" i="3"/>
  <c r="AA72" i="3"/>
  <c r="Y53" i="3"/>
  <c r="Y45" i="3"/>
  <c r="AA39" i="3"/>
  <c r="AA41" i="3"/>
  <c r="Z38" i="3"/>
  <c r="Y36" i="3"/>
  <c r="AA36" i="3" s="1"/>
  <c r="AA34" i="3"/>
  <c r="AA35" i="3"/>
  <c r="AA37" i="3"/>
  <c r="AA42" i="3"/>
  <c r="AA43" i="3"/>
  <c r="Y31" i="3"/>
  <c r="AA28" i="3"/>
  <c r="AA22" i="3"/>
  <c r="AA23" i="3"/>
  <c r="AA25" i="3"/>
  <c r="AA26" i="3"/>
  <c r="AA27" i="3"/>
  <c r="AA29" i="3"/>
  <c r="Z20" i="3"/>
  <c r="AA20" i="3" s="1"/>
  <c r="AA17" i="3"/>
  <c r="AC17" i="3" s="1"/>
  <c r="AA18" i="3"/>
  <c r="AA122" i="3"/>
  <c r="AA121" i="3"/>
  <c r="AA120" i="3"/>
  <c r="AA119" i="3"/>
  <c r="AA118" i="3"/>
  <c r="AA117" i="3"/>
  <c r="AA115" i="3"/>
  <c r="AA114" i="3"/>
  <c r="AA110" i="3"/>
  <c r="AA97" i="3"/>
  <c r="AA96" i="3"/>
  <c r="AA94" i="3"/>
  <c r="AC93" i="3"/>
  <c r="AC91" i="3"/>
  <c r="AA90" i="3"/>
  <c r="AA89" i="3"/>
  <c r="H25" i="14" s="1"/>
  <c r="AA71" i="3"/>
  <c r="AA69" i="3"/>
  <c r="AA67" i="3"/>
  <c r="AA65" i="3"/>
  <c r="AA64" i="3" s="1"/>
  <c r="AA63" i="3"/>
  <c r="AA62" i="3"/>
  <c r="AA61" i="3"/>
  <c r="AA60" i="3"/>
  <c r="AA58" i="3"/>
  <c r="AA57" i="3"/>
  <c r="AA55" i="3"/>
  <c r="AA54" i="3"/>
  <c r="AA53" i="3"/>
  <c r="J53" i="3"/>
  <c r="AA52" i="3"/>
  <c r="AA51" i="3"/>
  <c r="AA50" i="3"/>
  <c r="AA49" i="3"/>
  <c r="AA48" i="3"/>
  <c r="AA47" i="3"/>
  <c r="AA46" i="3"/>
  <c r="AA33" i="3"/>
  <c r="AA32" i="3"/>
  <c r="AA31" i="3"/>
  <c r="AC24" i="3"/>
  <c r="AC21" i="3"/>
  <c r="AA19" i="3"/>
  <c r="AA16" i="3"/>
  <c r="AA15" i="3"/>
  <c r="AA12" i="3"/>
  <c r="AA11" i="3"/>
  <c r="AA10" i="3"/>
  <c r="AA9" i="3"/>
  <c r="AA8" i="3"/>
  <c r="O141" i="2"/>
  <c r="O66" i="2"/>
  <c r="O50" i="2"/>
  <c r="O125" i="2"/>
  <c r="O73" i="2"/>
  <c r="O57" i="2"/>
  <c r="O86" i="2"/>
  <c r="O53" i="2"/>
  <c r="O63" i="2"/>
  <c r="O112" i="2"/>
  <c r="O59" i="2"/>
  <c r="P59" i="2" s="1"/>
  <c r="O88" i="2"/>
  <c r="G124" i="2"/>
  <c r="H124" i="2" s="1"/>
  <c r="G135" i="2"/>
  <c r="O60" i="2"/>
  <c r="F24" i="14" s="1"/>
  <c r="O56" i="2"/>
  <c r="O92" i="2"/>
  <c r="O119" i="2"/>
  <c r="H121" i="2"/>
  <c r="P121" i="2" s="1"/>
  <c r="H135" i="2"/>
  <c r="P135" i="2" s="1"/>
  <c r="O79" i="2"/>
  <c r="O22" i="2"/>
  <c r="O34" i="2"/>
  <c r="O82" i="2"/>
  <c r="O17" i="2"/>
  <c r="O27" i="2"/>
  <c r="H31" i="2"/>
  <c r="P31" i="2" s="1"/>
  <c r="H32" i="2"/>
  <c r="P32" i="2" s="1"/>
  <c r="H33" i="2"/>
  <c r="O15" i="2"/>
  <c r="O105" i="2"/>
  <c r="O147" i="2" s="1"/>
  <c r="O5" i="2"/>
  <c r="O29" i="2"/>
  <c r="O61" i="2"/>
  <c r="O72" i="2"/>
  <c r="O103" i="2"/>
  <c r="O28" i="2"/>
  <c r="Q145" i="2"/>
  <c r="Q144" i="2"/>
  <c r="Q143" i="2"/>
  <c r="Q135" i="2"/>
  <c r="Q116" i="2"/>
  <c r="Q89" i="2"/>
  <c r="Q44" i="2"/>
  <c r="H34" i="2"/>
  <c r="J34" i="2" s="1"/>
  <c r="H30" i="2"/>
  <c r="H23" i="2"/>
  <c r="H21" i="2"/>
  <c r="N21" i="2" s="1"/>
  <c r="H20" i="2"/>
  <c r="Q20" i="2" s="1"/>
  <c r="H19" i="2"/>
  <c r="H18" i="2"/>
  <c r="Q18" i="2" s="1"/>
  <c r="H16" i="2"/>
  <c r="Q16" i="2" s="1"/>
  <c r="H15" i="2"/>
  <c r="H7" i="2"/>
  <c r="Q7" i="2" s="1"/>
  <c r="H8" i="2"/>
  <c r="L8" i="2" s="1"/>
  <c r="H9" i="2"/>
  <c r="Q9" i="2" s="1"/>
  <c r="H10" i="2"/>
  <c r="H12" i="2"/>
  <c r="H6" i="2"/>
  <c r="Q6" i="2" s="1"/>
  <c r="AD73" i="3"/>
  <c r="I20" i="3"/>
  <c r="H124" i="3"/>
  <c r="H116" i="3" s="1"/>
  <c r="G86" i="2"/>
  <c r="G85" i="2" s="1"/>
  <c r="I108" i="3"/>
  <c r="H108" i="3"/>
  <c r="J113" i="3"/>
  <c r="L113" i="3" s="1"/>
  <c r="H133" i="2"/>
  <c r="Q133" i="2" s="1"/>
  <c r="H138" i="2"/>
  <c r="I79" i="3"/>
  <c r="H12" i="3"/>
  <c r="H7" i="3" s="1"/>
  <c r="H78" i="3"/>
  <c r="H103" i="3"/>
  <c r="G123" i="2"/>
  <c r="H102" i="3"/>
  <c r="H98" i="3" s="1"/>
  <c r="G118" i="2"/>
  <c r="H118" i="2" s="1"/>
  <c r="Q118" i="2" s="1"/>
  <c r="AD118" i="3"/>
  <c r="AD103" i="3"/>
  <c r="AD102" i="3"/>
  <c r="AD94" i="3"/>
  <c r="AD88" i="3" s="1"/>
  <c r="AD87" i="3"/>
  <c r="AD85" i="3"/>
  <c r="AF85" i="3" s="1"/>
  <c r="AD36" i="3"/>
  <c r="AF24" i="3"/>
  <c r="S56" i="2"/>
  <c r="AD45" i="3"/>
  <c r="H89" i="3"/>
  <c r="K119" i="2"/>
  <c r="L119" i="2" s="1"/>
  <c r="G40" i="2"/>
  <c r="H13" i="3"/>
  <c r="I66" i="3"/>
  <c r="I13" i="3"/>
  <c r="G119" i="2"/>
  <c r="H120" i="2"/>
  <c r="P120" i="2" s="1"/>
  <c r="H31" i="3"/>
  <c r="J31" i="3" s="1"/>
  <c r="L31" i="3" s="1"/>
  <c r="AC31" i="3" s="1"/>
  <c r="H115" i="3"/>
  <c r="J115" i="3" s="1"/>
  <c r="H83" i="3"/>
  <c r="H50" i="3"/>
  <c r="H130" i="2"/>
  <c r="H105" i="3"/>
  <c r="H137" i="2"/>
  <c r="P137" i="2" s="1"/>
  <c r="G112" i="2"/>
  <c r="H112" i="2" s="1"/>
  <c r="H6" i="3"/>
  <c r="AF91" i="3"/>
  <c r="AH90" i="3"/>
  <c r="AF28" i="3"/>
  <c r="S57" i="2"/>
  <c r="S46" i="2"/>
  <c r="T46" i="2" s="1"/>
  <c r="S125" i="2"/>
  <c r="AF58" i="3"/>
  <c r="AF59" i="3"/>
  <c r="G59" i="3"/>
  <c r="AF60" i="3"/>
  <c r="AF69" i="3"/>
  <c r="G69" i="3"/>
  <c r="AF70" i="3"/>
  <c r="G70" i="3"/>
  <c r="AF71" i="3"/>
  <c r="G71" i="3"/>
  <c r="AF73" i="3"/>
  <c r="AF33" i="3"/>
  <c r="G33" i="3"/>
  <c r="AH20" i="3"/>
  <c r="AF18" i="3"/>
  <c r="G18" i="3"/>
  <c r="AF19" i="3"/>
  <c r="G19" i="3"/>
  <c r="AF20" i="3"/>
  <c r="AF22" i="3"/>
  <c r="G22" i="3"/>
  <c r="AF26" i="3"/>
  <c r="G26" i="3"/>
  <c r="AF27" i="3"/>
  <c r="G27" i="3"/>
  <c r="AG28" i="3"/>
  <c r="AF29" i="3"/>
  <c r="G29" i="3"/>
  <c r="AF106" i="3"/>
  <c r="AH85" i="3"/>
  <c r="AH110" i="3"/>
  <c r="AD110" i="3"/>
  <c r="AF110" i="3" s="1"/>
  <c r="AH107" i="3"/>
  <c r="AD107" i="3"/>
  <c r="AH94" i="3"/>
  <c r="AH45" i="3"/>
  <c r="AD6" i="3"/>
  <c r="AD5" i="3" s="1"/>
  <c r="AH6" i="3"/>
  <c r="AH105" i="3"/>
  <c r="S17" i="2"/>
  <c r="S22" i="2"/>
  <c r="AF72" i="3"/>
  <c r="S59" i="2"/>
  <c r="AH36" i="3"/>
  <c r="AH30" i="3" s="1"/>
  <c r="AH35" i="3"/>
  <c r="AF111" i="3"/>
  <c r="AF102" i="3"/>
  <c r="AF101" i="3"/>
  <c r="AF100" i="3"/>
  <c r="AF99" i="3"/>
  <c r="AF114" i="3"/>
  <c r="G114" i="3"/>
  <c r="S126" i="2"/>
  <c r="S105" i="2" s="1"/>
  <c r="S153" i="2" s="1"/>
  <c r="AF17" i="3"/>
  <c r="AE93" i="3"/>
  <c r="AF93" i="3" s="1"/>
  <c r="AH16" i="3"/>
  <c r="AH13" i="3" s="1"/>
  <c r="AF21" i="3"/>
  <c r="G134" i="2"/>
  <c r="H134" i="2" s="1"/>
  <c r="G139" i="2"/>
  <c r="AH73" i="3"/>
  <c r="AD54" i="3"/>
  <c r="AF54" i="3" s="1"/>
  <c r="S141" i="2"/>
  <c r="S53" i="2"/>
  <c r="S99" i="2"/>
  <c r="T99" i="2" s="1"/>
  <c r="S63" i="2"/>
  <c r="AH103" i="3"/>
  <c r="T6" i="2"/>
  <c r="T7" i="2"/>
  <c r="T8" i="2"/>
  <c r="T9" i="2"/>
  <c r="T10" i="2"/>
  <c r="T11" i="2"/>
  <c r="T12" i="2"/>
  <c r="T15" i="2"/>
  <c r="T16" i="2"/>
  <c r="T18" i="2"/>
  <c r="T19" i="2"/>
  <c r="T20" i="2"/>
  <c r="T21" i="2"/>
  <c r="T23" i="2"/>
  <c r="T28" i="2"/>
  <c r="T30" i="2"/>
  <c r="T31" i="2"/>
  <c r="T32" i="2"/>
  <c r="T33" i="2"/>
  <c r="T34" i="2"/>
  <c r="T36" i="2"/>
  <c r="T42" i="2"/>
  <c r="T43" i="2"/>
  <c r="T45" i="2"/>
  <c r="T47" i="2"/>
  <c r="T48" i="2"/>
  <c r="T49" i="2"/>
  <c r="T50" i="2"/>
  <c r="T51" i="2"/>
  <c r="T52" i="2"/>
  <c r="T54" i="2"/>
  <c r="T55" i="2"/>
  <c r="T58" i="2"/>
  <c r="T62" i="2"/>
  <c r="T64" i="2"/>
  <c r="T65" i="2"/>
  <c r="T66" i="2"/>
  <c r="T67" i="2"/>
  <c r="T68" i="2"/>
  <c r="T70" i="2"/>
  <c r="T71" i="2"/>
  <c r="T73" i="2"/>
  <c r="T75" i="2"/>
  <c r="T76" i="2"/>
  <c r="T78" i="2"/>
  <c r="T79" i="2"/>
  <c r="T80" i="2"/>
  <c r="T81" i="2"/>
  <c r="T82" i="2"/>
  <c r="T84" i="2"/>
  <c r="T88" i="2"/>
  <c r="T91" i="2"/>
  <c r="T101" i="2"/>
  <c r="T102" i="2"/>
  <c r="T106" i="2"/>
  <c r="T110" i="2"/>
  <c r="T111" i="2"/>
  <c r="T113" i="2"/>
  <c r="T114" i="2"/>
  <c r="T115" i="2"/>
  <c r="T127" i="2"/>
  <c r="T128" i="2"/>
  <c r="T139" i="2"/>
  <c r="S94" i="2"/>
  <c r="S85" i="2"/>
  <c r="S77" i="2"/>
  <c r="S72" i="2"/>
  <c r="S35" i="2"/>
  <c r="T35" i="2" s="1"/>
  <c r="S29" i="2"/>
  <c r="S26" i="2"/>
  <c r="S14" i="2"/>
  <c r="S5" i="2"/>
  <c r="T5" i="2" s="1"/>
  <c r="F5" i="2"/>
  <c r="F17" i="2"/>
  <c r="H17" i="2" s="1"/>
  <c r="F22" i="2"/>
  <c r="F26" i="2"/>
  <c r="T26" i="2" s="1"/>
  <c r="F29" i="2"/>
  <c r="F35" i="2"/>
  <c r="K102" i="3"/>
  <c r="J105" i="3"/>
  <c r="K105" i="3"/>
  <c r="K107" i="3"/>
  <c r="U108" i="3"/>
  <c r="U85" i="3"/>
  <c r="U52" i="3"/>
  <c r="W52" i="3" s="1"/>
  <c r="U45" i="3"/>
  <c r="U94" i="3"/>
  <c r="U102" i="3"/>
  <c r="U6" i="3"/>
  <c r="W6" i="3" s="1"/>
  <c r="W5" i="3" s="1"/>
  <c r="U107" i="3"/>
  <c r="U110" i="3"/>
  <c r="U114" i="3"/>
  <c r="U112" i="3"/>
  <c r="W112" i="3" s="1"/>
  <c r="V70" i="3"/>
  <c r="W70" i="3" s="1"/>
  <c r="H107" i="3"/>
  <c r="W28" i="3"/>
  <c r="K27" i="1"/>
  <c r="L27" i="1"/>
  <c r="U31" i="3"/>
  <c r="W31" i="3" s="1"/>
  <c r="M134" i="2"/>
  <c r="M66" i="2"/>
  <c r="M61" i="2" s="1"/>
  <c r="M67" i="2"/>
  <c r="M50" i="2"/>
  <c r="W111" i="3"/>
  <c r="U105" i="3"/>
  <c r="W105" i="3" s="1"/>
  <c r="W106" i="3"/>
  <c r="W103" i="3"/>
  <c r="W102" i="3"/>
  <c r="W101" i="3"/>
  <c r="W100" i="3"/>
  <c r="W99" i="3"/>
  <c r="U87" i="3"/>
  <c r="W72" i="3"/>
  <c r="V69" i="3"/>
  <c r="U53" i="3"/>
  <c r="W53" i="3" s="1"/>
  <c r="V38" i="3"/>
  <c r="U36" i="3"/>
  <c r="W36" i="3" s="1"/>
  <c r="V20" i="3"/>
  <c r="M141" i="2"/>
  <c r="M25" i="2"/>
  <c r="M93" i="2"/>
  <c r="M125" i="2"/>
  <c r="M105" i="2" s="1"/>
  <c r="M147" i="2" s="1"/>
  <c r="M73" i="2"/>
  <c r="M57" i="2"/>
  <c r="M86" i="2"/>
  <c r="M59" i="2"/>
  <c r="M60" i="2"/>
  <c r="M63" i="2"/>
  <c r="M56" i="2"/>
  <c r="M92" i="2"/>
  <c r="M85" i="2" s="1"/>
  <c r="M79" i="2"/>
  <c r="M22" i="2"/>
  <c r="M34" i="2"/>
  <c r="M29" i="2" s="1"/>
  <c r="M82" i="2"/>
  <c r="N82" i="2" s="1"/>
  <c r="M17" i="2"/>
  <c r="M53" i="2"/>
  <c r="M27" i="2"/>
  <c r="M15" i="2"/>
  <c r="M14" i="2" s="1"/>
  <c r="M37" i="2" s="1"/>
  <c r="M28" i="2"/>
  <c r="U38" i="3"/>
  <c r="H132" i="2"/>
  <c r="P132" i="2" s="1"/>
  <c r="H95" i="3"/>
  <c r="H45" i="3"/>
  <c r="H44" i="3" s="1"/>
  <c r="J28" i="3"/>
  <c r="K28" i="3"/>
  <c r="L28" i="3" s="1"/>
  <c r="G101" i="2"/>
  <c r="H87" i="2"/>
  <c r="Q87" i="2" s="1"/>
  <c r="H109" i="2"/>
  <c r="Q109" i="2" s="1"/>
  <c r="J111" i="3"/>
  <c r="L111" i="3" s="1"/>
  <c r="AC111" i="3" s="1"/>
  <c r="H108" i="2"/>
  <c r="P108" i="2" s="1"/>
  <c r="H107" i="2"/>
  <c r="G110" i="2"/>
  <c r="H123" i="2"/>
  <c r="P123" i="2" s="1"/>
  <c r="N108" i="2"/>
  <c r="N107" i="2"/>
  <c r="K141" i="2"/>
  <c r="H142" i="2"/>
  <c r="H122" i="2"/>
  <c r="Q122" i="2" s="1"/>
  <c r="N121" i="2"/>
  <c r="Q85" i="3"/>
  <c r="Q55" i="3"/>
  <c r="Q52" i="3"/>
  <c r="S52" i="3" s="1"/>
  <c r="Q45" i="3"/>
  <c r="Q94" i="3"/>
  <c r="S94" i="3" s="1"/>
  <c r="Q102" i="3"/>
  <c r="Q6" i="3"/>
  <c r="Q107" i="3"/>
  <c r="Q110" i="3"/>
  <c r="S110" i="3" s="1"/>
  <c r="T110" i="3" s="1"/>
  <c r="Q112" i="3"/>
  <c r="Q105" i="3"/>
  <c r="S106" i="3"/>
  <c r="Q103" i="3"/>
  <c r="S103" i="3" s="1"/>
  <c r="Q87" i="3"/>
  <c r="S72" i="3"/>
  <c r="S73" i="3"/>
  <c r="S74" i="3"/>
  <c r="Q38" i="3"/>
  <c r="Q30" i="3" s="1"/>
  <c r="R20" i="3"/>
  <c r="Q9" i="3"/>
  <c r="S9" i="3" s="1"/>
  <c r="S102" i="3"/>
  <c r="S99" i="3"/>
  <c r="S101" i="3"/>
  <c r="S100" i="3"/>
  <c r="K125" i="2"/>
  <c r="K73" i="2"/>
  <c r="K57" i="2"/>
  <c r="K50" i="2"/>
  <c r="L50" i="2" s="1"/>
  <c r="K66" i="2"/>
  <c r="K86" i="2"/>
  <c r="K101" i="2"/>
  <c r="K135" i="2"/>
  <c r="L135" i="2" s="1"/>
  <c r="K60" i="2"/>
  <c r="K63" i="2"/>
  <c r="K56" i="2"/>
  <c r="K92" i="2"/>
  <c r="K85" i="2" s="1"/>
  <c r="K79" i="2"/>
  <c r="K22" i="2"/>
  <c r="K34" i="2"/>
  <c r="K17" i="2"/>
  <c r="K14" i="2" s="1"/>
  <c r="K53" i="2"/>
  <c r="K15" i="2"/>
  <c r="K83" i="2"/>
  <c r="K28" i="2"/>
  <c r="J72" i="3"/>
  <c r="K72" i="3"/>
  <c r="I124" i="3"/>
  <c r="G146" i="2"/>
  <c r="G141" i="2" s="1"/>
  <c r="G156" i="2" s="1"/>
  <c r="H131" i="2"/>
  <c r="P131" i="2" s="1"/>
  <c r="H119" i="2"/>
  <c r="P119" i="2" s="1"/>
  <c r="D26" i="1"/>
  <c r="J106" i="3"/>
  <c r="K106" i="3"/>
  <c r="E25" i="1"/>
  <c r="O25" i="1" s="1"/>
  <c r="E26" i="1"/>
  <c r="O26" i="1" s="1"/>
  <c r="M6" i="3"/>
  <c r="O6" i="3" s="1"/>
  <c r="M82" i="3"/>
  <c r="M85" i="3"/>
  <c r="O85" i="3" s="1"/>
  <c r="M52" i="3"/>
  <c r="M45" i="3"/>
  <c r="M94" i="3"/>
  <c r="M102" i="3"/>
  <c r="O102" i="3" s="1"/>
  <c r="M107" i="3"/>
  <c r="M110" i="3"/>
  <c r="I62" i="2"/>
  <c r="M122" i="3"/>
  <c r="O122" i="3" s="1"/>
  <c r="M120" i="3"/>
  <c r="I66" i="2"/>
  <c r="I50" i="2"/>
  <c r="J50" i="2" s="1"/>
  <c r="I56" i="2"/>
  <c r="M105" i="3"/>
  <c r="M104" i="3" s="1"/>
  <c r="M103" i="3"/>
  <c r="O103" i="3" s="1"/>
  <c r="O99" i="3"/>
  <c r="O101" i="3"/>
  <c r="O100" i="3"/>
  <c r="M87" i="3"/>
  <c r="O35" i="3"/>
  <c r="M38" i="3"/>
  <c r="O38" i="3" s="1"/>
  <c r="I127" i="2"/>
  <c r="I126" i="2"/>
  <c r="I125" i="2"/>
  <c r="I105" i="2" s="1"/>
  <c r="I153" i="2" s="1"/>
  <c r="I128" i="2"/>
  <c r="I73" i="2"/>
  <c r="I57" i="2"/>
  <c r="I100" i="2"/>
  <c r="I103" i="2" s="1"/>
  <c r="I155" i="2" s="1"/>
  <c r="G12" i="1" s="1"/>
  <c r="I60" i="2"/>
  <c r="I30" i="2"/>
  <c r="I79" i="2"/>
  <c r="I22" i="2"/>
  <c r="I17" i="2"/>
  <c r="I53" i="2"/>
  <c r="I15" i="2"/>
  <c r="I28" i="2"/>
  <c r="I26" i="2" s="1"/>
  <c r="N135" i="2"/>
  <c r="J135" i="2"/>
  <c r="G25" i="3"/>
  <c r="J25" i="3"/>
  <c r="K25" i="3"/>
  <c r="O25" i="3"/>
  <c r="S25" i="3"/>
  <c r="W25" i="3"/>
  <c r="AF25" i="3"/>
  <c r="E6" i="3"/>
  <c r="J6" i="3" s="1"/>
  <c r="K6" i="3"/>
  <c r="AF6" i="3"/>
  <c r="AH116" i="3"/>
  <c r="AH98" i="3"/>
  <c r="AH64" i="3"/>
  <c r="AH56" i="3"/>
  <c r="AH44" i="3"/>
  <c r="AH7" i="3"/>
  <c r="AF124" i="3"/>
  <c r="AF122" i="3"/>
  <c r="AF121" i="3"/>
  <c r="AF120" i="3"/>
  <c r="AF119" i="3"/>
  <c r="AF117" i="3"/>
  <c r="AE116" i="3"/>
  <c r="AF115" i="3"/>
  <c r="AF108" i="3"/>
  <c r="AF105" i="3"/>
  <c r="AE104" i="3"/>
  <c r="AE98" i="3"/>
  <c r="AF97" i="3"/>
  <c r="AF96" i="3"/>
  <c r="AF95" i="3"/>
  <c r="AG95" i="3" s="1"/>
  <c r="AF90" i="3"/>
  <c r="AF89" i="3"/>
  <c r="AE88" i="3"/>
  <c r="AF87" i="3"/>
  <c r="AF86" i="3"/>
  <c r="AF84" i="3"/>
  <c r="AF83" i="3"/>
  <c r="AG83" i="3" s="1"/>
  <c r="AF82" i="3"/>
  <c r="AF81" i="3"/>
  <c r="AF79" i="3"/>
  <c r="AF80" i="3"/>
  <c r="AG80" i="3" s="1"/>
  <c r="AF78" i="3"/>
  <c r="AG78" i="3" s="1"/>
  <c r="AF77" i="3"/>
  <c r="AF76" i="3"/>
  <c r="AF75" i="3"/>
  <c r="AG75" i="3" s="1"/>
  <c r="AF74" i="3"/>
  <c r="AF68" i="3"/>
  <c r="AF67" i="3"/>
  <c r="AE66" i="3"/>
  <c r="AF65" i="3"/>
  <c r="AF64" i="3" s="1"/>
  <c r="AE64" i="3"/>
  <c r="AD64" i="3"/>
  <c r="AF63" i="3"/>
  <c r="AG63" i="3" s="1"/>
  <c r="AF62" i="3"/>
  <c r="AF61" i="3"/>
  <c r="G61" i="3"/>
  <c r="AF57" i="3"/>
  <c r="AE56" i="3"/>
  <c r="AD56" i="3"/>
  <c r="AF55" i="3"/>
  <c r="AF53" i="3"/>
  <c r="AF52" i="3"/>
  <c r="AF51" i="3"/>
  <c r="AF50" i="3"/>
  <c r="AF49" i="3"/>
  <c r="AF48" i="3"/>
  <c r="AF47" i="3"/>
  <c r="AF46" i="3"/>
  <c r="AE44" i="3"/>
  <c r="AF43" i="3"/>
  <c r="AF42" i="3"/>
  <c r="AF41" i="3"/>
  <c r="AF40" i="3"/>
  <c r="AF39" i="3"/>
  <c r="G39" i="3"/>
  <c r="AF38" i="3"/>
  <c r="AF37" i="3"/>
  <c r="AF36" i="3"/>
  <c r="AF35" i="3"/>
  <c r="AF34" i="3"/>
  <c r="AF32" i="3"/>
  <c r="AF31" i="3"/>
  <c r="AE30" i="3"/>
  <c r="AD30" i="3"/>
  <c r="AF23" i="3"/>
  <c r="G23" i="3"/>
  <c r="AF16" i="3"/>
  <c r="G16" i="3"/>
  <c r="AF15" i="3"/>
  <c r="AF14" i="3"/>
  <c r="AE13" i="3"/>
  <c r="AD13" i="3"/>
  <c r="AF12" i="3"/>
  <c r="AF11" i="3"/>
  <c r="AF10" i="3"/>
  <c r="AF9" i="3"/>
  <c r="AF8" i="3"/>
  <c r="AF7" i="3" s="1"/>
  <c r="AE7" i="3"/>
  <c r="AD7" i="3"/>
  <c r="AE5" i="3"/>
  <c r="AA124" i="3"/>
  <c r="Z116" i="3"/>
  <c r="Y116" i="3"/>
  <c r="Y109" i="3"/>
  <c r="Z104" i="3"/>
  <c r="Z98" i="3"/>
  <c r="Y98" i="3"/>
  <c r="Z88" i="3"/>
  <c r="Y88" i="3"/>
  <c r="AA77" i="3"/>
  <c r="H15" i="14" s="1"/>
  <c r="AA68" i="3"/>
  <c r="Z64" i="3"/>
  <c r="Y64" i="3"/>
  <c r="AA59" i="3"/>
  <c r="Z56" i="3"/>
  <c r="Y56" i="3"/>
  <c r="Z44" i="3"/>
  <c r="AA40" i="3"/>
  <c r="Y13" i="3"/>
  <c r="Z7" i="3"/>
  <c r="Y7" i="3"/>
  <c r="Z5" i="3"/>
  <c r="W124" i="3"/>
  <c r="W122" i="3"/>
  <c r="W121" i="3"/>
  <c r="W120" i="3"/>
  <c r="W119" i="3"/>
  <c r="W118" i="3"/>
  <c r="W117" i="3"/>
  <c r="V116" i="3"/>
  <c r="U116" i="3"/>
  <c r="W115" i="3"/>
  <c r="W114" i="3"/>
  <c r="V109" i="3"/>
  <c r="W107" i="3"/>
  <c r="V104" i="3"/>
  <c r="V98" i="3"/>
  <c r="U98" i="3"/>
  <c r="W97" i="3"/>
  <c r="W96" i="3"/>
  <c r="W95" i="3"/>
  <c r="W90" i="3"/>
  <c r="W89" i="3"/>
  <c r="V88" i="3"/>
  <c r="W86" i="3"/>
  <c r="W85" i="3"/>
  <c r="W84" i="3"/>
  <c r="W83" i="3"/>
  <c r="W82" i="3"/>
  <c r="W81" i="3"/>
  <c r="W79" i="3"/>
  <c r="W80" i="3"/>
  <c r="W78" i="3"/>
  <c r="W77" i="3"/>
  <c r="W76" i="3"/>
  <c r="W75" i="3"/>
  <c r="W74" i="3"/>
  <c r="W73" i="3"/>
  <c r="W71" i="3"/>
  <c r="W69" i="3"/>
  <c r="W68" i="3"/>
  <c r="W67" i="3"/>
  <c r="W65" i="3"/>
  <c r="V64" i="3"/>
  <c r="U64" i="3"/>
  <c r="W63" i="3"/>
  <c r="W62" i="3"/>
  <c r="W61" i="3"/>
  <c r="W60" i="3"/>
  <c r="W59" i="3"/>
  <c r="W58" i="3"/>
  <c r="W57" i="3"/>
  <c r="V56" i="3"/>
  <c r="U56" i="3"/>
  <c r="W55" i="3"/>
  <c r="W54" i="3"/>
  <c r="W51" i="3"/>
  <c r="W50" i="3"/>
  <c r="W49" i="3"/>
  <c r="W48" i="3"/>
  <c r="W47" i="3"/>
  <c r="W46" i="3"/>
  <c r="W45" i="3"/>
  <c r="V44" i="3"/>
  <c r="W43" i="3"/>
  <c r="W42" i="3"/>
  <c r="W41" i="3"/>
  <c r="W40" i="3"/>
  <c r="W39" i="3"/>
  <c r="W37" i="3"/>
  <c r="W35" i="3"/>
  <c r="W34" i="3"/>
  <c r="W33" i="3"/>
  <c r="W32" i="3"/>
  <c r="W29" i="3"/>
  <c r="W27" i="3"/>
  <c r="W26" i="3"/>
  <c r="W23" i="3"/>
  <c r="W22" i="3"/>
  <c r="W19" i="3"/>
  <c r="W16" i="3"/>
  <c r="W20" i="3"/>
  <c r="W18" i="3"/>
  <c r="W15" i="3"/>
  <c r="W14" i="3"/>
  <c r="V13" i="3"/>
  <c r="U13" i="3"/>
  <c r="W12" i="3"/>
  <c r="W11" i="3"/>
  <c r="W10" i="3"/>
  <c r="W9" i="3"/>
  <c r="W8" i="3"/>
  <c r="V7" i="3"/>
  <c r="U7" i="3"/>
  <c r="V5" i="3"/>
  <c r="U5" i="3"/>
  <c r="S124" i="3"/>
  <c r="S122" i="3"/>
  <c r="S121" i="3"/>
  <c r="S120" i="3"/>
  <c r="S119" i="3"/>
  <c r="S118" i="3"/>
  <c r="S117" i="3"/>
  <c r="R116" i="3"/>
  <c r="Q116" i="3"/>
  <c r="S115" i="3"/>
  <c r="S114" i="3"/>
  <c r="S112" i="3"/>
  <c r="R109" i="3"/>
  <c r="S108" i="3"/>
  <c r="S107" i="3"/>
  <c r="S105" i="3"/>
  <c r="R104" i="3"/>
  <c r="Q104" i="3"/>
  <c r="R98" i="3"/>
  <c r="S97" i="3"/>
  <c r="S96" i="3"/>
  <c r="S95" i="3"/>
  <c r="S90" i="3"/>
  <c r="S89" i="3"/>
  <c r="R88" i="3"/>
  <c r="S87" i="3"/>
  <c r="S86" i="3"/>
  <c r="S85" i="3"/>
  <c r="S84" i="3"/>
  <c r="S83" i="3"/>
  <c r="S82" i="3"/>
  <c r="S81" i="3"/>
  <c r="S79" i="3"/>
  <c r="S80" i="3"/>
  <c r="S78" i="3"/>
  <c r="S77" i="3"/>
  <c r="S76" i="3"/>
  <c r="S75" i="3"/>
  <c r="S71" i="3"/>
  <c r="S70" i="3"/>
  <c r="S69" i="3"/>
  <c r="S68" i="3"/>
  <c r="S67" i="3"/>
  <c r="R66" i="3"/>
  <c r="S65" i="3"/>
  <c r="S64" i="3" s="1"/>
  <c r="R64" i="3"/>
  <c r="Q64" i="3"/>
  <c r="S63" i="3"/>
  <c r="S62" i="3"/>
  <c r="S61" i="3"/>
  <c r="S60" i="3"/>
  <c r="S59" i="3"/>
  <c r="S58" i="3"/>
  <c r="S57" i="3"/>
  <c r="R56" i="3"/>
  <c r="Q56" i="3"/>
  <c r="S54" i="3"/>
  <c r="S53" i="3"/>
  <c r="S51" i="3"/>
  <c r="S50" i="3"/>
  <c r="S49" i="3"/>
  <c r="S48" i="3"/>
  <c r="S47" i="3"/>
  <c r="S46" i="3"/>
  <c r="S45" i="3"/>
  <c r="R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R30" i="3"/>
  <c r="S29" i="3"/>
  <c r="S27" i="3"/>
  <c r="S26" i="3"/>
  <c r="S23" i="3"/>
  <c r="S22" i="3"/>
  <c r="S19" i="3"/>
  <c r="S16" i="3"/>
  <c r="S20" i="3"/>
  <c r="S18" i="3"/>
  <c r="S15" i="3"/>
  <c r="S14" i="3"/>
  <c r="R13" i="3"/>
  <c r="Q13" i="3"/>
  <c r="S12" i="3"/>
  <c r="S11" i="3"/>
  <c r="S10" i="3"/>
  <c r="S8" i="3"/>
  <c r="R7" i="3"/>
  <c r="Q7" i="3"/>
  <c r="R5" i="3"/>
  <c r="K45" i="3"/>
  <c r="J114" i="3"/>
  <c r="L114" i="3" s="1"/>
  <c r="K90" i="3"/>
  <c r="K88" i="3" s="1"/>
  <c r="K71" i="3"/>
  <c r="K79" i="3"/>
  <c r="J69" i="3"/>
  <c r="L69" i="3" s="1"/>
  <c r="AC69" i="3" s="1"/>
  <c r="J70" i="3"/>
  <c r="L70" i="3" s="1"/>
  <c r="J71" i="3"/>
  <c r="J74" i="3"/>
  <c r="J75" i="3"/>
  <c r="J76" i="3"/>
  <c r="L76" i="3" s="1"/>
  <c r="J77" i="3"/>
  <c r="J80" i="3"/>
  <c r="J79" i="3"/>
  <c r="J81" i="3"/>
  <c r="L81" i="3" s="1"/>
  <c r="J83" i="3"/>
  <c r="J84" i="3"/>
  <c r="L84" i="3" s="1"/>
  <c r="J59" i="3"/>
  <c r="L59" i="3" s="1"/>
  <c r="K39" i="3"/>
  <c r="K40" i="3"/>
  <c r="J33" i="3"/>
  <c r="L33" i="3" s="1"/>
  <c r="J37" i="3"/>
  <c r="J38" i="3"/>
  <c r="J39" i="3"/>
  <c r="J40" i="3"/>
  <c r="L40" i="3" s="1"/>
  <c r="J15" i="3"/>
  <c r="K15" i="3"/>
  <c r="J18" i="3"/>
  <c r="K18" i="3"/>
  <c r="J20" i="3"/>
  <c r="J16" i="3"/>
  <c r="K16" i="3"/>
  <c r="J19" i="3"/>
  <c r="K19" i="3"/>
  <c r="J22" i="3"/>
  <c r="K22" i="3"/>
  <c r="J23" i="3"/>
  <c r="K23" i="3"/>
  <c r="J26" i="3"/>
  <c r="K26" i="3"/>
  <c r="J27" i="3"/>
  <c r="K27" i="3"/>
  <c r="J101" i="3"/>
  <c r="L101" i="3" s="1"/>
  <c r="AC101" i="3" s="1"/>
  <c r="J99" i="3"/>
  <c r="L99" i="3" s="1"/>
  <c r="AI99" i="3" s="1"/>
  <c r="O112" i="3"/>
  <c r="O114" i="3"/>
  <c r="O90" i="3"/>
  <c r="O94" i="3"/>
  <c r="O95" i="3"/>
  <c r="O68" i="3"/>
  <c r="O69" i="3"/>
  <c r="O70" i="3"/>
  <c r="O71" i="3"/>
  <c r="O73" i="3"/>
  <c r="O74" i="3"/>
  <c r="O75" i="3"/>
  <c r="O76" i="3"/>
  <c r="O77" i="3"/>
  <c r="O78" i="3"/>
  <c r="O80" i="3"/>
  <c r="O79" i="3"/>
  <c r="O81" i="3"/>
  <c r="O82" i="3"/>
  <c r="O58" i="3"/>
  <c r="O59" i="3"/>
  <c r="O60" i="3"/>
  <c r="O36" i="3"/>
  <c r="O37" i="3"/>
  <c r="O39" i="3"/>
  <c r="O40" i="3"/>
  <c r="O14" i="3"/>
  <c r="O15" i="3"/>
  <c r="O18" i="3"/>
  <c r="O20" i="3"/>
  <c r="O16" i="3"/>
  <c r="O19" i="3"/>
  <c r="O22" i="3"/>
  <c r="O23" i="3"/>
  <c r="O26" i="3"/>
  <c r="O27" i="3"/>
  <c r="G124" i="3"/>
  <c r="G122" i="3"/>
  <c r="E121" i="3"/>
  <c r="J121" i="3" s="1"/>
  <c r="G120" i="3"/>
  <c r="G119" i="3"/>
  <c r="G118" i="3"/>
  <c r="G117" i="3"/>
  <c r="F116" i="3"/>
  <c r="G115" i="3"/>
  <c r="E110" i="3"/>
  <c r="E108" i="3"/>
  <c r="E107" i="3"/>
  <c r="J107" i="3" s="1"/>
  <c r="L107" i="3" s="1"/>
  <c r="G105" i="3"/>
  <c r="F104" i="3"/>
  <c r="E103" i="3"/>
  <c r="E102" i="3"/>
  <c r="G99" i="3"/>
  <c r="G101" i="3"/>
  <c r="G100" i="3"/>
  <c r="AG100" i="3" s="1"/>
  <c r="F98" i="3"/>
  <c r="G97" i="3"/>
  <c r="E96" i="3"/>
  <c r="G95" i="3"/>
  <c r="E94" i="3"/>
  <c r="G94" i="3" s="1"/>
  <c r="E90" i="3"/>
  <c r="G89" i="3"/>
  <c r="AG89" i="3" s="1"/>
  <c r="F88" i="3"/>
  <c r="E87" i="3"/>
  <c r="G86" i="3"/>
  <c r="E85" i="3"/>
  <c r="J85" i="3" s="1"/>
  <c r="G84" i="3"/>
  <c r="G83" i="3"/>
  <c r="E82" i="3"/>
  <c r="G81" i="3"/>
  <c r="AG81" i="3" s="1"/>
  <c r="G79" i="3"/>
  <c r="G80" i="3"/>
  <c r="G78" i="3"/>
  <c r="G77" i="3"/>
  <c r="G76" i="3"/>
  <c r="G75" i="3"/>
  <c r="G74" i="3"/>
  <c r="E73" i="3"/>
  <c r="G68" i="3"/>
  <c r="AG68" i="3" s="1"/>
  <c r="E67" i="3"/>
  <c r="F66" i="3"/>
  <c r="E65" i="3"/>
  <c r="F64" i="3"/>
  <c r="G63" i="3"/>
  <c r="E62" i="3"/>
  <c r="G62" i="3" s="1"/>
  <c r="E60" i="3"/>
  <c r="G60" i="3" s="1"/>
  <c r="F58" i="3"/>
  <c r="G58" i="3" s="1"/>
  <c r="G57" i="3"/>
  <c r="G55" i="3"/>
  <c r="E54" i="3"/>
  <c r="G53" i="3"/>
  <c r="G52" i="3"/>
  <c r="G51" i="3"/>
  <c r="E50" i="3"/>
  <c r="G49" i="3"/>
  <c r="G48" i="3"/>
  <c r="G47" i="3"/>
  <c r="AG47" i="3" s="1"/>
  <c r="E46" i="3"/>
  <c r="E45" i="3"/>
  <c r="J45" i="3" s="1"/>
  <c r="F44" i="3"/>
  <c r="G43" i="3"/>
  <c r="G42" i="3"/>
  <c r="G41" i="3"/>
  <c r="G40" i="3"/>
  <c r="F38" i="3"/>
  <c r="F30" i="3" s="1"/>
  <c r="G37" i="3"/>
  <c r="E36" i="3"/>
  <c r="G36" i="3" s="1"/>
  <c r="E35" i="3"/>
  <c r="E34" i="3"/>
  <c r="G32" i="3"/>
  <c r="G31" i="3"/>
  <c r="F20" i="3"/>
  <c r="G20" i="3" s="1"/>
  <c r="G15" i="3"/>
  <c r="E14" i="3"/>
  <c r="G12" i="3"/>
  <c r="G11" i="3"/>
  <c r="G10" i="3"/>
  <c r="G9" i="3"/>
  <c r="G8" i="3"/>
  <c r="G7" i="3" s="1"/>
  <c r="F7" i="3"/>
  <c r="E7" i="3"/>
  <c r="F5" i="3"/>
  <c r="H110" i="2"/>
  <c r="P110" i="2" s="1"/>
  <c r="H111" i="2"/>
  <c r="P111" i="2" s="1"/>
  <c r="H113" i="2"/>
  <c r="H114" i="2"/>
  <c r="P114" i="2" s="1"/>
  <c r="H115" i="2"/>
  <c r="P115" i="2" s="1"/>
  <c r="H128" i="2"/>
  <c r="P128" i="2" s="1"/>
  <c r="H127" i="2"/>
  <c r="H129" i="2"/>
  <c r="Q129" i="2" s="1"/>
  <c r="H136" i="2"/>
  <c r="Q136" i="2" s="1"/>
  <c r="H139" i="2"/>
  <c r="H140" i="2"/>
  <c r="Q140" i="2" s="1"/>
  <c r="O94" i="2"/>
  <c r="O35" i="2"/>
  <c r="P35" i="2" s="1"/>
  <c r="M103" i="2"/>
  <c r="M94" i="2"/>
  <c r="M72" i="2"/>
  <c r="M35" i="2"/>
  <c r="M26" i="2"/>
  <c r="M5" i="2"/>
  <c r="K103" i="2"/>
  <c r="K94" i="2"/>
  <c r="K72" i="2"/>
  <c r="K35" i="2"/>
  <c r="K29" i="2"/>
  <c r="K5" i="2"/>
  <c r="G103" i="2"/>
  <c r="G94" i="2"/>
  <c r="G77" i="2"/>
  <c r="G72" i="2"/>
  <c r="G61" i="2"/>
  <c r="G35" i="2"/>
  <c r="G29" i="2"/>
  <c r="G26" i="2"/>
  <c r="G14" i="2"/>
  <c r="G5" i="2"/>
  <c r="F146" i="2"/>
  <c r="T146" i="2" s="1"/>
  <c r="F126" i="2"/>
  <c r="F125" i="2"/>
  <c r="F100" i="2"/>
  <c r="T100" i="2" s="1"/>
  <c r="F94" i="2"/>
  <c r="F85" i="2"/>
  <c r="F77" i="2"/>
  <c r="T77" i="2" s="1"/>
  <c r="F72" i="2"/>
  <c r="T72" i="2" s="1"/>
  <c r="F69" i="2"/>
  <c r="F63" i="2"/>
  <c r="F60" i="2"/>
  <c r="F59" i="2"/>
  <c r="H59" i="2" s="1"/>
  <c r="F57" i="2"/>
  <c r="F56" i="2"/>
  <c r="H56" i="2" s="1"/>
  <c r="F53" i="2"/>
  <c r="F41" i="2"/>
  <c r="T41" i="2" s="1"/>
  <c r="T29" i="2"/>
  <c r="T17" i="2"/>
  <c r="H126" i="2"/>
  <c r="P126" i="2" s="1"/>
  <c r="H125" i="2"/>
  <c r="W64" i="3"/>
  <c r="N110" i="2"/>
  <c r="N114" i="2"/>
  <c r="F141" i="2"/>
  <c r="F156" i="2" s="1"/>
  <c r="N126" i="2"/>
  <c r="N111" i="2"/>
  <c r="L136" i="2"/>
  <c r="L140" i="2"/>
  <c r="G65" i="3"/>
  <c r="G64" i="3" s="1"/>
  <c r="G85" i="3"/>
  <c r="AG85" i="3" s="1"/>
  <c r="G110" i="3"/>
  <c r="G82" i="3"/>
  <c r="G46" i="3"/>
  <c r="AG46" i="3" s="1"/>
  <c r="G67" i="3"/>
  <c r="G87" i="3"/>
  <c r="G107" i="3"/>
  <c r="G6" i="3"/>
  <c r="G5" i="3" s="1"/>
  <c r="J115" i="2"/>
  <c r="N140" i="2"/>
  <c r="J126" i="2"/>
  <c r="P140" i="2"/>
  <c r="L114" i="2"/>
  <c r="N139" i="2"/>
  <c r="J82" i="3"/>
  <c r="J65" i="3"/>
  <c r="J60" i="3"/>
  <c r="E5" i="3"/>
  <c r="E56" i="3"/>
  <c r="E64" i="3"/>
  <c r="E13" i="3"/>
  <c r="Q22" i="1"/>
  <c r="I29" i="2"/>
  <c r="I77" i="2"/>
  <c r="H22" i="14"/>
  <c r="O124" i="3"/>
  <c r="O121" i="3"/>
  <c r="O120" i="3"/>
  <c r="O119" i="3"/>
  <c r="O118" i="3"/>
  <c r="O117" i="3"/>
  <c r="N116" i="3"/>
  <c r="O115" i="3"/>
  <c r="N109" i="3"/>
  <c r="O108" i="3"/>
  <c r="O107" i="3"/>
  <c r="O105" i="3"/>
  <c r="N104" i="3"/>
  <c r="N98" i="3"/>
  <c r="O97" i="3"/>
  <c r="O96" i="3"/>
  <c r="O89" i="3"/>
  <c r="N88" i="3"/>
  <c r="M88" i="3"/>
  <c r="O87" i="3"/>
  <c r="O86" i="3"/>
  <c r="O84" i="3"/>
  <c r="O83" i="3"/>
  <c r="O67" i="3"/>
  <c r="N66" i="3"/>
  <c r="M66" i="3"/>
  <c r="O65" i="3"/>
  <c r="O64" i="3" s="1"/>
  <c r="N64" i="3"/>
  <c r="M64" i="3"/>
  <c r="O63" i="3"/>
  <c r="O62" i="3"/>
  <c r="O61" i="3"/>
  <c r="O57" i="3"/>
  <c r="N56" i="3"/>
  <c r="M56" i="3"/>
  <c r="O55" i="3"/>
  <c r="O48" i="3"/>
  <c r="O47" i="3"/>
  <c r="O54" i="3"/>
  <c r="O53" i="3"/>
  <c r="O52" i="3"/>
  <c r="O51" i="3"/>
  <c r="O49" i="3"/>
  <c r="O50" i="3"/>
  <c r="O46" i="3"/>
  <c r="N44" i="3"/>
  <c r="O43" i="3"/>
  <c r="O42" i="3"/>
  <c r="O41" i="3"/>
  <c r="O34" i="3"/>
  <c r="O33" i="3"/>
  <c r="O32" i="3"/>
  <c r="O31" i="3"/>
  <c r="N30" i="3"/>
  <c r="O29" i="3"/>
  <c r="N13" i="3"/>
  <c r="M13" i="3"/>
  <c r="O12" i="3"/>
  <c r="O11" i="3"/>
  <c r="O10" i="3"/>
  <c r="O9" i="3"/>
  <c r="O8" i="3"/>
  <c r="N7" i="3"/>
  <c r="M7" i="3"/>
  <c r="N5" i="3"/>
  <c r="M5" i="3"/>
  <c r="K78" i="3"/>
  <c r="K69" i="3"/>
  <c r="K74" i="3"/>
  <c r="K61" i="3"/>
  <c r="J62" i="3"/>
  <c r="J48" i="3"/>
  <c r="K33" i="3"/>
  <c r="J47" i="3"/>
  <c r="L47" i="3" s="1"/>
  <c r="T47" i="3" s="1"/>
  <c r="AE109" i="3"/>
  <c r="M150" i="2"/>
  <c r="K150" i="2"/>
  <c r="K156" i="2"/>
  <c r="K155" i="2"/>
  <c r="I150" i="2"/>
  <c r="I141" i="2"/>
  <c r="I156" i="2" s="1"/>
  <c r="I94" i="2"/>
  <c r="I85" i="2"/>
  <c r="I72" i="2"/>
  <c r="I35" i="2"/>
  <c r="I5" i="2"/>
  <c r="H46" i="2"/>
  <c r="J46" i="2" s="1"/>
  <c r="H47" i="2"/>
  <c r="P47" i="2" s="1"/>
  <c r="H48" i="2"/>
  <c r="P48" i="2" s="1"/>
  <c r="H49" i="2"/>
  <c r="J49" i="2" s="1"/>
  <c r="H50" i="2"/>
  <c r="H51" i="2"/>
  <c r="P51" i="2" s="1"/>
  <c r="H52" i="2"/>
  <c r="H54" i="2"/>
  <c r="Q54" i="2" s="1"/>
  <c r="H55" i="2"/>
  <c r="Q55" i="2" s="1"/>
  <c r="H58" i="2"/>
  <c r="Q58" i="2" s="1"/>
  <c r="H76" i="2"/>
  <c r="H75" i="2"/>
  <c r="Q75" i="2" s="1"/>
  <c r="H74" i="2"/>
  <c r="Q74" i="2" s="1"/>
  <c r="H73" i="2"/>
  <c r="Q73" i="2" s="1"/>
  <c r="H91" i="2"/>
  <c r="H92" i="2"/>
  <c r="H57" i="2"/>
  <c r="L48" i="3"/>
  <c r="L62" i="3"/>
  <c r="M156" i="2"/>
  <c r="N46" i="2"/>
  <c r="M155" i="2"/>
  <c r="L46" i="2"/>
  <c r="H30" i="14"/>
  <c r="K53" i="3"/>
  <c r="H88" i="2"/>
  <c r="N88" i="2" s="1"/>
  <c r="K96" i="3"/>
  <c r="J57" i="3"/>
  <c r="K57" i="3"/>
  <c r="J58" i="3"/>
  <c r="K60" i="3"/>
  <c r="L60" i="3" s="1"/>
  <c r="AI60" i="3" s="1"/>
  <c r="J49" i="3"/>
  <c r="J51" i="3"/>
  <c r="L51" i="3" s="1"/>
  <c r="K42" i="3"/>
  <c r="K43" i="3"/>
  <c r="K37" i="3"/>
  <c r="K9" i="3"/>
  <c r="K103" i="3"/>
  <c r="G150" i="2"/>
  <c r="G155" i="2"/>
  <c r="D12" i="1" s="1"/>
  <c r="H101" i="2"/>
  <c r="Q101" i="2" s="1"/>
  <c r="H64" i="2"/>
  <c r="P64" i="2" s="1"/>
  <c r="H65" i="2"/>
  <c r="Q65" i="2" s="1"/>
  <c r="H66" i="2"/>
  <c r="E12" i="14" s="1"/>
  <c r="H43" i="2"/>
  <c r="Q43" i="2" s="1"/>
  <c r="H45" i="2"/>
  <c r="O150" i="2"/>
  <c r="O156" i="2"/>
  <c r="M13" i="1" s="1"/>
  <c r="O153" i="2"/>
  <c r="O155" i="2"/>
  <c r="M12" i="1" s="1"/>
  <c r="J43" i="2"/>
  <c r="L43" i="2"/>
  <c r="J101" i="2"/>
  <c r="J140" i="2"/>
  <c r="J45" i="2"/>
  <c r="P43" i="2"/>
  <c r="P101" i="2"/>
  <c r="AG51" i="3"/>
  <c r="AG42" i="3"/>
  <c r="K12" i="1"/>
  <c r="N43" i="2"/>
  <c r="N101" i="2"/>
  <c r="L101" i="2"/>
  <c r="J94" i="3"/>
  <c r="J52" i="3"/>
  <c r="K58" i="3"/>
  <c r="AG10" i="3"/>
  <c r="H93" i="2"/>
  <c r="Q93" i="2" s="1"/>
  <c r="H5" i="3"/>
  <c r="I5" i="3"/>
  <c r="I7" i="3"/>
  <c r="I30" i="3"/>
  <c r="I44" i="3"/>
  <c r="H56" i="3"/>
  <c r="I56" i="3"/>
  <c r="I64" i="3"/>
  <c r="H64" i="3"/>
  <c r="I88" i="3"/>
  <c r="I98" i="3"/>
  <c r="I116" i="3"/>
  <c r="F35" i="14"/>
  <c r="F20" i="14"/>
  <c r="F17" i="14"/>
  <c r="F19" i="14" s="1"/>
  <c r="K65" i="3"/>
  <c r="K64" i="3" s="1"/>
  <c r="F7" i="14"/>
  <c r="F8" i="14" s="1"/>
  <c r="F10" i="14"/>
  <c r="F12" i="14"/>
  <c r="F14" i="14"/>
  <c r="F15" i="14"/>
  <c r="F21" i="14"/>
  <c r="F23" i="14"/>
  <c r="E27" i="14"/>
  <c r="F27" i="14"/>
  <c r="F29" i="14"/>
  <c r="H29" i="14"/>
  <c r="F32" i="14"/>
  <c r="F33" i="14" s="1"/>
  <c r="F34" i="14"/>
  <c r="F36" i="14" s="1"/>
  <c r="J8" i="3"/>
  <c r="K8" i="3"/>
  <c r="J10" i="3"/>
  <c r="K10" i="3"/>
  <c r="J11" i="3"/>
  <c r="AG11" i="3"/>
  <c r="K12" i="3"/>
  <c r="J14" i="3"/>
  <c r="K14" i="3"/>
  <c r="J29" i="3"/>
  <c r="K29" i="3"/>
  <c r="L29" i="3" s="1"/>
  <c r="J32" i="3"/>
  <c r="L32" i="3" s="1"/>
  <c r="AC32" i="3" s="1"/>
  <c r="J41" i="3"/>
  <c r="K41" i="3"/>
  <c r="J42" i="3"/>
  <c r="J43" i="3"/>
  <c r="L43" i="3" s="1"/>
  <c r="AI43" i="3" s="1"/>
  <c r="J46" i="3"/>
  <c r="J50" i="3"/>
  <c r="J55" i="3"/>
  <c r="L55" i="3" s="1"/>
  <c r="J61" i="3"/>
  <c r="J56" i="3" s="1"/>
  <c r="J63" i="3"/>
  <c r="J67" i="3"/>
  <c r="J68" i="3"/>
  <c r="L68" i="3" s="1"/>
  <c r="AI68" i="3" s="1"/>
  <c r="K70" i="3"/>
  <c r="K80" i="3"/>
  <c r="J86" i="3"/>
  <c r="L86" i="3" s="1"/>
  <c r="J87" i="3"/>
  <c r="L87" i="3" s="1"/>
  <c r="J97" i="3"/>
  <c r="L97" i="3" s="1"/>
  <c r="AC97" i="3" s="1"/>
  <c r="J100" i="3"/>
  <c r="J110" i="3"/>
  <c r="L110" i="3" s="1"/>
  <c r="K115" i="3"/>
  <c r="AG115" i="3"/>
  <c r="J117" i="3"/>
  <c r="J118" i="3"/>
  <c r="J119" i="3"/>
  <c r="L119" i="3" s="1"/>
  <c r="AG119" i="3"/>
  <c r="J120" i="3"/>
  <c r="L120" i="3" s="1"/>
  <c r="J122" i="3"/>
  <c r="H11" i="2"/>
  <c r="Q11" i="2" s="1"/>
  <c r="H24" i="2"/>
  <c r="Q24" i="2" s="1"/>
  <c r="H25" i="2"/>
  <c r="Q25" i="2" s="1"/>
  <c r="H27" i="2"/>
  <c r="H28" i="2"/>
  <c r="Q28" i="2" s="1"/>
  <c r="H36" i="2"/>
  <c r="Q36" i="2" s="1"/>
  <c r="H42" i="2"/>
  <c r="Q42" i="2" s="1"/>
  <c r="H62" i="2"/>
  <c r="Q62" i="2" s="1"/>
  <c r="H63" i="2"/>
  <c r="H67" i="2"/>
  <c r="Q67" i="2" s="1"/>
  <c r="H68" i="2"/>
  <c r="Q68" i="2" s="1"/>
  <c r="H70" i="2"/>
  <c r="Q70" i="2" s="1"/>
  <c r="H71" i="2"/>
  <c r="H78" i="2"/>
  <c r="Q78" i="2" s="1"/>
  <c r="H79" i="2"/>
  <c r="H80" i="2"/>
  <c r="Q80" i="2" s="1"/>
  <c r="H81" i="2"/>
  <c r="N81" i="2" s="1"/>
  <c r="H82" i="2"/>
  <c r="Q82" i="2" s="1"/>
  <c r="H83" i="2"/>
  <c r="H84" i="2"/>
  <c r="Q84" i="2" s="1"/>
  <c r="H95" i="2"/>
  <c r="Q95" i="2" s="1"/>
  <c r="Q94" i="2" s="1"/>
  <c r="H99" i="2"/>
  <c r="H102" i="2"/>
  <c r="H106" i="2"/>
  <c r="Q106" i="2" s="1"/>
  <c r="E22" i="1"/>
  <c r="O22" i="1" s="1"/>
  <c r="E24" i="1"/>
  <c r="N24" i="1" s="1"/>
  <c r="E27" i="1"/>
  <c r="O27" i="1" s="1"/>
  <c r="AG9" i="3"/>
  <c r="J9" i="3"/>
  <c r="I12" i="1"/>
  <c r="H69" i="2"/>
  <c r="Q69" i="2" s="1"/>
  <c r="AG86" i="3"/>
  <c r="AG55" i="3"/>
  <c r="H10" i="14"/>
  <c r="J90" i="3"/>
  <c r="J89" i="3"/>
  <c r="L89" i="3" s="1"/>
  <c r="P89" i="3" s="1"/>
  <c r="H13" i="14"/>
  <c r="P106" i="2"/>
  <c r="H22" i="1"/>
  <c r="J22" i="1"/>
  <c r="N47" i="2"/>
  <c r="H27" i="1"/>
  <c r="J99" i="2"/>
  <c r="J9" i="2"/>
  <c r="L90" i="3"/>
  <c r="L67" i="3"/>
  <c r="G12" i="14" s="1"/>
  <c r="L46" i="3"/>
  <c r="AC46" i="3" s="1"/>
  <c r="L69" i="2"/>
  <c r="L82" i="2"/>
  <c r="P16" i="2"/>
  <c r="N50" i="2"/>
  <c r="J16" i="2"/>
  <c r="N57" i="2"/>
  <c r="L42" i="2"/>
  <c r="P9" i="2"/>
  <c r="J20" i="2"/>
  <c r="J69" i="2"/>
  <c r="P69" i="2"/>
  <c r="N99" i="2"/>
  <c r="H35" i="2"/>
  <c r="L35" i="2" s="1"/>
  <c r="P82" i="2"/>
  <c r="L67" i="2"/>
  <c r="L55" i="2"/>
  <c r="N52" i="2"/>
  <c r="L10" i="2"/>
  <c r="N16" i="2"/>
  <c r="L7" i="2"/>
  <c r="J5" i="3"/>
  <c r="E14" i="14"/>
  <c r="J7" i="2"/>
  <c r="N42" i="2"/>
  <c r="E29" i="14"/>
  <c r="L9" i="2"/>
  <c r="K124" i="3"/>
  <c r="L99" i="2"/>
  <c r="N9" i="2"/>
  <c r="L20" i="2"/>
  <c r="J19" i="2"/>
  <c r="P99" i="2"/>
  <c r="P55" i="2"/>
  <c r="L36" i="2"/>
  <c r="E34" i="14"/>
  <c r="N20" i="2"/>
  <c r="L16" i="2"/>
  <c r="N36" i="2"/>
  <c r="N30" i="2"/>
  <c r="L81" i="2"/>
  <c r="N70" i="2"/>
  <c r="N33" i="2"/>
  <c r="J11" i="2"/>
  <c r="N7" i="2"/>
  <c r="P7" i="2"/>
  <c r="P42" i="2"/>
  <c r="E13" i="14"/>
  <c r="P23" i="2"/>
  <c r="J80" i="2"/>
  <c r="L78" i="2"/>
  <c r="P67" i="2"/>
  <c r="P78" i="2"/>
  <c r="P11" i="2"/>
  <c r="L79" i="2"/>
  <c r="N78" i="2"/>
  <c r="J70" i="2"/>
  <c r="N55" i="2"/>
  <c r="N31" i="2"/>
  <c r="P30" i="2"/>
  <c r="J82" i="2"/>
  <c r="J67" i="2"/>
  <c r="L62" i="2"/>
  <c r="J55" i="2"/>
  <c r="J42" i="2"/>
  <c r="P36" i="2"/>
  <c r="N48" i="2"/>
  <c r="P20" i="2"/>
  <c r="E35" i="14"/>
  <c r="N67" i="2"/>
  <c r="Q35" i="2"/>
  <c r="J78" i="2"/>
  <c r="J68" i="2"/>
  <c r="J36" i="2"/>
  <c r="L31" i="2"/>
  <c r="K116" i="3"/>
  <c r="N35" i="2"/>
  <c r="N27" i="1"/>
  <c r="T67" i="3"/>
  <c r="J35" i="2"/>
  <c r="G34" i="14"/>
  <c r="G36" i="14" s="1"/>
  <c r="P107" i="3"/>
  <c r="Q56" i="2" l="1"/>
  <c r="L56" i="2"/>
  <c r="E32" i="14"/>
  <c r="J56" i="2"/>
  <c r="N56" i="2"/>
  <c r="P56" i="2"/>
  <c r="P124" i="2"/>
  <c r="Q124" i="2"/>
  <c r="N124" i="2"/>
  <c r="L28" i="2"/>
  <c r="P81" i="2"/>
  <c r="E20" i="14"/>
  <c r="J65" i="2"/>
  <c r="L49" i="2"/>
  <c r="L110" i="2"/>
  <c r="N115" i="2"/>
  <c r="N136" i="2"/>
  <c r="K26" i="2"/>
  <c r="I14" i="2"/>
  <c r="J79" i="2"/>
  <c r="I40" i="2"/>
  <c r="I61" i="2"/>
  <c r="S40" i="2"/>
  <c r="P17" i="2"/>
  <c r="O77" i="2"/>
  <c r="L54" i="2"/>
  <c r="N49" i="2"/>
  <c r="N54" i="2"/>
  <c r="J81" i="2"/>
  <c r="H94" i="2"/>
  <c r="L126" i="2"/>
  <c r="J136" i="2"/>
  <c r="L115" i="2"/>
  <c r="G37" i="2"/>
  <c r="G151" i="2" s="1"/>
  <c r="D10" i="1" s="1"/>
  <c r="N109" i="2"/>
  <c r="P75" i="2"/>
  <c r="J54" i="2"/>
  <c r="J75" i="2"/>
  <c r="P54" i="2"/>
  <c r="N75" i="2"/>
  <c r="P28" i="2"/>
  <c r="J6" i="2"/>
  <c r="L75" i="2"/>
  <c r="J110" i="2"/>
  <c r="Q139" i="2"/>
  <c r="E30" i="14"/>
  <c r="E33" i="14" s="1"/>
  <c r="Q121" i="2"/>
  <c r="AG124" i="3"/>
  <c r="AC59" i="3"/>
  <c r="AI59" i="3"/>
  <c r="AI40" i="3"/>
  <c r="X40" i="3"/>
  <c r="AB55" i="3"/>
  <c r="P55" i="3"/>
  <c r="X55" i="3"/>
  <c r="AG43" i="3"/>
  <c r="AG15" i="3"/>
  <c r="AG23" i="3"/>
  <c r="AF30" i="3"/>
  <c r="C14" i="21" s="1"/>
  <c r="AG37" i="3"/>
  <c r="L18" i="3"/>
  <c r="X69" i="3"/>
  <c r="G13" i="14"/>
  <c r="I13" i="14" s="1"/>
  <c r="L80" i="3"/>
  <c r="X80" i="3" s="1"/>
  <c r="AG31" i="3"/>
  <c r="AG36" i="3"/>
  <c r="P70" i="3"/>
  <c r="AI81" i="3"/>
  <c r="P81" i="3"/>
  <c r="AI76" i="3"/>
  <c r="G14" i="14"/>
  <c r="I14" i="14" s="1"/>
  <c r="X76" i="3"/>
  <c r="T76" i="3"/>
  <c r="T81" i="3"/>
  <c r="AG12" i="3"/>
  <c r="J29" i="14"/>
  <c r="H30" i="3"/>
  <c r="J124" i="3"/>
  <c r="J36" i="3"/>
  <c r="L36" i="3" s="1"/>
  <c r="AB36" i="3" s="1"/>
  <c r="J12" i="3"/>
  <c r="AH104" i="3"/>
  <c r="AC87" i="3"/>
  <c r="O104" i="3"/>
  <c r="E44" i="3"/>
  <c r="X81" i="3"/>
  <c r="X107" i="3"/>
  <c r="AG122" i="3"/>
  <c r="Q66" i="3"/>
  <c r="AG110" i="3"/>
  <c r="AH88" i="3"/>
  <c r="AB81" i="3"/>
  <c r="AI69" i="3"/>
  <c r="AG49" i="3"/>
  <c r="L65" i="3"/>
  <c r="K66" i="3"/>
  <c r="Q88" i="3"/>
  <c r="T107" i="3"/>
  <c r="AG74" i="3"/>
  <c r="AG87" i="3"/>
  <c r="AF94" i="3"/>
  <c r="L106" i="3"/>
  <c r="Q109" i="3"/>
  <c r="AB110" i="3"/>
  <c r="AA116" i="3"/>
  <c r="AB31" i="3"/>
  <c r="AC65" i="3"/>
  <c r="AC64" i="3" s="1"/>
  <c r="AI65" i="3"/>
  <c r="L64" i="3"/>
  <c r="AI64" i="3" s="1"/>
  <c r="X65" i="3"/>
  <c r="P80" i="3"/>
  <c r="AG7" i="3"/>
  <c r="Z13" i="3"/>
  <c r="P40" i="3"/>
  <c r="AB65" i="3"/>
  <c r="AG32" i="3"/>
  <c r="AG8" i="3"/>
  <c r="L10" i="3"/>
  <c r="P10" i="3" s="1"/>
  <c r="M98" i="3"/>
  <c r="X101" i="3"/>
  <c r="AG82" i="3"/>
  <c r="U44" i="3"/>
  <c r="AG41" i="3"/>
  <c r="AG18" i="3"/>
  <c r="AA7" i="3"/>
  <c r="AA56" i="3"/>
  <c r="AC84" i="3"/>
  <c r="J64" i="3"/>
  <c r="L12" i="3"/>
  <c r="G45" i="3"/>
  <c r="AG62" i="3"/>
  <c r="AG99" i="3"/>
  <c r="R125" i="3"/>
  <c r="I16" i="1" s="1"/>
  <c r="S7" i="3"/>
  <c r="V66" i="3"/>
  <c r="AG67" i="3"/>
  <c r="AG25" i="3"/>
  <c r="T40" i="3"/>
  <c r="AC89" i="3"/>
  <c r="P12" i="3"/>
  <c r="M30" i="3"/>
  <c r="T101" i="3"/>
  <c r="F56" i="3"/>
  <c r="E116" i="3"/>
  <c r="G121" i="3"/>
  <c r="G116" i="3" s="1"/>
  <c r="AG40" i="3"/>
  <c r="J102" i="3"/>
  <c r="P76" i="3"/>
  <c r="S66" i="3"/>
  <c r="S104" i="3"/>
  <c r="S109" i="3"/>
  <c r="S116" i="3"/>
  <c r="W7" i="3"/>
  <c r="AG48" i="3"/>
  <c r="AG52" i="3"/>
  <c r="AG61" i="3"/>
  <c r="M116" i="3"/>
  <c r="AG69" i="3"/>
  <c r="X51" i="3"/>
  <c r="T51" i="3"/>
  <c r="P51" i="3"/>
  <c r="G29" i="14"/>
  <c r="I29" i="14" s="1"/>
  <c r="K29" i="14" s="1"/>
  <c r="L85" i="3"/>
  <c r="AC85" i="3" s="1"/>
  <c r="J7" i="3"/>
  <c r="E98" i="3"/>
  <c r="G103" i="3"/>
  <c r="J103" i="3"/>
  <c r="L103" i="3" s="1"/>
  <c r="AI103" i="3" s="1"/>
  <c r="O5" i="3"/>
  <c r="AA105" i="3"/>
  <c r="Y104" i="3"/>
  <c r="L100" i="3"/>
  <c r="AB100" i="3" s="1"/>
  <c r="G73" i="3"/>
  <c r="G66" i="3" s="1"/>
  <c r="J73" i="3"/>
  <c r="L73" i="3" s="1"/>
  <c r="J96" i="3"/>
  <c r="E88" i="3"/>
  <c r="K44" i="3"/>
  <c r="L25" i="3"/>
  <c r="AB25" i="3" s="1"/>
  <c r="T99" i="3"/>
  <c r="S98" i="3"/>
  <c r="S6" i="3"/>
  <c r="S5" i="3" s="1"/>
  <c r="Q5" i="3"/>
  <c r="J95" i="3"/>
  <c r="W110" i="3"/>
  <c r="X110" i="3" s="1"/>
  <c r="U109" i="3"/>
  <c r="AD44" i="3"/>
  <c r="AF45" i="3"/>
  <c r="AD98" i="3"/>
  <c r="AF103" i="3"/>
  <c r="I104" i="3"/>
  <c r="K108" i="3"/>
  <c r="AD66" i="3"/>
  <c r="AA6" i="3"/>
  <c r="H7" i="14" s="1"/>
  <c r="H8" i="14" s="1"/>
  <c r="AB48" i="3"/>
  <c r="AA70" i="3"/>
  <c r="AC70" i="3" s="1"/>
  <c r="Z66" i="3"/>
  <c r="AC48" i="3"/>
  <c r="AI48" i="3"/>
  <c r="T48" i="3"/>
  <c r="AF5" i="3"/>
  <c r="AG5" i="3" s="1"/>
  <c r="AG6" i="3"/>
  <c r="M109" i="3"/>
  <c r="O110" i="3"/>
  <c r="X106" i="3"/>
  <c r="AB106" i="3"/>
  <c r="L63" i="3"/>
  <c r="AC63" i="3" s="1"/>
  <c r="AB32" i="3"/>
  <c r="L11" i="3"/>
  <c r="T11" i="3" s="1"/>
  <c r="K38" i="3"/>
  <c r="L38" i="3" s="1"/>
  <c r="L53" i="3"/>
  <c r="X53" i="3" s="1"/>
  <c r="N125" i="3"/>
  <c r="G16" i="1" s="1"/>
  <c r="G14" i="3"/>
  <c r="L39" i="3"/>
  <c r="L83" i="3"/>
  <c r="AC83" i="3" s="1"/>
  <c r="L71" i="3"/>
  <c r="T71" i="3" s="1"/>
  <c r="K5" i="3"/>
  <c r="L50" i="3"/>
  <c r="AC50" i="3" s="1"/>
  <c r="J35" i="3"/>
  <c r="G35" i="3"/>
  <c r="AG35" i="3" s="1"/>
  <c r="G38" i="3"/>
  <c r="J108" i="3"/>
  <c r="G108" i="3"/>
  <c r="AG108" i="3" s="1"/>
  <c r="E104" i="3"/>
  <c r="O45" i="3"/>
  <c r="M44" i="3"/>
  <c r="AB46" i="3"/>
  <c r="X46" i="3"/>
  <c r="P32" i="3"/>
  <c r="AI46" i="3"/>
  <c r="AI87" i="3"/>
  <c r="K56" i="3"/>
  <c r="L45" i="3"/>
  <c r="K98" i="3"/>
  <c r="G50" i="3"/>
  <c r="AG50" i="3" s="1"/>
  <c r="J54" i="3"/>
  <c r="G54" i="3"/>
  <c r="AG54" i="3" s="1"/>
  <c r="L22" i="3"/>
  <c r="X22" i="3" s="1"/>
  <c r="L16" i="3"/>
  <c r="X16" i="3" s="1"/>
  <c r="AG38" i="3"/>
  <c r="AC55" i="3"/>
  <c r="J15" i="14"/>
  <c r="O7" i="3"/>
  <c r="AG60" i="3"/>
  <c r="AG77" i="3"/>
  <c r="AI111" i="3"/>
  <c r="L105" i="3"/>
  <c r="AG27" i="3"/>
  <c r="AG22" i="3"/>
  <c r="AG19" i="3"/>
  <c r="H104" i="3"/>
  <c r="J88" i="3"/>
  <c r="S56" i="3"/>
  <c r="W44" i="3"/>
  <c r="L6" i="3"/>
  <c r="G7" i="14" s="1"/>
  <c r="G8" i="14" s="1"/>
  <c r="AG29" i="3"/>
  <c r="AG59" i="3"/>
  <c r="AA98" i="3"/>
  <c r="AB107" i="3"/>
  <c r="AC67" i="3"/>
  <c r="AC90" i="3"/>
  <c r="AG84" i="3"/>
  <c r="AI107" i="3"/>
  <c r="AG120" i="3"/>
  <c r="O98" i="3"/>
  <c r="AI101" i="3"/>
  <c r="AG114" i="3"/>
  <c r="AG101" i="3"/>
  <c r="AH66" i="3"/>
  <c r="H88" i="3"/>
  <c r="AA88" i="3"/>
  <c r="AB111" i="3"/>
  <c r="Q59" i="2"/>
  <c r="J59" i="2"/>
  <c r="L59" i="2"/>
  <c r="N59" i="2"/>
  <c r="L58" i="2"/>
  <c r="N58" i="2"/>
  <c r="P34" i="2"/>
  <c r="N51" i="2"/>
  <c r="L11" i="2"/>
  <c r="L70" i="2"/>
  <c r="J28" i="2"/>
  <c r="L17" i="2"/>
  <c r="N80" i="2"/>
  <c r="N6" i="2"/>
  <c r="L51" i="2"/>
  <c r="L18" i="2"/>
  <c r="E17" i="14"/>
  <c r="E19" i="14" s="1"/>
  <c r="N18" i="2"/>
  <c r="N106" i="2"/>
  <c r="F25" i="14"/>
  <c r="N73" i="2"/>
  <c r="P73" i="2"/>
  <c r="L111" i="2"/>
  <c r="J114" i="2"/>
  <c r="L32" i="2"/>
  <c r="J129" i="2"/>
  <c r="N128" i="2"/>
  <c r="H146" i="2"/>
  <c r="L146" i="2" s="1"/>
  <c r="T126" i="2"/>
  <c r="F105" i="2"/>
  <c r="N119" i="2"/>
  <c r="G105" i="2"/>
  <c r="S103" i="2"/>
  <c r="K37" i="2"/>
  <c r="K151" i="2" s="1"/>
  <c r="I10" i="1" s="1"/>
  <c r="H26" i="2"/>
  <c r="J58" i="2"/>
  <c r="J18" i="2"/>
  <c r="N11" i="2"/>
  <c r="P70" i="2"/>
  <c r="L6" i="2"/>
  <c r="J106" i="2"/>
  <c r="J62" i="2"/>
  <c r="N84" i="2"/>
  <c r="J84" i="2"/>
  <c r="H41" i="2"/>
  <c r="N41" i="2" s="1"/>
  <c r="N64" i="2"/>
  <c r="J139" i="2"/>
  <c r="I147" i="2"/>
  <c r="J47" i="2"/>
  <c r="L73" i="2"/>
  <c r="M153" i="2"/>
  <c r="K13" i="1" s="1"/>
  <c r="J111" i="2"/>
  <c r="J128" i="2"/>
  <c r="L128" i="2"/>
  <c r="N32" i="2"/>
  <c r="J51" i="2"/>
  <c r="L80" i="2"/>
  <c r="P80" i="2"/>
  <c r="P18" i="2"/>
  <c r="E15" i="14"/>
  <c r="P62" i="2"/>
  <c r="L84" i="2"/>
  <c r="P58" i="2"/>
  <c r="P6" i="2"/>
  <c r="N62" i="2"/>
  <c r="P84" i="2"/>
  <c r="L106" i="2"/>
  <c r="H86" i="2"/>
  <c r="H100" i="2"/>
  <c r="P100" i="2" s="1"/>
  <c r="J64" i="2"/>
  <c r="J88" i="2"/>
  <c r="J73" i="2"/>
  <c r="P139" i="2"/>
  <c r="L139" i="2"/>
  <c r="F103" i="2"/>
  <c r="F155" i="2" s="1"/>
  <c r="C12" i="1" s="1"/>
  <c r="E12" i="1" s="1"/>
  <c r="T57" i="2"/>
  <c r="K40" i="2"/>
  <c r="N87" i="2"/>
  <c r="Q32" i="2"/>
  <c r="E36" i="14"/>
  <c r="L65" i="2"/>
  <c r="T85" i="2"/>
  <c r="P129" i="2"/>
  <c r="Q119" i="2"/>
  <c r="F147" i="2"/>
  <c r="L131" i="2"/>
  <c r="N132" i="2"/>
  <c r="Q110" i="2"/>
  <c r="Q123" i="2"/>
  <c r="P136" i="2"/>
  <c r="P87" i="2"/>
  <c r="N118" i="2"/>
  <c r="K77" i="2"/>
  <c r="T56" i="2"/>
  <c r="Q114" i="2"/>
  <c r="P122" i="2"/>
  <c r="J8" i="14"/>
  <c r="I37" i="2"/>
  <c r="N131" i="2"/>
  <c r="T59" i="2"/>
  <c r="Q131" i="2"/>
  <c r="P133" i="2"/>
  <c r="I151" i="2"/>
  <c r="Q71" i="2"/>
  <c r="N71" i="2"/>
  <c r="J71" i="2"/>
  <c r="L71" i="2"/>
  <c r="N125" i="2"/>
  <c r="Q125" i="2"/>
  <c r="P125" i="2"/>
  <c r="T53" i="2"/>
  <c r="F40" i="2"/>
  <c r="H53" i="2"/>
  <c r="T60" i="2"/>
  <c r="H60" i="2"/>
  <c r="L60" i="2"/>
  <c r="L66" i="2"/>
  <c r="K61" i="2"/>
  <c r="K105" i="2"/>
  <c r="L125" i="2"/>
  <c r="Q83" i="2"/>
  <c r="P91" i="2"/>
  <c r="L91" i="2"/>
  <c r="Q91" i="2"/>
  <c r="N91" i="2"/>
  <c r="J91" i="2"/>
  <c r="L76" i="2"/>
  <c r="N76" i="2"/>
  <c r="Q76" i="2"/>
  <c r="P76" i="2"/>
  <c r="J76" i="2"/>
  <c r="Q52" i="2"/>
  <c r="J52" i="2"/>
  <c r="P52" i="2"/>
  <c r="L52" i="2"/>
  <c r="Q48" i="2"/>
  <c r="E21" i="14"/>
  <c r="E22" i="14" s="1"/>
  <c r="L48" i="2"/>
  <c r="J48" i="2"/>
  <c r="I96" i="2"/>
  <c r="G13" i="1"/>
  <c r="P33" i="2"/>
  <c r="Q33" i="2"/>
  <c r="L33" i="2"/>
  <c r="J33" i="2"/>
  <c r="O26" i="2"/>
  <c r="P26" i="2" s="1"/>
  <c r="Q27" i="2"/>
  <c r="Q26" i="2" s="1"/>
  <c r="O14" i="2"/>
  <c r="Q63" i="2"/>
  <c r="H61" i="2"/>
  <c r="N63" i="2"/>
  <c r="E10" i="14"/>
  <c r="J63" i="2"/>
  <c r="L63" i="2"/>
  <c r="N86" i="2"/>
  <c r="L86" i="2"/>
  <c r="Q100" i="2"/>
  <c r="P66" i="2"/>
  <c r="Q66" i="2"/>
  <c r="N66" i="2"/>
  <c r="J66" i="2"/>
  <c r="M151" i="2"/>
  <c r="O85" i="2"/>
  <c r="Q86" i="2"/>
  <c r="P86" i="2"/>
  <c r="Q50" i="2"/>
  <c r="P50" i="2"/>
  <c r="O40" i="2"/>
  <c r="F13" i="14"/>
  <c r="J13" i="14" s="1"/>
  <c r="P71" i="2"/>
  <c r="Q102" i="2"/>
  <c r="J102" i="2"/>
  <c r="L102" i="2"/>
  <c r="P102" i="2"/>
  <c r="N102" i="2"/>
  <c r="Q79" i="2"/>
  <c r="N79" i="2"/>
  <c r="H77" i="2"/>
  <c r="L77" i="2" s="1"/>
  <c r="P79" i="2"/>
  <c r="J25" i="14"/>
  <c r="L41" i="2"/>
  <c r="J41" i="2"/>
  <c r="H85" i="2"/>
  <c r="Q57" i="2"/>
  <c r="J57" i="2"/>
  <c r="P57" i="2"/>
  <c r="L57" i="2"/>
  <c r="F153" i="2"/>
  <c r="C13" i="1" s="1"/>
  <c r="Q113" i="2"/>
  <c r="N113" i="2"/>
  <c r="P113" i="2"/>
  <c r="L113" i="2"/>
  <c r="J113" i="2"/>
  <c r="H105" i="2"/>
  <c r="F14" i="2"/>
  <c r="F37" i="2" s="1"/>
  <c r="H22" i="2"/>
  <c r="P22" i="2" s="1"/>
  <c r="T22" i="2"/>
  <c r="T40" i="2"/>
  <c r="Q30" i="2"/>
  <c r="E23" i="14"/>
  <c r="L30" i="2"/>
  <c r="J30" i="2"/>
  <c r="N68" i="2"/>
  <c r="N45" i="2"/>
  <c r="L45" i="2"/>
  <c r="H72" i="2"/>
  <c r="N127" i="2"/>
  <c r="J127" i="2"/>
  <c r="P127" i="2"/>
  <c r="L127" i="2"/>
  <c r="N92" i="2"/>
  <c r="P112" i="2"/>
  <c r="Q112" i="2"/>
  <c r="P130" i="2"/>
  <c r="Q130" i="2"/>
  <c r="P92" i="2"/>
  <c r="Q92" i="2"/>
  <c r="P63" i="2"/>
  <c r="P45" i="2"/>
  <c r="Q45" i="2"/>
  <c r="P88" i="2"/>
  <c r="Q88" i="2"/>
  <c r="Q46" i="2"/>
  <c r="P46" i="2"/>
  <c r="J146" i="2"/>
  <c r="P146" i="2"/>
  <c r="Q146" i="2"/>
  <c r="N146" i="2"/>
  <c r="T69" i="2"/>
  <c r="F61" i="2"/>
  <c r="J125" i="2"/>
  <c r="N142" i="2"/>
  <c r="H141" i="2"/>
  <c r="Q142" i="2"/>
  <c r="P142" i="2"/>
  <c r="P107" i="2"/>
  <c r="Q107" i="2"/>
  <c r="S61" i="2"/>
  <c r="T61" i="2" s="1"/>
  <c r="T63" i="2"/>
  <c r="S156" i="2"/>
  <c r="T156" i="2" s="1"/>
  <c r="T141" i="2"/>
  <c r="P134" i="2"/>
  <c r="Q134" i="2"/>
  <c r="N134" i="2"/>
  <c r="T125" i="2"/>
  <c r="Q47" i="2"/>
  <c r="Q64" i="2"/>
  <c r="Q81" i="2"/>
  <c r="Q99" i="2"/>
  <c r="P65" i="2"/>
  <c r="E16" i="14"/>
  <c r="N28" i="2"/>
  <c r="N69" i="2"/>
  <c r="L68" i="2"/>
  <c r="P68" i="2"/>
  <c r="L64" i="2"/>
  <c r="N65" i="2"/>
  <c r="L88" i="2"/>
  <c r="L47" i="2"/>
  <c r="P49" i="2"/>
  <c r="Q49" i="2"/>
  <c r="M40" i="2"/>
  <c r="G147" i="2"/>
  <c r="G153" i="2"/>
  <c r="D13" i="1" s="1"/>
  <c r="E13" i="1" s="1"/>
  <c r="M77" i="2"/>
  <c r="G96" i="2"/>
  <c r="G152" i="2" s="1"/>
  <c r="Q138" i="2"/>
  <c r="P138" i="2"/>
  <c r="Q51" i="2"/>
  <c r="Q127" i="2"/>
  <c r="L118" i="2"/>
  <c r="N122" i="2"/>
  <c r="N123" i="2"/>
  <c r="Q111" i="2"/>
  <c r="Q115" i="2"/>
  <c r="Q120" i="2"/>
  <c r="Q128" i="2"/>
  <c r="Q132" i="2"/>
  <c r="P118" i="2"/>
  <c r="P109" i="2"/>
  <c r="Q108" i="2"/>
  <c r="Q137" i="2"/>
  <c r="S37" i="2"/>
  <c r="S151" i="2" s="1"/>
  <c r="Q126" i="2"/>
  <c r="I26" i="1"/>
  <c r="I27" i="1"/>
  <c r="J27" i="1" s="1"/>
  <c r="O24" i="1"/>
  <c r="L22" i="1"/>
  <c r="N22" i="1"/>
  <c r="I25" i="1"/>
  <c r="L25" i="1"/>
  <c r="L26" i="1"/>
  <c r="AC10" i="3"/>
  <c r="U66" i="3"/>
  <c r="W87" i="3"/>
  <c r="X87" i="3" s="1"/>
  <c r="T70" i="3"/>
  <c r="L49" i="3"/>
  <c r="AC33" i="3"/>
  <c r="AI33" i="3"/>
  <c r="X33" i="3"/>
  <c r="T33" i="3"/>
  <c r="AC47" i="3"/>
  <c r="AI47" i="3"/>
  <c r="X47" i="3"/>
  <c r="L102" i="3"/>
  <c r="AI102" i="3" s="1"/>
  <c r="AA5" i="3"/>
  <c r="AB6" i="3"/>
  <c r="AB47" i="3"/>
  <c r="AB51" i="3"/>
  <c r="X70" i="3"/>
  <c r="T68" i="3"/>
  <c r="AI70" i="3"/>
  <c r="P67" i="3"/>
  <c r="X84" i="3"/>
  <c r="H34" i="14"/>
  <c r="H36" i="14" s="1"/>
  <c r="J36" i="14" s="1"/>
  <c r="AI12" i="3"/>
  <c r="AC12" i="3"/>
  <c r="AC51" i="3"/>
  <c r="AI51" i="3"/>
  <c r="P47" i="3"/>
  <c r="L74" i="3"/>
  <c r="L35" i="3"/>
  <c r="AC35" i="3" s="1"/>
  <c r="J34" i="3"/>
  <c r="G34" i="3"/>
  <c r="AG34" i="3" s="1"/>
  <c r="E30" i="3"/>
  <c r="AC6" i="3"/>
  <c r="AC5" i="3" s="1"/>
  <c r="X6" i="3"/>
  <c r="AI62" i="3"/>
  <c r="X62" i="3"/>
  <c r="AC28" i="3"/>
  <c r="AI28" i="3"/>
  <c r="AB28" i="3"/>
  <c r="W38" i="3"/>
  <c r="W30" i="3" s="1"/>
  <c r="U30" i="3"/>
  <c r="V30" i="3"/>
  <c r="X111" i="3"/>
  <c r="H14" i="14"/>
  <c r="J14" i="14" s="1"/>
  <c r="AB76" i="3"/>
  <c r="Y66" i="3"/>
  <c r="AA80" i="3"/>
  <c r="X50" i="3"/>
  <c r="G17" i="14"/>
  <c r="G19" i="14" s="1"/>
  <c r="I19" i="14" s="1"/>
  <c r="AI31" i="3"/>
  <c r="L124" i="3"/>
  <c r="T31" i="3"/>
  <c r="X32" i="3"/>
  <c r="X68" i="3"/>
  <c r="P31" i="3"/>
  <c r="X31" i="3"/>
  <c r="X11" i="3"/>
  <c r="X90" i="3"/>
  <c r="P68" i="3"/>
  <c r="AI84" i="3"/>
  <c r="L61" i="3"/>
  <c r="X61" i="3" s="1"/>
  <c r="L41" i="3"/>
  <c r="AB64" i="3"/>
  <c r="AB50" i="3"/>
  <c r="AB84" i="3"/>
  <c r="P87" i="3"/>
  <c r="P50" i="3"/>
  <c r="T50" i="3"/>
  <c r="T90" i="3"/>
  <c r="AB90" i="3"/>
  <c r="T46" i="3"/>
  <c r="X45" i="3"/>
  <c r="X12" i="3"/>
  <c r="P11" i="3"/>
  <c r="AI50" i="3"/>
  <c r="L9" i="3"/>
  <c r="AI9" i="3" s="1"/>
  <c r="L42" i="3"/>
  <c r="P42" i="3" s="1"/>
  <c r="L117" i="3"/>
  <c r="AC117" i="3" s="1"/>
  <c r="AC43" i="3"/>
  <c r="K7" i="3"/>
  <c r="L94" i="3"/>
  <c r="T94" i="3" s="1"/>
  <c r="L121" i="3"/>
  <c r="L77" i="3"/>
  <c r="P77" i="3" s="1"/>
  <c r="AI110" i="3"/>
  <c r="AC110" i="3"/>
  <c r="L58" i="3"/>
  <c r="G90" i="3"/>
  <c r="AG90" i="3" s="1"/>
  <c r="F13" i="3"/>
  <c r="K20" i="3"/>
  <c r="G96" i="3"/>
  <c r="AG96" i="3" s="1"/>
  <c r="AH5" i="3"/>
  <c r="AD104" i="3"/>
  <c r="AF107" i="3"/>
  <c r="AG107" i="3" s="1"/>
  <c r="AG58" i="3"/>
  <c r="L115" i="3"/>
  <c r="AB113" i="3"/>
  <c r="AC113" i="3"/>
  <c r="P60" i="3"/>
  <c r="O88" i="3"/>
  <c r="L79" i="3"/>
  <c r="L75" i="3"/>
  <c r="AD116" i="3"/>
  <c r="AF118" i="3"/>
  <c r="AG118" i="3" s="1"/>
  <c r="H66" i="3"/>
  <c r="J78" i="3"/>
  <c r="Y44" i="3"/>
  <c r="AA45" i="3"/>
  <c r="AC45" i="3" s="1"/>
  <c r="L14" i="3"/>
  <c r="AC14" i="3" s="1"/>
  <c r="L52" i="3"/>
  <c r="P52" i="3" s="1"/>
  <c r="L57" i="3"/>
  <c r="T57" i="3" s="1"/>
  <c r="P69" i="3"/>
  <c r="P33" i="3"/>
  <c r="P43" i="3"/>
  <c r="P48" i="3"/>
  <c r="O56" i="3"/>
  <c r="P84" i="3"/>
  <c r="O116" i="3"/>
  <c r="L82" i="3"/>
  <c r="E66" i="3"/>
  <c r="AI106" i="3"/>
  <c r="AC106" i="3"/>
  <c r="T106" i="3"/>
  <c r="L72" i="3"/>
  <c r="AB72" i="3" s="1"/>
  <c r="Q98" i="3"/>
  <c r="S55" i="3"/>
  <c r="S44" i="3" s="1"/>
  <c r="Q44" i="3"/>
  <c r="Q125" i="3" s="1"/>
  <c r="W94" i="3"/>
  <c r="W88" i="3" s="1"/>
  <c r="U88" i="3"/>
  <c r="W108" i="3"/>
  <c r="U104" i="3"/>
  <c r="Y38" i="3"/>
  <c r="Z30" i="3"/>
  <c r="AA13" i="3"/>
  <c r="AC81" i="3"/>
  <c r="S13" i="3"/>
  <c r="S30" i="3"/>
  <c r="S88" i="3"/>
  <c r="W56" i="3"/>
  <c r="W116" i="3"/>
  <c r="AG39" i="3"/>
  <c r="AF104" i="3"/>
  <c r="C21" i="21" s="1"/>
  <c r="X28" i="3"/>
  <c r="G102" i="3"/>
  <c r="AG102" i="3" s="1"/>
  <c r="AG20" i="3"/>
  <c r="AC99" i="3"/>
  <c r="AF44" i="3"/>
  <c r="C15" i="21" s="1"/>
  <c r="AB49" i="3"/>
  <c r="AC76" i="3"/>
  <c r="AG26" i="3"/>
  <c r="AG73" i="3"/>
  <c r="AG70" i="3"/>
  <c r="AC62" i="3"/>
  <c r="AI119" i="3"/>
  <c r="AC119" i="3"/>
  <c r="AB119" i="3"/>
  <c r="P119" i="3"/>
  <c r="T119" i="3"/>
  <c r="X119" i="3"/>
  <c r="P103" i="3"/>
  <c r="AC86" i="3"/>
  <c r="AB86" i="3"/>
  <c r="AI86" i="3"/>
  <c r="P86" i="3"/>
  <c r="T86" i="3"/>
  <c r="X86" i="3"/>
  <c r="AC120" i="3"/>
  <c r="AB120" i="3"/>
  <c r="P120" i="3"/>
  <c r="AI120" i="3"/>
  <c r="X120" i="3"/>
  <c r="T120" i="3"/>
  <c r="I36" i="14"/>
  <c r="AC18" i="3"/>
  <c r="AI18" i="3"/>
  <c r="AB29" i="3"/>
  <c r="AC29" i="3"/>
  <c r="AC39" i="3"/>
  <c r="AI39" i="3"/>
  <c r="T39" i="3"/>
  <c r="AG53" i="3"/>
  <c r="G56" i="3"/>
  <c r="AG57" i="3"/>
  <c r="AG76" i="3"/>
  <c r="O13" i="3"/>
  <c r="P39" i="3"/>
  <c r="L26" i="3"/>
  <c r="L23" i="3"/>
  <c r="L19" i="3"/>
  <c r="AB19" i="3" s="1"/>
  <c r="L15" i="3"/>
  <c r="AB15" i="3" s="1"/>
  <c r="AG16" i="3"/>
  <c r="AF13" i="3"/>
  <c r="C13" i="21" s="1"/>
  <c r="AG94" i="3"/>
  <c r="AF88" i="3"/>
  <c r="C19" i="21" s="1"/>
  <c r="G25" i="14"/>
  <c r="X89" i="3"/>
  <c r="T87" i="3"/>
  <c r="AB68" i="3"/>
  <c r="X43" i="3"/>
  <c r="AB43" i="3"/>
  <c r="X67" i="3"/>
  <c r="I12" i="14"/>
  <c r="T84" i="3"/>
  <c r="P46" i="3"/>
  <c r="T18" i="3"/>
  <c r="X18" i="3"/>
  <c r="AI29" i="3"/>
  <c r="AI90" i="3"/>
  <c r="AI89" i="3"/>
  <c r="AI97" i="3"/>
  <c r="AG117" i="3"/>
  <c r="J116" i="3"/>
  <c r="L8" i="3"/>
  <c r="L118" i="3"/>
  <c r="AC57" i="3"/>
  <c r="X57" i="3"/>
  <c r="AI57" i="3"/>
  <c r="AB57" i="3"/>
  <c r="O66" i="3"/>
  <c r="AI36" i="3"/>
  <c r="X99" i="3"/>
  <c r="W98" i="3"/>
  <c r="AI114" i="3"/>
  <c r="X114" i="3"/>
  <c r="P114" i="3"/>
  <c r="AC114" i="3"/>
  <c r="AB39" i="3"/>
  <c r="T29" i="3"/>
  <c r="T89" i="3"/>
  <c r="P18" i="3"/>
  <c r="T55" i="3"/>
  <c r="X85" i="3"/>
  <c r="AI42" i="3"/>
  <c r="P57" i="3"/>
  <c r="P58" i="3"/>
  <c r="O30" i="3"/>
  <c r="X29" i="3"/>
  <c r="AB89" i="3"/>
  <c r="AB10" i="3"/>
  <c r="P29" i="3"/>
  <c r="X42" i="3"/>
  <c r="AB67" i="3"/>
  <c r="T43" i="3"/>
  <c r="T32" i="3"/>
  <c r="P90" i="3"/>
  <c r="AI32" i="3"/>
  <c r="AI55" i="3"/>
  <c r="AI67" i="3"/>
  <c r="L122" i="3"/>
  <c r="J13" i="3"/>
  <c r="L37" i="3"/>
  <c r="AC60" i="3"/>
  <c r="X60" i="3"/>
  <c r="T60" i="3"/>
  <c r="AB60" i="3"/>
  <c r="J27" i="14"/>
  <c r="J10" i="14"/>
  <c r="J33" i="14"/>
  <c r="T114" i="3"/>
  <c r="W13" i="3"/>
  <c r="AC68" i="3"/>
  <c r="AF98" i="3"/>
  <c r="AC71" i="3"/>
  <c r="AG71" i="3"/>
  <c r="AF66" i="3"/>
  <c r="C18" i="21" s="1"/>
  <c r="AB18" i="3"/>
  <c r="AB22" i="3"/>
  <c r="AC49" i="3"/>
  <c r="AB69" i="3"/>
  <c r="X48" i="3"/>
  <c r="T69" i="3"/>
  <c r="AC75" i="3"/>
  <c r="AI105" i="3"/>
  <c r="AB41" i="3"/>
  <c r="AB114" i="3"/>
  <c r="AA109" i="3"/>
  <c r="D2" i="3" s="1"/>
  <c r="AG33" i="3"/>
  <c r="AB40" i="3"/>
  <c r="AC107" i="3"/>
  <c r="AG105" i="3"/>
  <c r="L12" i="2"/>
  <c r="Q23" i="2"/>
  <c r="N23" i="2"/>
  <c r="L23" i="2"/>
  <c r="J23" i="2"/>
  <c r="Q31" i="2"/>
  <c r="H29" i="2"/>
  <c r="J31" i="2"/>
  <c r="P8" i="2"/>
  <c r="P12" i="2"/>
  <c r="Q10" i="2"/>
  <c r="P10" i="2"/>
  <c r="J10" i="2"/>
  <c r="N10" i="2"/>
  <c r="Q19" i="2"/>
  <c r="L19" i="2"/>
  <c r="N19" i="2"/>
  <c r="P19" i="2"/>
  <c r="Q34" i="2"/>
  <c r="N34" i="2"/>
  <c r="L34" i="2"/>
  <c r="Q15" i="2"/>
  <c r="P15" i="2"/>
  <c r="H14" i="2"/>
  <c r="J15" i="2"/>
  <c r="N15" i="2"/>
  <c r="N12" i="2"/>
  <c r="L15" i="2"/>
  <c r="Q8" i="2"/>
  <c r="H5" i="2"/>
  <c r="J8" i="2"/>
  <c r="N8" i="2"/>
  <c r="Q21" i="2"/>
  <c r="J21" i="2"/>
  <c r="P21" i="2"/>
  <c r="J12" i="2"/>
  <c r="L21" i="2"/>
  <c r="F22" i="14"/>
  <c r="J22" i="14" s="1"/>
  <c r="Q12" i="2"/>
  <c r="Q17" i="2"/>
  <c r="N17" i="2"/>
  <c r="J17" i="2"/>
  <c r="T37" i="2"/>
  <c r="AI38" i="3"/>
  <c r="P38" i="3"/>
  <c r="T38" i="3"/>
  <c r="K30" i="3"/>
  <c r="AF112" i="3"/>
  <c r="AF56" i="3"/>
  <c r="C16" i="21" s="1"/>
  <c r="H12" i="14"/>
  <c r="F16" i="14"/>
  <c r="T153" i="2"/>
  <c r="P13" i="1"/>
  <c r="S147" i="2"/>
  <c r="T105" i="2"/>
  <c r="I109" i="3"/>
  <c r="L27" i="3"/>
  <c r="AI27" i="3" s="1"/>
  <c r="X14" i="3"/>
  <c r="AC40" i="3"/>
  <c r="F109" i="3"/>
  <c r="F125" i="3" s="1"/>
  <c r="C16" i="1" s="1"/>
  <c r="AA104" i="3"/>
  <c r="AE125" i="3"/>
  <c r="P16" i="1" s="1"/>
  <c r="Q103" i="2" l="1"/>
  <c r="Q155" i="2" s="1"/>
  <c r="E7" i="14"/>
  <c r="E8" i="14" s="1"/>
  <c r="Q41" i="2"/>
  <c r="H103" i="2"/>
  <c r="L103" i="2" s="1"/>
  <c r="P41" i="2"/>
  <c r="L100" i="2"/>
  <c r="S96" i="2"/>
  <c r="S152" i="2" s="1"/>
  <c r="J100" i="2"/>
  <c r="Q13" i="1"/>
  <c r="C7" i="21"/>
  <c r="T14" i="3"/>
  <c r="P14" i="3"/>
  <c r="AB9" i="3"/>
  <c r="AB70" i="3"/>
  <c r="T10" i="3"/>
  <c r="T80" i="3"/>
  <c r="X10" i="3"/>
  <c r="AB71" i="3"/>
  <c r="AI80" i="3"/>
  <c r="AB14" i="3"/>
  <c r="AI14" i="3"/>
  <c r="AI10" i="3"/>
  <c r="G44" i="3"/>
  <c r="AB16" i="3"/>
  <c r="J66" i="3"/>
  <c r="AB80" i="3"/>
  <c r="AI71" i="3"/>
  <c r="AC36" i="3"/>
  <c r="AG44" i="3"/>
  <c r="L56" i="3"/>
  <c r="P56" i="3" s="1"/>
  <c r="AC105" i="3"/>
  <c r="M125" i="3"/>
  <c r="G15" i="1" s="1"/>
  <c r="G17" i="1" s="1"/>
  <c r="X36" i="3"/>
  <c r="AC77" i="3"/>
  <c r="T36" i="3"/>
  <c r="P36" i="3"/>
  <c r="V125" i="3"/>
  <c r="K16" i="1" s="1"/>
  <c r="P45" i="3"/>
  <c r="P73" i="3"/>
  <c r="AI73" i="3"/>
  <c r="AI5" i="3"/>
  <c r="I125" i="3"/>
  <c r="D16" i="1" s="1"/>
  <c r="E16" i="1" s="1"/>
  <c r="T22" i="3"/>
  <c r="AI52" i="3"/>
  <c r="AI61" i="3"/>
  <c r="P61" i="3"/>
  <c r="AI85" i="3"/>
  <c r="AB85" i="3"/>
  <c r="G98" i="3"/>
  <c r="AG98" i="3" s="1"/>
  <c r="AI6" i="3"/>
  <c r="L5" i="3"/>
  <c r="AC11" i="3"/>
  <c r="AG45" i="3"/>
  <c r="X102" i="3"/>
  <c r="AA44" i="3"/>
  <c r="AC58" i="3"/>
  <c r="P85" i="3"/>
  <c r="T85" i="3"/>
  <c r="AI94" i="3"/>
  <c r="W66" i="3"/>
  <c r="S125" i="3"/>
  <c r="X64" i="3"/>
  <c r="T6" i="3"/>
  <c r="I8" i="14"/>
  <c r="K8" i="14" s="1"/>
  <c r="G104" i="3"/>
  <c r="AG104" i="3" s="1"/>
  <c r="AG103" i="3"/>
  <c r="AB12" i="3"/>
  <c r="T12" i="3"/>
  <c r="AB53" i="3"/>
  <c r="P53" i="3"/>
  <c r="T53" i="3"/>
  <c r="AI25" i="3"/>
  <c r="T25" i="3"/>
  <c r="AI53" i="3"/>
  <c r="AI58" i="3"/>
  <c r="T83" i="3"/>
  <c r="J98" i="3"/>
  <c r="AB58" i="3"/>
  <c r="AC94" i="3"/>
  <c r="P83" i="3"/>
  <c r="T103" i="3"/>
  <c r="X103" i="3"/>
  <c r="T105" i="3"/>
  <c r="X105" i="3"/>
  <c r="P105" i="3"/>
  <c r="L108" i="3"/>
  <c r="J104" i="3"/>
  <c r="O109" i="3"/>
  <c r="P110" i="3"/>
  <c r="K104" i="3"/>
  <c r="L95" i="3"/>
  <c r="L96" i="3"/>
  <c r="L54" i="3"/>
  <c r="L44" i="3" s="1"/>
  <c r="T44" i="3" s="1"/>
  <c r="G13" i="3"/>
  <c r="AG13" i="3" s="1"/>
  <c r="AG14" i="3"/>
  <c r="X100" i="3"/>
  <c r="T100" i="3"/>
  <c r="X25" i="3"/>
  <c r="X38" i="3"/>
  <c r="AC53" i="3"/>
  <c r="X83" i="3"/>
  <c r="G30" i="3"/>
  <c r="AG30" i="3" s="1"/>
  <c r="X58" i="3"/>
  <c r="P94" i="3"/>
  <c r="L98" i="3"/>
  <c r="AI98" i="3" s="1"/>
  <c r="AC103" i="3"/>
  <c r="Z125" i="3"/>
  <c r="W109" i="3"/>
  <c r="P100" i="3"/>
  <c r="AI100" i="3"/>
  <c r="U125" i="3"/>
  <c r="AC22" i="3"/>
  <c r="AI22" i="3"/>
  <c r="P22" i="3"/>
  <c r="AI45" i="3"/>
  <c r="T45" i="3"/>
  <c r="AB63" i="3"/>
  <c r="AI63" i="3"/>
  <c r="T63" i="3"/>
  <c r="X63" i="3"/>
  <c r="P63" i="3"/>
  <c r="P6" i="3"/>
  <c r="AC25" i="3"/>
  <c r="AI83" i="3"/>
  <c r="AB83" i="3"/>
  <c r="T58" i="3"/>
  <c r="AB94" i="3"/>
  <c r="AB103" i="3"/>
  <c r="O44" i="3"/>
  <c r="J44" i="3"/>
  <c r="AC100" i="3"/>
  <c r="AC16" i="3"/>
  <c r="AI16" i="3"/>
  <c r="AI11" i="3"/>
  <c r="AB11" i="3"/>
  <c r="AB105" i="3"/>
  <c r="T16" i="3"/>
  <c r="O12" i="1"/>
  <c r="J12" i="1"/>
  <c r="N12" i="1"/>
  <c r="L12" i="1"/>
  <c r="H12" i="1"/>
  <c r="T14" i="2"/>
  <c r="Q61" i="2"/>
  <c r="O37" i="2"/>
  <c r="O151" i="2" s="1"/>
  <c r="M10" i="1" s="1"/>
  <c r="S155" i="2"/>
  <c r="T103" i="2"/>
  <c r="L26" i="2"/>
  <c r="N26" i="2"/>
  <c r="J26" i="2"/>
  <c r="K36" i="14"/>
  <c r="N77" i="2"/>
  <c r="Q141" i="2"/>
  <c r="Q156" i="2" s="1"/>
  <c r="N100" i="2"/>
  <c r="P85" i="2"/>
  <c r="N72" i="2"/>
  <c r="L72" i="2"/>
  <c r="P72" i="2"/>
  <c r="J72" i="2"/>
  <c r="Q72" i="2"/>
  <c r="Q77" i="2"/>
  <c r="K10" i="1"/>
  <c r="H155" i="2"/>
  <c r="K147" i="2"/>
  <c r="L105" i="2"/>
  <c r="K153" i="2"/>
  <c r="G148" i="2"/>
  <c r="I152" i="2"/>
  <c r="I154" i="2" s="1"/>
  <c r="I157" i="2" s="1"/>
  <c r="O96" i="2"/>
  <c r="M96" i="2"/>
  <c r="Q105" i="2"/>
  <c r="L22" i="2"/>
  <c r="N22" i="2"/>
  <c r="J22" i="2"/>
  <c r="L61" i="2"/>
  <c r="Q53" i="2"/>
  <c r="J53" i="2"/>
  <c r="N53" i="2"/>
  <c r="P53" i="2"/>
  <c r="L53" i="2"/>
  <c r="H40" i="2"/>
  <c r="I148" i="2"/>
  <c r="D11" i="1"/>
  <c r="D14" i="1" s="1"/>
  <c r="G154" i="2"/>
  <c r="G157" i="2" s="1"/>
  <c r="L85" i="2"/>
  <c r="N85" i="2"/>
  <c r="J85" i="2"/>
  <c r="E24" i="14"/>
  <c r="E25" i="14" s="1"/>
  <c r="I25" i="14" s="1"/>
  <c r="K25" i="14" s="1"/>
  <c r="P60" i="2"/>
  <c r="J60" i="2"/>
  <c r="N60" i="2"/>
  <c r="Q60" i="2"/>
  <c r="J141" i="2"/>
  <c r="N141" i="2"/>
  <c r="P141" i="2"/>
  <c r="L141" i="2"/>
  <c r="H156" i="2"/>
  <c r="F151" i="2"/>
  <c r="H153" i="2"/>
  <c r="H147" i="2"/>
  <c r="P105" i="2"/>
  <c r="N105" i="2"/>
  <c r="J105" i="2"/>
  <c r="Q40" i="2"/>
  <c r="J77" i="2"/>
  <c r="P77" i="2"/>
  <c r="Q85" i="2"/>
  <c r="P61" i="2"/>
  <c r="N61" i="2"/>
  <c r="Q22" i="2"/>
  <c r="J61" i="2"/>
  <c r="K96" i="2"/>
  <c r="F96" i="2"/>
  <c r="F152" i="2" s="1"/>
  <c r="C11" i="1" s="1"/>
  <c r="G10" i="1"/>
  <c r="H13" i="1"/>
  <c r="M16" i="1"/>
  <c r="K15" i="1"/>
  <c r="K17" i="1" s="1"/>
  <c r="W126" i="3"/>
  <c r="AB52" i="3"/>
  <c r="T52" i="3"/>
  <c r="AC115" i="3"/>
  <c r="T115" i="3"/>
  <c r="AB115" i="3"/>
  <c r="P115" i="3"/>
  <c r="AI115" i="3"/>
  <c r="X115" i="3"/>
  <c r="AI121" i="3"/>
  <c r="P121" i="3"/>
  <c r="T121" i="3"/>
  <c r="AC121" i="3"/>
  <c r="AB121" i="3"/>
  <c r="X121" i="3"/>
  <c r="AC124" i="3"/>
  <c r="T124" i="3"/>
  <c r="P124" i="3"/>
  <c r="AC52" i="3"/>
  <c r="AI124" i="3"/>
  <c r="X94" i="3"/>
  <c r="S126" i="3"/>
  <c r="I15" i="1"/>
  <c r="I17" i="1" s="1"/>
  <c r="AI77" i="3"/>
  <c r="AB77" i="3"/>
  <c r="G15" i="14"/>
  <c r="T77" i="3"/>
  <c r="X77" i="3"/>
  <c r="AC42" i="3"/>
  <c r="T42" i="3"/>
  <c r="AB42" i="3"/>
  <c r="AC41" i="3"/>
  <c r="AI41" i="3"/>
  <c r="X41" i="3"/>
  <c r="P41" i="3"/>
  <c r="T41" i="3"/>
  <c r="AA38" i="3"/>
  <c r="Y30" i="3"/>
  <c r="Y125" i="3" s="1"/>
  <c r="AA126" i="3" s="1"/>
  <c r="AI72" i="3"/>
  <c r="AC72" i="3"/>
  <c r="T72" i="3"/>
  <c r="AC74" i="3"/>
  <c r="AI74" i="3"/>
  <c r="T74" i="3"/>
  <c r="X74" i="3"/>
  <c r="P74" i="3"/>
  <c r="AB5" i="3"/>
  <c r="G22" i="14"/>
  <c r="I22" i="14" s="1"/>
  <c r="K22" i="14" s="1"/>
  <c r="AB124" i="3"/>
  <c r="X124" i="3"/>
  <c r="W104" i="3"/>
  <c r="W125" i="3" s="1"/>
  <c r="X108" i="3"/>
  <c r="AB73" i="3"/>
  <c r="AC73" i="3"/>
  <c r="T73" i="3"/>
  <c r="X73" i="3"/>
  <c r="L78" i="3"/>
  <c r="AI117" i="3"/>
  <c r="AB117" i="3"/>
  <c r="P117" i="3"/>
  <c r="T117" i="3"/>
  <c r="X117" i="3"/>
  <c r="AC9" i="3"/>
  <c r="X9" i="3"/>
  <c r="P9" i="3"/>
  <c r="G10" i="14"/>
  <c r="I10" i="14" s="1"/>
  <c r="K10" i="14" s="1"/>
  <c r="T9" i="3"/>
  <c r="T35" i="3"/>
  <c r="P35" i="3"/>
  <c r="X35" i="3"/>
  <c r="AB35" i="3"/>
  <c r="AI35" i="3"/>
  <c r="AC102" i="3"/>
  <c r="T102" i="3"/>
  <c r="P102" i="3"/>
  <c r="G33" i="14"/>
  <c r="I33" i="14" s="1"/>
  <c r="K33" i="14" s="1"/>
  <c r="AB102" i="3"/>
  <c r="H17" i="14"/>
  <c r="H19" i="14" s="1"/>
  <c r="J19" i="14" s="1"/>
  <c r="K19" i="14" s="1"/>
  <c r="AB45" i="3"/>
  <c r="X75" i="3"/>
  <c r="T75" i="3"/>
  <c r="P75" i="3"/>
  <c r="T5" i="3"/>
  <c r="P5" i="3"/>
  <c r="X5" i="3"/>
  <c r="L34" i="3"/>
  <c r="K13" i="3"/>
  <c r="AI75" i="3"/>
  <c r="T27" i="3"/>
  <c r="AA66" i="3"/>
  <c r="AF116" i="3"/>
  <c r="AB75" i="3"/>
  <c r="AC27" i="3"/>
  <c r="AG66" i="3"/>
  <c r="L20" i="3"/>
  <c r="X20" i="3" s="1"/>
  <c r="X52" i="3"/>
  <c r="J30" i="3"/>
  <c r="X98" i="3"/>
  <c r="AB74" i="3"/>
  <c r="AC82" i="3"/>
  <c r="P82" i="3"/>
  <c r="AB82" i="3"/>
  <c r="AI82" i="3"/>
  <c r="T82" i="3"/>
  <c r="X82" i="3"/>
  <c r="AC79" i="3"/>
  <c r="X79" i="3"/>
  <c r="AI79" i="3"/>
  <c r="G27" i="14"/>
  <c r="I27" i="14" s="1"/>
  <c r="K27" i="14" s="1"/>
  <c r="G88" i="3"/>
  <c r="AG88" i="3" s="1"/>
  <c r="AC61" i="3"/>
  <c r="AC56" i="3" s="1"/>
  <c r="T61" i="3"/>
  <c r="X49" i="3"/>
  <c r="P49" i="3"/>
  <c r="AI49" i="3"/>
  <c r="T49" i="3"/>
  <c r="AC80" i="3"/>
  <c r="AC37" i="3"/>
  <c r="T37" i="3"/>
  <c r="P37" i="3"/>
  <c r="AI37" i="3"/>
  <c r="AB37" i="3"/>
  <c r="X37" i="3"/>
  <c r="AC122" i="3"/>
  <c r="T122" i="3"/>
  <c r="X122" i="3"/>
  <c r="P122" i="3"/>
  <c r="AB122" i="3"/>
  <c r="AI122" i="3"/>
  <c r="AC8" i="3"/>
  <c r="AI8" i="3"/>
  <c r="T8" i="3"/>
  <c r="L7" i="3"/>
  <c r="AB8" i="3"/>
  <c r="P8" i="3"/>
  <c r="X8" i="3"/>
  <c r="AC26" i="3"/>
  <c r="AB26" i="3"/>
  <c r="AI26" i="3"/>
  <c r="T26" i="3"/>
  <c r="X26" i="3"/>
  <c r="P26" i="3"/>
  <c r="AC118" i="3"/>
  <c r="AI118" i="3"/>
  <c r="AB118" i="3"/>
  <c r="L116" i="3"/>
  <c r="X118" i="3"/>
  <c r="T118" i="3"/>
  <c r="P118" i="3"/>
  <c r="AB27" i="3"/>
  <c r="AC19" i="3"/>
  <c r="T19" i="3"/>
  <c r="X19" i="3"/>
  <c r="AI19" i="3"/>
  <c r="K112" i="3"/>
  <c r="AG56" i="3"/>
  <c r="X27" i="3"/>
  <c r="L30" i="3"/>
  <c r="T30" i="3" s="1"/>
  <c r="AC15" i="3"/>
  <c r="AI15" i="3"/>
  <c r="T15" i="3"/>
  <c r="P15" i="3"/>
  <c r="X15" i="3"/>
  <c r="AB23" i="3"/>
  <c r="AI23" i="3"/>
  <c r="X23" i="3"/>
  <c r="AC23" i="3"/>
  <c r="T23" i="3"/>
  <c r="P23" i="3"/>
  <c r="T98" i="3"/>
  <c r="P5" i="2"/>
  <c r="N5" i="2"/>
  <c r="H37" i="2"/>
  <c r="J5" i="2"/>
  <c r="L5" i="2"/>
  <c r="Q5" i="2"/>
  <c r="J29" i="2"/>
  <c r="P29" i="2"/>
  <c r="N29" i="2"/>
  <c r="L29" i="2"/>
  <c r="L14" i="2"/>
  <c r="P14" i="2"/>
  <c r="N14" i="2"/>
  <c r="J14" i="2"/>
  <c r="O13" i="1"/>
  <c r="L13" i="1"/>
  <c r="N13" i="1"/>
  <c r="Q14" i="2"/>
  <c r="Q29" i="2"/>
  <c r="P11" i="1"/>
  <c r="C5" i="21" s="1"/>
  <c r="S154" i="2"/>
  <c r="S157" i="2" s="1"/>
  <c r="P10" i="1"/>
  <c r="C4" i="21" s="1"/>
  <c r="T151" i="2"/>
  <c r="AD109" i="3"/>
  <c r="AD125" i="3" s="1"/>
  <c r="P15" i="1" s="1"/>
  <c r="P17" i="1" s="1"/>
  <c r="H16" i="14"/>
  <c r="J16" i="14" s="1"/>
  <c r="J12" i="14"/>
  <c r="S148" i="2"/>
  <c r="T147" i="2"/>
  <c r="H109" i="3"/>
  <c r="H125" i="3" s="1"/>
  <c r="D15" i="1" s="1"/>
  <c r="AF109" i="3"/>
  <c r="C22" i="21" s="1"/>
  <c r="Q16" i="1"/>
  <c r="O126" i="3" l="1"/>
  <c r="O125" i="3"/>
  <c r="N103" i="2"/>
  <c r="P103" i="2"/>
  <c r="J103" i="2"/>
  <c r="AI56" i="3"/>
  <c r="AG116" i="3"/>
  <c r="C23" i="21"/>
  <c r="C24" i="21" s="1"/>
  <c r="T56" i="3"/>
  <c r="AB56" i="3"/>
  <c r="D17" i="1"/>
  <c r="X56" i="3"/>
  <c r="FZ52" i="3"/>
  <c r="P98" i="3"/>
  <c r="AI20" i="3"/>
  <c r="AC116" i="3"/>
  <c r="AB98" i="3"/>
  <c r="L13" i="3"/>
  <c r="AB13" i="3" s="1"/>
  <c r="AB44" i="3"/>
  <c r="AC96" i="3"/>
  <c r="AB96" i="3"/>
  <c r="P96" i="3"/>
  <c r="AI96" i="3"/>
  <c r="T96" i="3"/>
  <c r="X96" i="3"/>
  <c r="AI13" i="3"/>
  <c r="AB20" i="3"/>
  <c r="AC95" i="3"/>
  <c r="AC88" i="3" s="1"/>
  <c r="AB95" i="3"/>
  <c r="T95" i="3"/>
  <c r="L88" i="3"/>
  <c r="X95" i="3"/>
  <c r="P95" i="3"/>
  <c r="AI95" i="3"/>
  <c r="AC20" i="3"/>
  <c r="AC13" i="3" s="1"/>
  <c r="AC98" i="3"/>
  <c r="T54" i="3"/>
  <c r="P54" i="3"/>
  <c r="X54" i="3"/>
  <c r="AC54" i="3"/>
  <c r="AC44" i="3" s="1"/>
  <c r="AB54" i="3"/>
  <c r="AI54" i="3"/>
  <c r="T20" i="3"/>
  <c r="AI108" i="3"/>
  <c r="T108" i="3"/>
  <c r="AB108" i="3"/>
  <c r="P108" i="3"/>
  <c r="AC108" i="3"/>
  <c r="AC104" i="3" s="1"/>
  <c r="L104" i="3"/>
  <c r="T96" i="2"/>
  <c r="T155" i="2"/>
  <c r="P12" i="1"/>
  <c r="P14" i="1" s="1"/>
  <c r="P19" i="1" s="1"/>
  <c r="P31" i="1" s="1"/>
  <c r="P29" i="1" s="1"/>
  <c r="E11" i="1"/>
  <c r="N156" i="2"/>
  <c r="L156" i="2"/>
  <c r="P156" i="2"/>
  <c r="J156" i="2"/>
  <c r="J40" i="2"/>
  <c r="H96" i="2"/>
  <c r="L96" i="2" s="1"/>
  <c r="L40" i="2"/>
  <c r="K152" i="2"/>
  <c r="K148" i="2"/>
  <c r="P153" i="2"/>
  <c r="N153" i="2"/>
  <c r="J153" i="2"/>
  <c r="G11" i="1"/>
  <c r="G14" i="1" s="1"/>
  <c r="N147" i="2"/>
  <c r="P147" i="2"/>
  <c r="J147" i="2"/>
  <c r="Q96" i="2"/>
  <c r="Q152" i="2" s="1"/>
  <c r="C10" i="1"/>
  <c r="F154" i="2"/>
  <c r="F157" i="2" s="1"/>
  <c r="T157" i="2" s="1"/>
  <c r="Q147" i="2"/>
  <c r="Q153" i="2"/>
  <c r="L147" i="2"/>
  <c r="M152" i="2"/>
  <c r="M148" i="2"/>
  <c r="I13" i="1"/>
  <c r="J13" i="1" s="1"/>
  <c r="L153" i="2"/>
  <c r="N155" i="2"/>
  <c r="L155" i="2"/>
  <c r="J155" i="2"/>
  <c r="P155" i="2"/>
  <c r="T152" i="2"/>
  <c r="P40" i="2"/>
  <c r="F148" i="2"/>
  <c r="T148" i="2" s="1"/>
  <c r="N40" i="2"/>
  <c r="O152" i="2"/>
  <c r="P96" i="2"/>
  <c r="O148" i="2"/>
  <c r="AB38" i="3"/>
  <c r="AA30" i="3"/>
  <c r="AA125" i="3" s="1"/>
  <c r="AC38" i="3"/>
  <c r="I15" i="14"/>
  <c r="G16" i="14"/>
  <c r="I16" i="14" s="1"/>
  <c r="K16" i="14" s="1"/>
  <c r="M15" i="1"/>
  <c r="M17" i="1" s="1"/>
  <c r="AB78" i="3"/>
  <c r="T78" i="3"/>
  <c r="AI78" i="3"/>
  <c r="X78" i="3"/>
  <c r="P78" i="3"/>
  <c r="AC78" i="3"/>
  <c r="AC66" i="3" s="1"/>
  <c r="P13" i="3"/>
  <c r="AC7" i="3"/>
  <c r="AB34" i="3"/>
  <c r="T34" i="3"/>
  <c r="X34" i="3"/>
  <c r="AC34" i="3"/>
  <c r="P34" i="3"/>
  <c r="AI34" i="3"/>
  <c r="L66" i="3"/>
  <c r="AB66" i="3" s="1"/>
  <c r="X44" i="3"/>
  <c r="AI44" i="3"/>
  <c r="P44" i="3"/>
  <c r="AI30" i="3"/>
  <c r="X30" i="3"/>
  <c r="X7" i="3"/>
  <c r="T7" i="3"/>
  <c r="AI7" i="3"/>
  <c r="P7" i="3"/>
  <c r="AB7" i="3"/>
  <c r="P30" i="3"/>
  <c r="K109" i="3"/>
  <c r="K125" i="3" s="1"/>
  <c r="AI116" i="3"/>
  <c r="AB116" i="3"/>
  <c r="T116" i="3"/>
  <c r="X116" i="3"/>
  <c r="P116" i="3"/>
  <c r="Q11" i="1"/>
  <c r="Q37" i="2"/>
  <c r="J37" i="2"/>
  <c r="H148" i="2"/>
  <c r="L37" i="2"/>
  <c r="H151" i="2"/>
  <c r="N37" i="2"/>
  <c r="P37" i="2"/>
  <c r="T154" i="2"/>
  <c r="AF126" i="3"/>
  <c r="D19" i="1"/>
  <c r="D31" i="1" s="1"/>
  <c r="D29" i="1" s="1"/>
  <c r="O16" i="1"/>
  <c r="H16" i="1"/>
  <c r="L16" i="1"/>
  <c r="J16" i="1"/>
  <c r="N16" i="1"/>
  <c r="E109" i="3"/>
  <c r="E125" i="3" s="1"/>
  <c r="G112" i="3"/>
  <c r="J112" i="3"/>
  <c r="L112" i="3" s="1"/>
  <c r="AF125" i="3"/>
  <c r="AH112" i="3"/>
  <c r="N96" i="2" l="1"/>
  <c r="Q12" i="1"/>
  <c r="C6" i="21"/>
  <c r="C8" i="21" s="1"/>
  <c r="C25" i="21" s="1"/>
  <c r="T13" i="3"/>
  <c r="X13" i="3"/>
  <c r="T104" i="3"/>
  <c r="AB104" i="3"/>
  <c r="X104" i="3"/>
  <c r="P104" i="3"/>
  <c r="AI104" i="3"/>
  <c r="P88" i="3"/>
  <c r="T88" i="3"/>
  <c r="AI88" i="3"/>
  <c r="AB88" i="3"/>
  <c r="X88" i="3"/>
  <c r="AC30" i="3"/>
  <c r="G19" i="1"/>
  <c r="G31" i="1" s="1"/>
  <c r="G29" i="1" s="1"/>
  <c r="I11" i="1"/>
  <c r="K154" i="2"/>
  <c r="K157" i="2" s="1"/>
  <c r="M11" i="1"/>
  <c r="O154" i="2"/>
  <c r="O157" i="2" s="1"/>
  <c r="K11" i="1"/>
  <c r="M154" i="2"/>
  <c r="M157" i="2" s="1"/>
  <c r="E10" i="1"/>
  <c r="C14" i="1"/>
  <c r="F10" i="1" s="1"/>
  <c r="H11" i="1"/>
  <c r="H152" i="2"/>
  <c r="J152" i="2" s="1"/>
  <c r="J96" i="2"/>
  <c r="Q10" i="1"/>
  <c r="T66" i="3"/>
  <c r="AI66" i="3"/>
  <c r="P66" i="3"/>
  <c r="X66" i="3"/>
  <c r="AB30" i="3"/>
  <c r="J148" i="2"/>
  <c r="N148" i="2"/>
  <c r="L148" i="2"/>
  <c r="P148" i="2"/>
  <c r="N151" i="2"/>
  <c r="P151" i="2"/>
  <c r="J151" i="2"/>
  <c r="L151" i="2"/>
  <c r="Q151" i="2"/>
  <c r="Q154" i="2" s="1"/>
  <c r="Q157" i="2" s="1"/>
  <c r="Q148" i="2"/>
  <c r="J109" i="3"/>
  <c r="J125" i="3" s="1"/>
  <c r="AI112" i="3"/>
  <c r="G109" i="3"/>
  <c r="AG112" i="3"/>
  <c r="G126" i="3"/>
  <c r="C15" i="1"/>
  <c r="AH109" i="3"/>
  <c r="H154" i="2" l="1"/>
  <c r="L152" i="2"/>
  <c r="Q14" i="1"/>
  <c r="P152" i="2"/>
  <c r="O11" i="1"/>
  <c r="M14" i="1"/>
  <c r="N11" i="1"/>
  <c r="J11" i="1"/>
  <c r="I14" i="1"/>
  <c r="F13" i="1"/>
  <c r="F12" i="1"/>
  <c r="F11" i="1"/>
  <c r="F14" i="1" s="1"/>
  <c r="L11" i="1"/>
  <c r="K14" i="1"/>
  <c r="N10" i="1"/>
  <c r="O10" i="1"/>
  <c r="J10" i="1"/>
  <c r="E14" i="1"/>
  <c r="H14" i="1" s="1"/>
  <c r="L10" i="1"/>
  <c r="H10" i="1"/>
  <c r="N152" i="2"/>
  <c r="L154" i="2"/>
  <c r="H157" i="2"/>
  <c r="N154" i="2"/>
  <c r="J154" i="2"/>
  <c r="P154" i="2"/>
  <c r="E15" i="1"/>
  <c r="C17" i="1"/>
  <c r="F15" i="1" s="1"/>
  <c r="Q15" i="1"/>
  <c r="G125" i="3"/>
  <c r="AG109" i="3"/>
  <c r="X112" i="3"/>
  <c r="P112" i="3"/>
  <c r="AB112" i="3"/>
  <c r="L109" i="3"/>
  <c r="T112" i="3"/>
  <c r="AC112" i="3"/>
  <c r="AC109" i="3" s="1"/>
  <c r="AC125" i="3" s="1"/>
  <c r="AH125" i="3"/>
  <c r="K19" i="1" l="1"/>
  <c r="K31" i="1" s="1"/>
  <c r="K29" i="1" s="1"/>
  <c r="L14" i="1"/>
  <c r="M19" i="1"/>
  <c r="M31" i="1" s="1"/>
  <c r="M29" i="1" s="1"/>
  <c r="N14" i="1"/>
  <c r="O14" i="1"/>
  <c r="J14" i="1"/>
  <c r="I19" i="1"/>
  <c r="I31" i="1" s="1"/>
  <c r="I29" i="1" s="1"/>
  <c r="J157" i="2"/>
  <c r="L157" i="2"/>
  <c r="N157" i="2"/>
  <c r="P157" i="2"/>
  <c r="C19" i="1"/>
  <c r="C31" i="1" s="1"/>
  <c r="C29" i="1" s="1"/>
  <c r="F16" i="1"/>
  <c r="Q17" i="1"/>
  <c r="T109" i="3"/>
  <c r="P109" i="3"/>
  <c r="L125" i="3"/>
  <c r="AB109" i="3"/>
  <c r="X109" i="3"/>
  <c r="L126" i="3"/>
  <c r="AG125" i="3"/>
  <c r="AI109" i="3"/>
  <c r="N15" i="1"/>
  <c r="J15" i="1"/>
  <c r="E17" i="1"/>
  <c r="L15" i="1"/>
  <c r="O15" i="1"/>
  <c r="H15" i="1"/>
  <c r="P125" i="3" l="1"/>
  <c r="T125" i="3"/>
  <c r="X125" i="3"/>
  <c r="AB125" i="3"/>
  <c r="J17" i="1"/>
  <c r="L17" i="1"/>
  <c r="N17" i="1"/>
  <c r="O17" i="1"/>
  <c r="H17" i="1"/>
  <c r="E19" i="1"/>
  <c r="O19" i="1" l="1"/>
  <c r="E31" i="1"/>
  <c r="E29" i="1" l="1"/>
  <c r="O29" i="1" s="1"/>
  <c r="O31" i="1"/>
</calcChain>
</file>

<file path=xl/comments1.xml><?xml version="1.0" encoding="utf-8"?>
<comments xmlns="http://schemas.openxmlformats.org/spreadsheetml/2006/main">
  <authors>
    <author>Kynčlová Miroslava, Ing.</author>
  </authors>
  <commentList>
    <comment ref="P22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-2255 splátka EPC
-2000 splátka ZŠ Harracha</t>
        </r>
      </text>
    </comment>
  </commentList>
</comments>
</file>

<file path=xl/comments2.xml><?xml version="1.0" encoding="utf-8"?>
<comments xmlns="http://schemas.openxmlformats.org/spreadsheetml/2006/main">
  <authors>
    <author>Ing. Miroslava Kynčlová</author>
    <author>Kynčlová</author>
    <author>Kynčlová Miroslava, Ing.</author>
    <author>Město Jilemnice</author>
  </authors>
  <commentList>
    <comment ref="E15" authorId="0" shapeId="0">
      <text>
        <r>
          <rPr>
            <sz val="8"/>
            <color indexed="81"/>
            <rFont val="Tahoma"/>
            <family val="2"/>
            <charset val="238"/>
          </rPr>
          <t>3-trvalý pobyt
4-ověřování
6-změna jména
8-sňatky
9-video</t>
        </r>
      </text>
    </comment>
    <comment ref="E17" authorId="1" shapeId="0">
      <text>
        <r>
          <rPr>
            <sz val="10"/>
            <color indexed="81"/>
            <rFont val="Tahoma"/>
            <family val="2"/>
            <charset val="238"/>
          </rPr>
          <t>10 rybářské lístky</t>
        </r>
        <r>
          <rPr>
            <sz val="10"/>
            <color indexed="81"/>
            <rFont val="Tahoma"/>
            <family val="2"/>
            <charset val="238"/>
          </rPr>
          <t xml:space="preserve">
23 životní prostředí </t>
        </r>
      </text>
    </comment>
    <comment ref="E22" authorId="0" shapeId="0">
      <text>
        <r>
          <rPr>
            <sz val="8"/>
            <color indexed="81"/>
            <rFont val="Tahoma"/>
            <family val="2"/>
            <charset val="238"/>
          </rPr>
          <t xml:space="preserve">32-pasy
33-občanské průkazy
</t>
        </r>
      </text>
    </comment>
    <comment ref="E25" authorId="0" shapeId="0">
      <text>
        <r>
          <rPr>
            <sz val="8"/>
            <color indexed="81"/>
            <rFont val="Tahoma"/>
            <family val="2"/>
            <charset val="238"/>
          </rPr>
          <t xml:space="preserve">13- 
19-vydání průkazů-soc
27-povolení tomboly
314-správa
</t>
        </r>
      </text>
    </comment>
    <comment ref="E27" authorId="0" shapeId="0">
      <text>
        <r>
          <rPr>
            <sz val="8"/>
            <color indexed="81"/>
            <rFont val="Tahoma"/>
            <family val="2"/>
            <charset val="238"/>
          </rPr>
          <t xml:space="preserve">23 1332- za znečištní žp
12 1334 org 12 za odnětí půdy
</t>
        </r>
      </text>
    </comment>
    <comment ref="O27" authorId="2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52,7986 poplatek za odnětí ZPF 1334
10 poplatek za znečišťování ovzd. 1332</t>
        </r>
      </text>
    </comment>
    <comment ref="F31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snížení sazby, nové osvobození ze zákona</t>
        </r>
      </text>
    </comment>
    <comment ref="B34" authorId="3" shapeId="0">
      <text>
        <r>
          <rPr>
            <b/>
            <sz val="9"/>
            <color indexed="81"/>
            <rFont val="Tahoma"/>
            <family val="2"/>
            <charset val="238"/>
          </rPr>
          <t>1349 zrušené místní poplatky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3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Valorizace?
</t>
        </r>
      </text>
    </comment>
    <comment ref="F45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výdaje energie 298</t>
        </r>
      </text>
    </comment>
    <comment ref="F46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saldo služeb -57 tis.</t>
        </r>
      </text>
    </comment>
    <comment ref="S46" authorId="2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115 přefakturace energie
5 příjmy za využívání areálu
</t>
        </r>
      </text>
    </comment>
    <comment ref="F53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36 - org. 319 restaurace pod radnicí
91 - org. 21 (DC, KRNAP, Kiosek)</t>
        </r>
      </text>
    </comment>
    <comment ref="K53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81,812 org. 21</t>
        </r>
      </text>
    </comment>
    <comment ref="O53" authorId="2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11,99496 org. 319</t>
        </r>
      </text>
    </comment>
    <comment ref="S53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36 - org. 319 restaurace pod radnicí
91 - org. 21 (DC, KRNAP, Kiosek)</t>
        </r>
      </text>
    </comment>
    <comment ref="F54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již se nepronajímají stánky</t>
        </r>
      </text>
    </comment>
    <comment ref="F57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130 služby sňatky
70 ostatní</t>
        </r>
      </text>
    </comment>
    <comment ref="I57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74 služby sňatky
016 recepty
1,980 služby
1,4 prodej majetku
48,892 náhrady
0,116 kopírování
</t>
        </r>
      </text>
    </comment>
    <comment ref="K57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125 služby sňatky
0,16 recepty
10,858 exekuce Tužová
1,98 služby
1,4 prodej majetku
4 dar
73,892 náhrady (25 CCS, 35,228 bonifikace pojišťovny, 13,664 soc. fond)
0,209 kopírování</t>
        </r>
      </text>
    </comment>
    <comment ref="M57" authorId="2" shapeId="0">
      <text>
        <r>
          <rPr>
            <sz val="9"/>
            <color indexed="81"/>
            <rFont val="Tahoma"/>
            <family val="2"/>
            <charset val="238"/>
          </rPr>
          <t xml:space="preserve">144 služby sňatky
0,16 prodej receptů
13,664 soc. fond náhrada
10,858 exekuce Tužová
2,190 služby
3,4+2 prodej majetku
4 dar
60,228 náhrady (CCS, bonifikace pojišťovny)
0,209 kopírování
</t>
        </r>
      </text>
    </comment>
    <comment ref="O57" authorId="2" shapeId="0">
      <text>
        <r>
          <rPr>
            <sz val="9"/>
            <color indexed="81"/>
            <rFont val="Tahoma"/>
            <family val="2"/>
            <charset val="238"/>
          </rPr>
          <t xml:space="preserve">141 služby sňatky
0,4 prodej receptů
13,664 soc. fond náhrada
23,183 exekuce Tužová
2,230 služby
9,4 prodej majetku
4 dar
61,2873
 náhrady (CCS, bonifikace pojišťovny)
1,5 náhrada propagace 
0,224 kopírování
</t>
        </r>
      </text>
    </comment>
    <comment ref="S57" authorId="2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180 služby sňatky
30 ostatní</t>
        </r>
      </text>
    </comment>
    <comment ref="F59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231 MŠ
661 ZŠ I
657 SDJilm
462 ZŠ II
66 ZUŠ</t>
        </r>
      </text>
    </comment>
    <comment ref="S59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231 MŠ
661 ZŠ I
655 SDJilm
540 ZŠ II
66 ZUŠ</t>
        </r>
      </text>
    </comment>
    <comment ref="I60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 dar</t>
        </r>
      </text>
    </comment>
    <comment ref="O60" authorId="2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119,163 služby
22,780 náhrada
30 dar
1031,0279 kompenzace</t>
        </r>
      </text>
    </comment>
    <comment ref="S60" authorId="2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290 příjmy za třídění door to door</t>
        </r>
      </text>
    </comment>
    <comment ref="F63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možno 1400+50
</t>
        </r>
      </text>
    </comment>
    <comment ref="O63" authorId="2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32,67321 služby
1503,65817 nájem
</t>
        </r>
      </text>
    </comment>
    <comment ref="E79" authorId="1" shapeId="0">
      <text>
        <r>
          <rPr>
            <sz val="8"/>
            <color indexed="81"/>
            <rFont val="Tahoma"/>
            <family val="2"/>
            <charset val="238"/>
          </rPr>
          <t>33 občanské průkazy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14 přestupky
13 památky
</t>
        </r>
      </text>
    </comment>
    <comment ref="G86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50 od nadace ČEZ na krizové řízení
1115 dar od vlastníků pozemků na rozvoj města
75 dary od občanů na rozvoj města</t>
        </r>
      </text>
    </comment>
    <comment ref="K86" authorId="3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Město Jilemnice:
</t>
        </r>
        <r>
          <rPr>
            <sz val="9"/>
            <color indexed="81"/>
            <rFont val="Tahoma"/>
            <family val="2"/>
            <charset val="238"/>
          </rPr>
          <t>3 dar na komunální odpad</t>
        </r>
        <r>
          <rPr>
            <sz val="9"/>
            <color indexed="81"/>
            <rFont val="Tahoma"/>
            <family val="2"/>
            <charset val="238"/>
          </rPr>
          <t xml:space="preserve">
50 od nadace ČEZ na krizové řízení
1115 dar od vlastníků pozemků na rozvoj města
45 dar na přípojky Spořilov</t>
        </r>
      </text>
    </comment>
    <comment ref="M86" authorId="3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Město Jilemnice:
</t>
        </r>
        <r>
          <rPr>
            <sz val="9"/>
            <color indexed="81"/>
            <rFont val="Tahoma"/>
            <family val="2"/>
            <charset val="238"/>
          </rPr>
          <t>3 dar na komunální odpad
50 od nadace ČEZ na krizové řízení
1115 dar od vlastníků pozemků na rozvoj města
75 dar na přípojky Spořilov</t>
        </r>
      </text>
    </comment>
    <comment ref="O86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50 od nadace ČEZ na krizové řízení
1115 dar od vlastníků pozemků na rozvoj města
75 dary od občanů na rozvoj města</t>
        </r>
      </text>
    </comment>
    <comment ref="S88" authorId="2" shapeId="0">
      <text>
        <r>
          <rPr>
            <b/>
            <sz val="9"/>
            <color indexed="81"/>
            <rFont val="Tahoma"/>
            <charset val="1"/>
          </rPr>
          <t>Kynčlová Miroslava, Ing.: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91" authorId="2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dotace?</t>
        </r>
      </text>
    </comment>
    <comment ref="K92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11,2 pojistná náhrada požární ochrana</t>
        </r>
      </text>
    </comment>
    <comment ref="M92" authorId="2" shapeId="0">
      <text>
        <r>
          <rPr>
            <sz val="9"/>
            <color indexed="81"/>
            <rFont val="Tahoma"/>
            <family val="2"/>
            <charset val="238"/>
          </rPr>
          <t xml:space="preserve">33,6 pojistná náhrada požární ochrana
</t>
        </r>
      </text>
    </comment>
    <comment ref="O92" authorId="2" shapeId="0">
      <text>
        <r>
          <rPr>
            <sz val="9"/>
            <color indexed="81"/>
            <rFont val="Tahoma"/>
            <family val="2"/>
            <charset val="238"/>
          </rPr>
          <t xml:space="preserve">33,6 pojistná náhrada požární ochrana
</t>
        </r>
      </text>
    </comment>
    <comment ref="G110" authorId="2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296 doplatek za rok 2019</t>
        </r>
      </text>
    </comment>
    <comment ref="G119" authorId="2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297, doplatek dotace
51,83 na zajištění výsadby
235,131 na kalamitu z roku 2019</t>
        </r>
      </text>
    </comment>
    <comment ref="F125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500 přestupky
40 rušení TP</t>
        </r>
      </text>
    </comment>
    <comment ref="F127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90,- Kč na občana ORP Jilemnice mimo Paseky</t>
        </r>
      </text>
    </comment>
  </commentList>
</comments>
</file>

<file path=xl/comments3.xml><?xml version="1.0" encoding="utf-8"?>
<comments xmlns="http://schemas.openxmlformats.org/spreadsheetml/2006/main">
  <authors>
    <author>Město Jilemnice</author>
    <author>Kynčlová Miroslava, Ing.</author>
    <author>Notebook pracovní</author>
  </authors>
  <commentList>
    <comment ref="E6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636 mzdy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51,83 dotace Mze
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-145,582 dotace § 1036 bude v dubnu se znaménkem +
</t>
        </r>
      </text>
    </comment>
    <comment ref="AD6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612 upr.R 2020
623 mzdy</t>
        </r>
      </text>
    </comment>
    <comment ref="AE6" authorId="2" shapeId="0">
      <text>
        <r>
          <rPr>
            <b/>
            <sz val="9"/>
            <color indexed="81"/>
            <rFont val="Tahoma"/>
            <family val="2"/>
            <charset val="238"/>
          </rPr>
          <t>Notebook pracovní:</t>
        </r>
        <r>
          <rPr>
            <sz val="9"/>
            <color indexed="81"/>
            <rFont val="Tahoma"/>
            <family val="2"/>
            <charset val="238"/>
          </rPr>
          <t xml:space="preserve">
160 LHP</t>
        </r>
      </text>
    </comment>
    <comment ref="AH6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623 mzdy
742 provoz</t>
        </r>
      </text>
    </comment>
    <comment ref="H12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-40 RO č 16/2020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500 chodníky Za Lázněmi
</t>
        </r>
      </text>
    </comment>
    <comment ref="H14" authorId="1" shapeId="0">
      <text>
        <r>
          <rPr>
            <sz val="9"/>
            <color indexed="81"/>
            <rFont val="Tahoma"/>
            <family val="2"/>
            <charset val="238"/>
          </rPr>
          <t>120 dar od ČEZ na přechod pro chodce
-343 RO COVID
-300 RO č. 12/2020
-240 RO č.16/2020</t>
        </r>
      </text>
    </comment>
    <comment ref="I14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33 úprava položky</t>
        </r>
      </text>
    </comment>
    <comment ref="AH16" authorId="1" shapeId="0">
      <text>
        <r>
          <rPr>
            <sz val="9"/>
            <color indexed="81"/>
            <rFont val="Tahoma"/>
            <family val="2"/>
            <charset val="238"/>
          </rPr>
          <t xml:space="preserve">2500 most přes Jilemku (J.Weisse)
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2886 dotace VHS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7514 dotace VHS
1500 VO
600 ostatní projekce
</t>
        </r>
      </text>
    </comment>
    <comment ref="AD20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122 dotace VHS
78 ostatní
</t>
        </r>
      </text>
    </comment>
    <comment ref="AE20" authorId="1" shapeId="0">
      <text>
        <r>
          <rPr>
            <sz val="9"/>
            <color indexed="81"/>
            <rFont val="Tahoma"/>
            <family val="2"/>
            <charset val="238"/>
          </rPr>
          <t>1800 VO
11834 dotace - podíl města VHS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38"/>
          </rPr>
          <t>příslib dotace LK ve výši 120 tis. na rok 2021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kanalizace čp. 64, Sokolská , na Račanech a na Kozinci
</t>
        </r>
      </text>
    </comment>
    <comment ref="H31" authorId="1" shapeId="0">
      <text>
        <r>
          <rPr>
            <sz val="9"/>
            <color indexed="81"/>
            <rFont val="Tahoma"/>
            <family val="2"/>
            <charset val="238"/>
          </rPr>
          <t>-142 RO COVID
171,171 dotace LK na potravinovou pomoc
1,171 dotace na děti při COVID
508,239 dotace na vzdělávání  MŠMT</t>
        </r>
      </text>
    </comment>
    <comment ref="E33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4500 jižní pavilon
</t>
        </r>
      </text>
    </comment>
    <comment ref="AD33" authorId="1" shapeId="0">
      <text>
        <r>
          <rPr>
            <b/>
            <sz val="9"/>
            <color indexed="81"/>
            <rFont val="Tahoma"/>
            <charset val="1"/>
          </rPr>
          <t>Kynčlová Miroslava, Ing.:</t>
        </r>
        <r>
          <rPr>
            <sz val="9"/>
            <color indexed="81"/>
            <rFont val="Tahoma"/>
            <charset val="1"/>
          </rPr>
          <t xml:space="preserve">
5200 I. Etapa MŠ Zámecká
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3200 1. etapa opravy střechy čp.101,103
100 ostatní</t>
        </r>
      </text>
    </comment>
    <comment ref="AD34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2260 oprava střechy čp. 101,103
250 PD Sevastopol
1000 Sevastopol I. etapa
140 ostatní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661 ZŠ I
462 ZŠ II</t>
        </r>
      </text>
    </comment>
    <comment ref="AD36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661 ZŠ I
540 ZŠ II</t>
        </r>
      </text>
    </comment>
    <comment ref="AH36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661 ZŠ I
540 ZŠ II</t>
        </r>
      </text>
    </comment>
    <comment ref="I38" authorId="1" shapeId="0">
      <text>
        <r>
          <rPr>
            <sz val="9"/>
            <color indexed="81"/>
            <rFont val="Tahoma"/>
            <family val="2"/>
            <charset val="238"/>
          </rPr>
          <t xml:space="preserve">úprava položek projektu
</t>
        </r>
      </text>
    </comment>
    <comment ref="AD38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109 úroky z úvěru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Město Jilemnice:
</t>
        </r>
        <r>
          <rPr>
            <sz val="9"/>
            <color indexed="81"/>
            <rFont val="Tahoma"/>
            <family val="2"/>
            <charset val="238"/>
          </rPr>
          <t>211 provoz
40 DHIM židle
80 služby akce knihovny
1404 mzdy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80 programové vybavení TRITIUS </t>
        </r>
      </text>
    </comment>
    <comment ref="H45" authorId="1" shapeId="0">
      <text>
        <r>
          <rPr>
            <sz val="9"/>
            <color indexed="81"/>
            <rFont val="Tahoma"/>
            <family val="2"/>
            <charset val="238"/>
          </rPr>
          <t xml:space="preserve">14 Dotace na pořízení prog. Vybavení
-61 RO COVID
</t>
        </r>
      </text>
    </comment>
    <comment ref="AD45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342 provoz 
1376 mzdy</t>
        </r>
      </text>
    </comment>
    <comment ref="H50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299,991 dotace LK na střechu ZŠ I</t>
        </r>
      </text>
    </comment>
    <comment ref="H53" authorId="1" shapeId="0">
      <text>
        <r>
          <rPr>
            <sz val="9"/>
            <color indexed="81"/>
            <rFont val="Tahoma"/>
            <family val="2"/>
            <charset val="238"/>
          </rPr>
          <t>21,47169 dotace na projekt Alternativa bez hranic
-100 RO COVID
38 dotace LK na jilemnické kulturní léto
21,17657 dotace na projekt alternativa bez hranic</t>
        </r>
      </text>
    </comment>
    <comment ref="AE58" authorId="1" shapeId="0">
      <text>
        <r>
          <rPr>
            <b/>
            <sz val="9"/>
            <color indexed="81"/>
            <rFont val="Tahoma"/>
            <charset val="1"/>
          </rPr>
          <t>Kynčlová Miroslava, Ing.:</t>
        </r>
        <r>
          <rPr>
            <sz val="9"/>
            <color indexed="81"/>
            <rFont val="Tahoma"/>
            <charset val="1"/>
          </rPr>
          <t xml:space="preserve">
7500 reko malý bazén
1550 hřiště s umělým povrchem
</t>
        </r>
      </text>
    </comment>
    <comment ref="E60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172 energie
73 služby</t>
        </r>
      </text>
    </comment>
    <comment ref="E62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50 OK Jilemmnice - MS O-B
45 Klub biatlonu - MS O-B
20 Klub biatlonu - ČP v biatlonu
50 SKI Jilemnická 50
30 SKI Hančův memoriál
</t>
        </r>
      </text>
    </comment>
    <comment ref="AD62" authorId="1" shapeId="0">
      <text>
        <r>
          <rPr>
            <sz val="9"/>
            <color indexed="81"/>
            <rFont val="Tahoma"/>
            <family val="2"/>
            <charset val="238"/>
          </rPr>
          <t xml:space="preserve">20 letní pohár v biatlonu
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221 právnické služby
130 ocenění akcií</t>
        </r>
      </text>
    </comment>
    <comment ref="AD65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130 ocenění akcií
</t>
        </r>
      </text>
    </comment>
    <comment ref="E6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Město Jilemnice:
</t>
        </r>
        <r>
          <rPr>
            <sz val="9"/>
            <color indexed="81"/>
            <rFont val="Tahoma"/>
            <family val="2"/>
            <charset val="238"/>
          </rPr>
          <t>včetně výměny oken čp. 381/2 2200 tis. a čp. 41 2200 tis.
saldo 517</t>
        </r>
      </text>
    </comment>
    <comment ref="E73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243 úroky
146 en. magagement</t>
        </r>
      </text>
    </comment>
    <comment ref="AD73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207 úroky
146 en. Management
62 softwear Porsena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saldo 450
</t>
        </r>
      </text>
    </comment>
    <comment ref="H78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-164 RO COVID
240 RO 16/2020</t>
        </r>
      </text>
    </comment>
    <comment ref="F80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50 přístřešek na kontejnery</t>
        </r>
      </text>
    </comment>
    <comment ref="E83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450 střecha čp.70
200 komín čp. 70
20 ostatní
130 čp. 70 ostatní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83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+400 RO č.12/2020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315 mzdy</t>
        </r>
      </text>
    </comment>
    <comment ref="AD85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61 provoz
308 mzdy</t>
        </r>
      </text>
    </comment>
    <comment ref="AH85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61 provoz
308 mzdy</t>
        </r>
      </text>
    </comment>
    <comment ref="E87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36 org. 319 (restaurace pod radnicí)
91 org. 21 (DC, KRNAP, Kiosek)</t>
        </r>
      </text>
    </comment>
    <comment ref="Y87" authorId="1" shapeId="0">
      <text>
        <r>
          <rPr>
            <b/>
            <sz val="9"/>
            <color indexed="81"/>
            <rFont val="Tahoma"/>
            <charset val="1"/>
          </rPr>
          <t>Kynčlová Miroslava, Ing.:</t>
        </r>
        <r>
          <rPr>
            <sz val="9"/>
            <color indexed="81"/>
            <rFont val="Tahoma"/>
            <charset val="1"/>
          </rPr>
          <t xml:space="preserve">
11,99496 org. 319</t>
        </r>
      </text>
    </comment>
    <comment ref="AD87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36 org. 319 (restaurace pod radnicí)
91 org. 21 (DC, KRNAP, Kiosek)</t>
        </r>
      </text>
    </comment>
    <comment ref="H89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300 RO č.14/2020</t>
        </r>
      </text>
    </comment>
    <comment ref="AD89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455 navýšení - systém door to door</t>
        </r>
      </text>
    </comment>
    <comment ref="AD90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541 provoz kompostárny
135 obnova majetku
259 doplatek za rok 2020</t>
        </r>
      </text>
    </comment>
    <comment ref="AE90" authorId="1" shapeId="0">
      <text>
        <r>
          <rPr>
            <b/>
            <sz val="9"/>
            <color indexed="81"/>
            <rFont val="Tahoma"/>
            <charset val="1"/>
          </rPr>
          <t>Kynčlová Miroslava, Ing.:</t>
        </r>
        <r>
          <rPr>
            <sz val="9"/>
            <color indexed="81"/>
            <rFont val="Tahoma"/>
            <charset val="1"/>
          </rPr>
          <t xml:space="preserve">
177 příspěvek na projekt "Door to door"
</t>
        </r>
      </text>
    </comment>
    <comment ref="AH90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565 provoz kompostárny
135 obnova majetku
65 příspěvek na projekt Door to door</t>
        </r>
      </text>
    </comment>
    <comment ref="E94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2364 mzdy
</t>
        </r>
      </text>
    </comment>
    <comment ref="AD94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2316 mzdy
-200 snížení o strom na náměstí (již hotov)</t>
        </r>
      </text>
    </comment>
    <comment ref="AH94" authorId="1" shapeId="0">
      <text>
        <r>
          <rPr>
            <sz val="9"/>
            <color indexed="81"/>
            <rFont val="Tahoma"/>
            <family val="2"/>
            <charset val="238"/>
          </rPr>
          <t xml:space="preserve">z toho 554 obnova výsadeb kruhový objezd u drogerie
2316 mzdy
</t>
        </r>
      </text>
    </comment>
    <comment ref="H95" authorId="1" shapeId="0">
      <text>
        <r>
          <rPr>
            <sz val="9"/>
            <color indexed="81"/>
            <rFont val="Tahoma"/>
            <family val="2"/>
            <charset val="238"/>
          </rPr>
          <t>83,129 dotace SFŽP na výsadbu stromů
-45 RO COVID</t>
        </r>
      </text>
    </comment>
    <comment ref="E96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650 demolice
140 studie prostoru pod domkem</t>
        </r>
      </text>
    </comment>
    <comment ref="AD96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36 doplatek studie
100 PD ohradní zeď
14 ostatní</t>
        </r>
      </text>
    </comment>
    <comment ref="E102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mzdy 5447</t>
        </r>
      </text>
    </comment>
    <comment ref="H102" authorId="1" shapeId="0">
      <text>
        <r>
          <rPr>
            <sz val="9"/>
            <color indexed="81"/>
            <rFont val="Tahoma"/>
            <family val="2"/>
            <charset val="238"/>
          </rPr>
          <t>233,428 dotace MPSV na odměny COVID
-166 RO COVID
37 dotace MPSV na ochranné pomůcky</t>
        </r>
      </text>
    </comment>
    <comment ref="AD102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5447 mzdy
594 provoz</t>
        </r>
      </text>
    </comment>
    <comment ref="H103" authorId="1" shapeId="0">
      <text>
        <r>
          <rPr>
            <sz val="9"/>
            <color indexed="81"/>
            <rFont val="Tahoma"/>
            <family val="2"/>
            <charset val="238"/>
          </rPr>
          <t xml:space="preserve">579 dotace MPSV COVID
</t>
        </r>
      </text>
    </comment>
    <comment ref="H105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RO ZM č. 1/2020
RO 3/2020 dar od nadace ČEZ
42,060 dotace LK 
</t>
        </r>
      </text>
    </comment>
    <comment ref="AD105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138 § 5272
100 §5213</t>
        </r>
      </text>
    </comment>
    <comment ref="AH105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138 § 5272
100 §5213</t>
        </r>
      </text>
    </comment>
    <comment ref="E107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2011 mzdy</t>
        </r>
      </text>
    </comment>
    <comment ref="I107" authorId="1" shapeId="0">
      <text>
        <r>
          <rPr>
            <sz val="9"/>
            <color indexed="81"/>
            <rFont val="Tahoma"/>
            <family val="2"/>
            <charset val="238"/>
          </rPr>
          <t xml:space="preserve">úprava položek kamerový systém
</t>
        </r>
      </text>
    </comment>
    <comment ref="F108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150 nová vstupní brána do objektu</t>
        </r>
      </text>
    </comment>
    <comment ref="H108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150 dotace MVČR
-43 RO COVID-30,47817 dotace LK
42,963 dotace z MV ČR</t>
        </r>
      </text>
    </comment>
    <comment ref="AD108" authorId="1" shapeId="0">
      <text>
        <r>
          <rPr>
            <b/>
            <sz val="9"/>
            <color indexed="81"/>
            <rFont val="Tahoma"/>
            <charset val="1"/>
          </rPr>
          <t>Kynčlová Miroslava, Ing.:</t>
        </r>
        <r>
          <rPr>
            <sz val="9"/>
            <color indexed="81"/>
            <rFont val="Tahoma"/>
            <charset val="1"/>
          </rPr>
          <t xml:space="preserve">
50 reko soc. zařízení</t>
        </r>
      </text>
    </comment>
    <comment ref="H115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44 RO
-100 RO č.12/2020</t>
        </r>
      </text>
    </comment>
    <comment ref="AD118" authorId="1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54 za podání žaloby Nálevková</t>
        </r>
      </text>
    </comment>
    <comment ref="AD123" authorId="1" shapeId="0">
      <text>
        <r>
          <rPr>
            <b/>
            <sz val="9"/>
            <color indexed="81"/>
            <rFont val="Tahoma"/>
            <charset val="1"/>
          </rPr>
          <t>Kynčlová Miroslava, Ing.:</t>
        </r>
        <r>
          <rPr>
            <sz val="9"/>
            <color indexed="81"/>
            <rFont val="Tahoma"/>
            <charset val="1"/>
          </rPr>
          <t xml:space="preserve">
1098 na odvod z projektu zateplení 2010
</t>
        </r>
      </text>
    </comment>
  </commentList>
</comments>
</file>

<file path=xl/comments4.xml><?xml version="1.0" encoding="utf-8"?>
<comments xmlns="http://schemas.openxmlformats.org/spreadsheetml/2006/main">
  <authors>
    <author>Město Jilemnice</author>
    <author>Kynčlová Miroslava, Ing.</author>
  </authors>
  <commentList>
    <comment ref="J6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prodej pozemků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7763 výkup r. 2015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7998 podíl VHS
</t>
        </r>
      </text>
    </comment>
    <comment ref="J10" authorId="1" shapeId="0">
      <text>
        <r>
          <rPr>
            <b/>
            <sz val="9"/>
            <color indexed="81"/>
            <rFont val="Tahoma"/>
            <charset val="1"/>
          </rPr>
          <t xml:space="preserve">Kynčlová Miroslava, Ing.:
847 náhrada v roce 2019
</t>
        </r>
        <r>
          <rPr>
            <sz val="9"/>
            <color indexed="81"/>
            <rFont val="Tahoma"/>
            <charset val="1"/>
          </rPr>
          <t xml:space="preserve">
1053 náhrada v roce 2020</t>
        </r>
      </text>
    </comment>
    <comment ref="Q10" authorId="0" shapeId="0">
      <text>
        <r>
          <rPr>
            <b/>
            <sz val="9"/>
            <color indexed="81"/>
            <rFont val="Tahoma"/>
            <charset val="1"/>
          </rPr>
          <t>Město Jilemnice:</t>
        </r>
        <r>
          <rPr>
            <sz val="9"/>
            <color indexed="81"/>
            <rFont val="Tahoma"/>
            <charset val="1"/>
          </rPr>
          <t xml:space="preserve">
bez služeb en. Magagementu
</t>
        </r>
      </text>
    </comment>
    <comment ref="R10" authorId="0" shapeId="0">
      <text>
        <r>
          <rPr>
            <b/>
            <sz val="9"/>
            <color indexed="81"/>
            <rFont val="Tahoma"/>
            <charset val="1"/>
          </rPr>
          <t>Město Jilemnice:</t>
        </r>
        <r>
          <rPr>
            <sz val="9"/>
            <color indexed="81"/>
            <rFont val="Tahoma"/>
            <charset val="1"/>
          </rPr>
          <t xml:space="preserve">
bez služeb en. Magagementu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46000 podíl LK
7500 chodníky a VO město
5500 kruhový objezd město
4687 dotace VHS kanalizace a voda
1800 projekce
4000 dešť. kanalizace a retenční nádrž
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podíl Lib. kraje</t>
        </r>
      </text>
    </comment>
    <comment ref="N21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3000 VHS kanalizace
</t>
        </r>
      </text>
    </comment>
    <comment ref="O21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1687 doplatek VHS  vodovod
220 projekce</t>
        </r>
      </text>
    </comment>
    <comment ref="G22" authorId="0" shapeId="0">
      <text>
        <r>
          <rPr>
            <b/>
            <sz val="9"/>
            <color indexed="81"/>
            <rFont val="Tahoma"/>
            <charset val="1"/>
          </rPr>
          <t>Město Jilemnice:</t>
        </r>
        <r>
          <rPr>
            <sz val="9"/>
            <color indexed="81"/>
            <rFont val="Tahoma"/>
            <charset val="1"/>
          </rPr>
          <t xml:space="preserve">
744 kanalizační přípojka</t>
        </r>
      </text>
    </comment>
  </commentList>
</comments>
</file>

<file path=xl/sharedStrings.xml><?xml version="1.0" encoding="utf-8"?>
<sst xmlns="http://schemas.openxmlformats.org/spreadsheetml/2006/main" count="897" uniqueCount="574">
  <si>
    <t xml:space="preserve">                                 </t>
  </si>
  <si>
    <t xml:space="preserve">                           </t>
  </si>
  <si>
    <t>Rozpočet</t>
  </si>
  <si>
    <t>změna</t>
  </si>
  <si>
    <t>%</t>
  </si>
  <si>
    <t>Plnění</t>
  </si>
  <si>
    <t>k rozpočtu</t>
  </si>
  <si>
    <t>Třída 1 - Daňové příjmy</t>
  </si>
  <si>
    <t>Třída 2 - Nedaňové příjmy</t>
  </si>
  <si>
    <t>Třída 3 - Kapitálové příjmy</t>
  </si>
  <si>
    <t>Třída 4 - Přijaté dotace</t>
  </si>
  <si>
    <t>Příjmy celkem</t>
  </si>
  <si>
    <t>Třída 5 - Běžné výdaje</t>
  </si>
  <si>
    <t>Třída 6 - Kapitálové výdaje</t>
  </si>
  <si>
    <t>Výdaje celkem</t>
  </si>
  <si>
    <t>Saldo: Příjmy - výdaje</t>
  </si>
  <si>
    <t>pol.</t>
  </si>
  <si>
    <t>Třída 8 - financování</t>
  </si>
  <si>
    <t>Celkem financování</t>
  </si>
  <si>
    <t>poznámka</t>
  </si>
  <si>
    <t>polož.</t>
  </si>
  <si>
    <t>§</t>
  </si>
  <si>
    <t>org.</t>
  </si>
  <si>
    <t>název</t>
  </si>
  <si>
    <t>1a) BĚŽNÉ</t>
  </si>
  <si>
    <t>DAŇOVÉ  - TŘÍDA  1</t>
  </si>
  <si>
    <t>11-daně z příjmů, zisku a kap. výnosů</t>
  </si>
  <si>
    <t>z toho:</t>
  </si>
  <si>
    <t>13-poplatky a daně z vybraných činností</t>
  </si>
  <si>
    <t>Matriční poplatky</t>
  </si>
  <si>
    <t>Živnostenské listy</t>
  </si>
  <si>
    <t>Hrací automaty</t>
  </si>
  <si>
    <t>15-majetkové daně</t>
  </si>
  <si>
    <t>bez</t>
  </si>
  <si>
    <t>Daňové příjmy celkem:</t>
  </si>
  <si>
    <t>NEDAŇOVÉ - TŘÍDA 2</t>
  </si>
  <si>
    <t>21-příjmy z vlastní činnosti</t>
  </si>
  <si>
    <t>Prodej zpravodaje</t>
  </si>
  <si>
    <t>Pohřebnictví</t>
  </si>
  <si>
    <t>Pečovatelská služba</t>
  </si>
  <si>
    <t>Příjmy z reklam ( zpravodaj, rozhlas)</t>
  </si>
  <si>
    <t>Nájemné:</t>
  </si>
  <si>
    <t>BH - Nájemné nebyt. prost.</t>
  </si>
  <si>
    <t>Nájemné Zásobování teplem s.r.o.</t>
  </si>
  <si>
    <t>Pokuty městská policie</t>
  </si>
  <si>
    <t>Nedaňové příjmy celkem:</t>
  </si>
  <si>
    <t>TŘÍDA  3</t>
  </si>
  <si>
    <t>31-příjmy z prodeje investičního majetku</t>
  </si>
  <si>
    <t>Kapitálové příjmy celkem:</t>
  </si>
  <si>
    <t xml:space="preserve">2)PŘIJATÉ DOTACE </t>
  </si>
  <si>
    <t>TŘÍDA  4</t>
  </si>
  <si>
    <t>2a) Běžné</t>
  </si>
  <si>
    <t>2b) Kapitálové</t>
  </si>
  <si>
    <t>Přijaté dotace celkem:</t>
  </si>
  <si>
    <t>Rekapitulace příjmů:</t>
  </si>
  <si>
    <t>Tř. 1 - Daňové příjmy</t>
  </si>
  <si>
    <t>Tř. 2. - Nedaňové příjmy</t>
  </si>
  <si>
    <t>Ze tř. 4 - Dotace běžné</t>
  </si>
  <si>
    <t>Vlastní příjmy celkem</t>
  </si>
  <si>
    <t>Tř. 3 - Kapitálové příjmy</t>
  </si>
  <si>
    <t>Ze tř. 4. - Dotace kapitálové</t>
  </si>
  <si>
    <t>Celkem příjmy</t>
  </si>
  <si>
    <t>sk</t>
  </si>
  <si>
    <t>Popis paragrafu</t>
  </si>
  <si>
    <t>běžné</t>
  </si>
  <si>
    <t>kap.</t>
  </si>
  <si>
    <t>celkem</t>
  </si>
  <si>
    <t>Zeměděl. a lesní hospodářství</t>
  </si>
  <si>
    <t>Morávková</t>
  </si>
  <si>
    <t>Faistauer</t>
  </si>
  <si>
    <t>Doprava,vodovody,kanalizace</t>
  </si>
  <si>
    <t>Kynčlová</t>
  </si>
  <si>
    <t>Kultura, církve a sdělovací  prostř.</t>
  </si>
  <si>
    <t>Vydávání zpravodaje</t>
  </si>
  <si>
    <t>Tělovýchova a zájmová činnost</t>
  </si>
  <si>
    <t>Bydlení, komunální služby a územní rozvoj</t>
  </si>
  <si>
    <t>Bytové hospodářství</t>
  </si>
  <si>
    <t>Veřejné osvětlení- provoz ,opravy</t>
  </si>
  <si>
    <t>Sběr a svoz komun. odpadů</t>
  </si>
  <si>
    <t>Péče o vzhled obcí a veřejnou zeleň</t>
  </si>
  <si>
    <t>Sociální péče</t>
  </si>
  <si>
    <t xml:space="preserve">Obecní policie </t>
  </si>
  <si>
    <t>Státní správa, územní samospráva</t>
  </si>
  <si>
    <t>Místní zastupitelské orgány</t>
  </si>
  <si>
    <t>63,64</t>
  </si>
  <si>
    <t>Finanční operace, ostatní činnosti</t>
  </si>
  <si>
    <t>Daň z příjmu práv. osob za obce</t>
  </si>
  <si>
    <t>Celkem výdaje</t>
  </si>
  <si>
    <t>kontrola</t>
  </si>
  <si>
    <t>Příjmy z úroků a fin. majetku</t>
  </si>
  <si>
    <t>rozdíl</t>
  </si>
  <si>
    <t>Výkup pozemků</t>
  </si>
  <si>
    <t>Příjem z veřejných WC</t>
  </si>
  <si>
    <t>rozpočet</t>
  </si>
  <si>
    <t>Lesní hospodářství</t>
  </si>
  <si>
    <t>Opravy pronajímaných nebyt. prostor</t>
  </si>
  <si>
    <t>Projekty do 60000,-/ nad 60000</t>
  </si>
  <si>
    <t xml:space="preserve">Činnost místní správy </t>
  </si>
  <si>
    <t>Upravený</t>
  </si>
  <si>
    <t>Upr. rozp.</t>
  </si>
  <si>
    <t>Upravený rozpočet</t>
  </si>
  <si>
    <t>Ost. poplatky</t>
  </si>
  <si>
    <t xml:space="preserve">SPOZ </t>
  </si>
  <si>
    <t>Popl. za komunální odpad</t>
  </si>
  <si>
    <t>Bezpečnost, požár. ochrana</t>
  </si>
  <si>
    <t>k sestavení rozpočtu</t>
  </si>
  <si>
    <t>Poplatek ze psů</t>
  </si>
  <si>
    <t>Popl. za užívání veřejného prostranství</t>
  </si>
  <si>
    <t>DPFO - závislá činnost</t>
  </si>
  <si>
    <t xml:space="preserve">DPH </t>
  </si>
  <si>
    <t>DPFO - srážková daň</t>
  </si>
  <si>
    <t>DP - právnických osob</t>
  </si>
  <si>
    <t>DP práv. osob za obce</t>
  </si>
  <si>
    <t>daň sdílená</t>
  </si>
  <si>
    <t>Zdravotnictví</t>
  </si>
  <si>
    <t>Životní prostředí</t>
  </si>
  <si>
    <t xml:space="preserve">Knihovna </t>
  </si>
  <si>
    <t>Šnorbert</t>
  </si>
  <si>
    <t xml:space="preserve">Dopravní obslužnost </t>
  </si>
  <si>
    <t>Kompenzace za tříděný odpad</t>
  </si>
  <si>
    <t>index</t>
  </si>
  <si>
    <t>Provoz parkoviště , park. automaty</t>
  </si>
  <si>
    <t>DPFO-závisl. činnost 1,5% podíl</t>
  </si>
  <si>
    <t>Opravy, údržba komunikací</t>
  </si>
  <si>
    <t>Byty -  opravy z nájemného</t>
  </si>
  <si>
    <t>Byty - platby za služby</t>
  </si>
  <si>
    <t>Nebytové pr. - opravy</t>
  </si>
  <si>
    <t>Nebytové pr. - služby</t>
  </si>
  <si>
    <t>Zvelebilová</t>
  </si>
  <si>
    <t>Změna</t>
  </si>
  <si>
    <t>požadavek/</t>
  </si>
  <si>
    <t>Přebytek ( - ),   ztráta  (+)</t>
  </si>
  <si>
    <t>24- přijaté splátky půjček</t>
  </si>
  <si>
    <t>23-příjmy z prodeje majetku a ost.nedaňové příjmy</t>
  </si>
  <si>
    <t xml:space="preserve">22-přijaté sankční platby </t>
  </si>
  <si>
    <t>Pasy, obč. průkazy</t>
  </si>
  <si>
    <t xml:space="preserve">Pokuty dopravní </t>
  </si>
  <si>
    <t>Pokuty životní prostředí</t>
  </si>
  <si>
    <t>3,4,6,8,9</t>
  </si>
  <si>
    <t>Pokuty živnost.úřad</t>
  </si>
  <si>
    <t>Krizové řízení, ochrana obyvatelstva</t>
  </si>
  <si>
    <t>uz</t>
  </si>
  <si>
    <t>Zachov. a obn.kult. památek města</t>
  </si>
  <si>
    <t>Rezerva rozpočtová</t>
  </si>
  <si>
    <t>BH - Nájemné byt. prostory vč. penále</t>
  </si>
  <si>
    <t xml:space="preserve">Pečovatelská služba </t>
  </si>
  <si>
    <t>Příjmy - výdaje = - financování</t>
  </si>
  <si>
    <t>Příjmy z poskytování služeb a výrobků</t>
  </si>
  <si>
    <t>Správní poplatky</t>
  </si>
  <si>
    <t xml:space="preserve">Místní poplatky </t>
  </si>
  <si>
    <t>1b) KAPITÁLOVÉ -</t>
  </si>
  <si>
    <t>rozpočtu</t>
  </si>
  <si>
    <t>správce</t>
  </si>
  <si>
    <t>Provoz veř. WC</t>
  </si>
  <si>
    <t>daň vlastní</t>
  </si>
  <si>
    <t>operace</t>
  </si>
  <si>
    <t>Zelinka</t>
  </si>
  <si>
    <t>Augustin</t>
  </si>
  <si>
    <t>Cerman</t>
  </si>
  <si>
    <t>Platby do svazků obcí, sdružení</t>
  </si>
  <si>
    <t>příkazce</t>
  </si>
  <si>
    <t>Pokuty stavební úřad</t>
  </si>
  <si>
    <t>Stavební poplatky</t>
  </si>
  <si>
    <t>Propagace města, výročí, zahr.spolupráce</t>
  </si>
  <si>
    <t>Životní prostředí poplatky</t>
  </si>
  <si>
    <t>Zvl. užívání místních komun.</t>
  </si>
  <si>
    <t>Dopravní poplatky</t>
  </si>
  <si>
    <t>Areál služeb</t>
  </si>
  <si>
    <t>Městská knihovna</t>
  </si>
  <si>
    <t>Parkovné</t>
  </si>
  <si>
    <t>Nájemné z ost. nemovitostí</t>
  </si>
  <si>
    <t>Daň z nemovitostí</t>
  </si>
  <si>
    <t>BH - služby byt. prostory</t>
  </si>
  <si>
    <t>BH - služby nebyt. prostory</t>
  </si>
  <si>
    <t>Kopírování, ost příjmy správy</t>
  </si>
  <si>
    <t>Příjmy z úroků - akce Roztocká</t>
  </si>
  <si>
    <t>Prodej pozemků</t>
  </si>
  <si>
    <t>Prodej nemovitostí - bytů,domů</t>
  </si>
  <si>
    <t>Inv. příspěvky 32b.j.</t>
  </si>
  <si>
    <t xml:space="preserve">Souhrnná neinvestiční dotace </t>
  </si>
  <si>
    <t>dle rozpisu položek v tabulce správa</t>
  </si>
  <si>
    <t>k datu</t>
  </si>
  <si>
    <t>3769,6171</t>
  </si>
  <si>
    <t>Veřejnopr. smlouvy policie</t>
  </si>
  <si>
    <t xml:space="preserve">Komunální služby </t>
  </si>
  <si>
    <t>Nájemné z pozemků</t>
  </si>
  <si>
    <t xml:space="preserve">Areál služeb </t>
  </si>
  <si>
    <t>Rozdíl</t>
  </si>
  <si>
    <t>Pěstební činnost v lesnictví</t>
  </si>
  <si>
    <t xml:space="preserve">Požární ochrana </t>
  </si>
  <si>
    <t>Pojistění majetku města</t>
  </si>
  <si>
    <t>stejná v příjmech</t>
  </si>
  <si>
    <t>13,14,19,27</t>
  </si>
  <si>
    <t>Zkoušky OZ řidičské průkazy</t>
  </si>
  <si>
    <t>DPFO - přiznání - sdílená část</t>
  </si>
  <si>
    <r>
      <t>F</t>
    </r>
    <r>
      <rPr>
        <sz val="8"/>
        <rFont val="Times New Roman"/>
        <family val="1"/>
        <charset val="238"/>
      </rPr>
      <t>ű</t>
    </r>
    <r>
      <rPr>
        <sz val="8"/>
        <rFont val="Arial CE"/>
        <family val="2"/>
        <charset val="238"/>
      </rPr>
      <t>ri</t>
    </r>
  </si>
  <si>
    <r>
      <t>M</t>
    </r>
    <r>
      <rPr>
        <sz val="8"/>
        <rFont val="Times New Roman"/>
        <family val="1"/>
        <charset val="238"/>
      </rPr>
      <t>ű</t>
    </r>
    <r>
      <rPr>
        <sz val="8"/>
        <rFont val="Arial CE"/>
        <family val="2"/>
        <charset val="238"/>
      </rPr>
      <t>llerová</t>
    </r>
  </si>
  <si>
    <t>Műllerová</t>
  </si>
  <si>
    <t>Opravy budov škol</t>
  </si>
  <si>
    <t>Výdaje,daň za prodej majetku</t>
  </si>
  <si>
    <t>Mečíř</t>
  </si>
  <si>
    <t>Bedrníková</t>
  </si>
  <si>
    <t>Územní plánování</t>
  </si>
  <si>
    <t xml:space="preserve">Ost. sociální péče </t>
  </si>
  <si>
    <t>MŠ Jilemnice - příspěvek na provoz</t>
  </si>
  <si>
    <t>ZŠ Komenského- příspěvek na provoz</t>
  </si>
  <si>
    <t>ZŠ Harracha- příspěvek na provoz</t>
  </si>
  <si>
    <t>Příjmy</t>
  </si>
  <si>
    <t>Výdaje</t>
  </si>
  <si>
    <t>Plánovaná ztráta/zisk</t>
  </si>
  <si>
    <t>upravený</t>
  </si>
  <si>
    <t>plánované</t>
  </si>
  <si>
    <t>(+ uspoření</t>
  </si>
  <si>
    <t>skutečnost</t>
  </si>
  <si>
    <t>saldo</t>
  </si>
  <si>
    <t>- překročení )</t>
  </si>
  <si>
    <t>celkem příjmy</t>
  </si>
  <si>
    <t>Aareál služeb</t>
  </si>
  <si>
    <t>služby byty</t>
  </si>
  <si>
    <t>nájemné nebyty</t>
  </si>
  <si>
    <t>služby nebyty</t>
  </si>
  <si>
    <t>celkem BH</t>
  </si>
  <si>
    <t>Knihovna</t>
  </si>
  <si>
    <t>příjmy</t>
  </si>
  <si>
    <t>dar</t>
  </si>
  <si>
    <t>Zpravodaj</t>
  </si>
  <si>
    <t>příjmy za prodej</t>
  </si>
  <si>
    <t>příjmy z reklam</t>
  </si>
  <si>
    <t>Komunální odpad</t>
  </si>
  <si>
    <t>poplatek</t>
  </si>
  <si>
    <t>kompenzace za třídění</t>
  </si>
  <si>
    <t>Provoz veřejných WC</t>
  </si>
  <si>
    <t>Czech Point poplatky</t>
  </si>
  <si>
    <t>Příjmy z věcných břemen pozemků</t>
  </si>
  <si>
    <t>Obnova a zachování kult. hodnot</t>
  </si>
  <si>
    <t>Opravy budov MÚ</t>
  </si>
  <si>
    <t>Právní zastoupení města</t>
  </si>
  <si>
    <t>nájemné byty vč. penále</t>
  </si>
  <si>
    <t>Péče o stromovou zeleň</t>
  </si>
  <si>
    <t>Dětské centrum příspěvek na provoz</t>
  </si>
  <si>
    <t>Platba DPH za ekonomické činnosti</t>
  </si>
  <si>
    <t>Pokuty správní odbor, přestupky</t>
  </si>
  <si>
    <t>Odvody příspěvkových organizací</t>
  </si>
  <si>
    <t>Příspěvek na odpisy svěř. majetku MŠ</t>
  </si>
  <si>
    <t>Příspěvek na odpisy svěř. majetku ZŠ</t>
  </si>
  <si>
    <t>Příspěvek na odpisy svěř. majetku ZUŠ</t>
  </si>
  <si>
    <t>Příspěvek na odpisy svěř. majetku SDJ</t>
  </si>
  <si>
    <t>312,orj.10</t>
  </si>
  <si>
    <t>103, orj1,2,3,4,1111</t>
  </si>
  <si>
    <t>Stavebnictví, cestovní ruch, služby</t>
  </si>
  <si>
    <t>Územní rozvoj ( Zdravá města)</t>
  </si>
  <si>
    <t>Veřejnopr. smlouvy správní odbor</t>
  </si>
  <si>
    <t>SD Jilm - příspěvek na provoz</t>
  </si>
  <si>
    <t>Příspěvek na činnost Krkonošského muzea</t>
  </si>
  <si>
    <t xml:space="preserve">poznámka k rozpočtu </t>
  </si>
  <si>
    <t>Provoz informačního centra pro mládež</t>
  </si>
  <si>
    <t xml:space="preserve">Odvody z vybraných činností </t>
  </si>
  <si>
    <t>Příjmy za služby pronajímaných prostor</t>
  </si>
  <si>
    <t>Služby pronajímaných prostor</t>
  </si>
  <si>
    <t>Nájemné restaurace pod radnicí</t>
  </si>
  <si>
    <t>Opravy restaurace pod radnicí</t>
  </si>
  <si>
    <t>Přijaté dary a ost. příjmy</t>
  </si>
  <si>
    <t>560Kč/os/rok</t>
  </si>
  <si>
    <t>Stravovadlo - Scolarest, ZŠ</t>
  </si>
  <si>
    <t>Nájemné PO města</t>
  </si>
  <si>
    <t>Kozáková</t>
  </si>
  <si>
    <t>Nováková</t>
  </si>
  <si>
    <t>Informační systém</t>
  </si>
  <si>
    <t>šetří se</t>
  </si>
  <si>
    <t>3,14,26</t>
  </si>
  <si>
    <t>Příjmy z úroků ( vč. fondů)</t>
  </si>
  <si>
    <t>Kompostárna - provoz (příspěvek svazku)</t>
  </si>
  <si>
    <t>Zámecký park - podium, cesty</t>
  </si>
  <si>
    <t>Jandurová</t>
  </si>
  <si>
    <t xml:space="preserve">akce města u SPOZ </t>
  </si>
  <si>
    <t>Steinerová</t>
  </si>
  <si>
    <t>13011</t>
  </si>
  <si>
    <t>3349</t>
  </si>
  <si>
    <t>Kursové rozdíly</t>
  </si>
  <si>
    <t>z toho 100 tis. nadále propagace</t>
  </si>
  <si>
    <t>vč. akcí města</t>
  </si>
  <si>
    <t>Vinklář</t>
  </si>
  <si>
    <t>dotace MPSV</t>
  </si>
  <si>
    <t>příjmy za služby</t>
  </si>
  <si>
    <t>Vávrová</t>
  </si>
  <si>
    <t>700,701,702</t>
  </si>
  <si>
    <t>Ulice Žižkova - rekonstrukce</t>
  </si>
  <si>
    <t>Dotace na výkon st. správy -  soc. práci</t>
  </si>
  <si>
    <t>Vébrová</t>
  </si>
  <si>
    <t>RM,ZM</t>
  </si>
  <si>
    <t>Vohnická</t>
  </si>
  <si>
    <t>saldo 0</t>
  </si>
  <si>
    <t>700-702</t>
  </si>
  <si>
    <t>Městská policie</t>
  </si>
  <si>
    <t>veř. smlouvy</t>
  </si>
  <si>
    <t>sankční platby</t>
  </si>
  <si>
    <t>Cyklostezka "Za prací" - projekce</t>
  </si>
  <si>
    <t>dle spl. kalendáře</t>
  </si>
  <si>
    <t>Fűri</t>
  </si>
  <si>
    <t>Přijaté náhrady</t>
  </si>
  <si>
    <t>org</t>
  </si>
  <si>
    <t xml:space="preserve">Dotace LK na pečovatelskou službu </t>
  </si>
  <si>
    <t xml:space="preserve">Pokuty ostatní </t>
  </si>
  <si>
    <t>MMN,a.s. - příplatek mimo zákl. kapitál</t>
  </si>
  <si>
    <t>Langová</t>
  </si>
  <si>
    <t>VHS - příspěvky (úroky k úvěru Čistá Jizera)</t>
  </si>
  <si>
    <t>Šolcová</t>
  </si>
  <si>
    <t>Chodník ul. Roztocká - projekce</t>
  </si>
  <si>
    <t>Popl. z ubytovacích kapacit a rekreační pobyt</t>
  </si>
  <si>
    <t>Bulušek</t>
  </si>
  <si>
    <t>Finanční vypořádání z minulých let</t>
  </si>
  <si>
    <t>Dotace na výkon st. správy - soc. právní ochranu dětí</t>
  </si>
  <si>
    <t>Dotace MK ČR na obnovu památek</t>
  </si>
  <si>
    <t>Provoz čp. 259 (staré gymnázium)</t>
  </si>
  <si>
    <t>Prodej pozemků Nouzov</t>
  </si>
  <si>
    <t>Nájemné ZŠ Libereckého kraje</t>
  </si>
  <si>
    <t>Služby ZŠ Libereckého kraje</t>
  </si>
  <si>
    <t>Nájemné budovy čp. 259</t>
  </si>
  <si>
    <t>Služby nájemníků čp. 259</t>
  </si>
  <si>
    <r>
      <t>M</t>
    </r>
    <r>
      <rPr>
        <sz val="9"/>
        <rFont val="Times New Roman"/>
        <family val="1"/>
        <charset val="238"/>
      </rPr>
      <t>ű</t>
    </r>
    <r>
      <rPr>
        <sz val="9"/>
        <rFont val="Arial CE"/>
        <family val="2"/>
        <charset val="238"/>
      </rPr>
      <t>llerová</t>
    </r>
  </si>
  <si>
    <t>Obnova starého hřbitova</t>
  </si>
  <si>
    <t>ZUŠ - příspěvek na provoz, čp. 85</t>
  </si>
  <si>
    <t>dle splátkového kalendáře do r. 2026</t>
  </si>
  <si>
    <t>Sportovní centrum Jilemnice, s.r.o</t>
  </si>
  <si>
    <t>ZŠ Harracha - projekt IROP</t>
  </si>
  <si>
    <t>vyrovnávací platba</t>
  </si>
  <si>
    <t>Nonnerová</t>
  </si>
  <si>
    <t>Lambertová</t>
  </si>
  <si>
    <t>Areál Hraběnka - provoz</t>
  </si>
  <si>
    <t xml:space="preserve">SC,s.r.o -obnova a investice sportovních zařízení </t>
  </si>
  <si>
    <t>Daň z hazardních her</t>
  </si>
  <si>
    <t>ostatní příjmy</t>
  </si>
  <si>
    <t>Splátky úvěrů, dl. závazků</t>
  </si>
  <si>
    <t>13015</t>
  </si>
  <si>
    <t>Služby Hraběnka</t>
  </si>
  <si>
    <t>Grantový program Sport</t>
  </si>
  <si>
    <t>Sociální byty (čp. 70)</t>
  </si>
  <si>
    <t>Plán rozvoje sportu - dotace na akce</t>
  </si>
  <si>
    <t>Přijatá náhrada za neplnění úspor z projektu EPC</t>
  </si>
  <si>
    <t>Rekonstrukce MŠ Zámecká</t>
  </si>
  <si>
    <t>příplatek mimo základní kapitál - částečný přesun</t>
  </si>
  <si>
    <t>Richter</t>
  </si>
  <si>
    <t>Hegrová</t>
  </si>
  <si>
    <t>Příprava území k bytové výstavbě - Nouzov</t>
  </si>
  <si>
    <t>Grantový program Zdravé město</t>
  </si>
  <si>
    <t>Individuální dotace kultura a ost.</t>
  </si>
  <si>
    <t>Individuální dotace tělových. a záj. činnost</t>
  </si>
  <si>
    <t>R 2020</t>
  </si>
  <si>
    <t>Příjmy z úroků -z poskytn. půjček, dividend</t>
  </si>
  <si>
    <t>Rozpočet 2020</t>
  </si>
  <si>
    <t xml:space="preserve">Přijetí  úvěru </t>
  </si>
  <si>
    <t>301, orj. 11</t>
  </si>
  <si>
    <t>Financování soc. služeb v ORP Jilemnice</t>
  </si>
  <si>
    <t>Projekt "MAS Sociání práce v Jilemnici"</t>
  </si>
  <si>
    <t>Veřejnopr. smlouvy soc. služby ORP Jilemnice</t>
  </si>
  <si>
    <t>792 příplatek MZK</t>
  </si>
  <si>
    <t>Veřejnopr. smlouvy pečovatelská služba ORP Jilemnice</t>
  </si>
  <si>
    <t>stejné v příjmech</t>
  </si>
  <si>
    <t>Projekt 4 byty, dotace v r. 2021</t>
  </si>
  <si>
    <t>Popl. z pobytu</t>
  </si>
  <si>
    <t xml:space="preserve">Dotace na projekt Rekonstrukce čp.64 - rozvoj soc. služeb </t>
  </si>
  <si>
    <t>Dotace na projekt "MAS Sociání práce v Jilemnici"</t>
  </si>
  <si>
    <t>včetně ověřování</t>
  </si>
  <si>
    <t>Dotace LK pro zdravá města</t>
  </si>
  <si>
    <t>Obnova retenční nádrže nad školou</t>
  </si>
  <si>
    <t>Spořilov - komunikace a kanalizace</t>
  </si>
  <si>
    <t>smlouva na 3 roky do r. 2023</t>
  </si>
  <si>
    <t>z toho 296 dotace na sportoviště</t>
  </si>
  <si>
    <t>40 dotace Svazku na podvečery</t>
  </si>
  <si>
    <t>Dotace na projekt Rekonstrukce čp.64 - rozvoj soc. služeb - neinv. část</t>
  </si>
  <si>
    <t>Dotace LK na projekt "Cykostezka za prací"</t>
  </si>
  <si>
    <t>Charitní taxi</t>
  </si>
  <si>
    <t>Popl. za znečišť. životního  prostř. a odnětí ZPF</t>
  </si>
  <si>
    <t>včetně pouti a SC</t>
  </si>
  <si>
    <t>Seifertová</t>
  </si>
  <si>
    <t>Nouzov komunikace - rekonstrukce</t>
  </si>
  <si>
    <t>Udržitelná mobilita - projekt</t>
  </si>
  <si>
    <t>ZŠ při dětském centru - přístavba</t>
  </si>
  <si>
    <t>vč. provozu zahr. domku</t>
  </si>
  <si>
    <t>Smuteční síň - studie, projekt</t>
  </si>
  <si>
    <t>Příprava území k bytové výstavbě - Buben</t>
  </si>
  <si>
    <t>projekt 2020-2021</t>
  </si>
  <si>
    <t>přesun z min. let</t>
  </si>
  <si>
    <t>z toho 142 dotace na sportoviště a 1550 hor. stěna</t>
  </si>
  <si>
    <t>Rejlová</t>
  </si>
  <si>
    <t>indiv. dotace</t>
  </si>
  <si>
    <t>Otáhalová</t>
  </si>
  <si>
    <t>Šimková</t>
  </si>
  <si>
    <t>Vzdělávání</t>
  </si>
  <si>
    <t>1.Q.2020</t>
  </si>
  <si>
    <t>2.Q.2020</t>
  </si>
  <si>
    <t>3.Q.2020</t>
  </si>
  <si>
    <t>4.Q.2020</t>
  </si>
  <si>
    <t>Čerpání 1.Q.2020</t>
  </si>
  <si>
    <t>Rozpočet 2021</t>
  </si>
  <si>
    <t>Čerpání 2.Q.2020</t>
  </si>
  <si>
    <t>Čerpání 3.Q.2020</t>
  </si>
  <si>
    <t>Čerpání 4.Q.2020</t>
  </si>
  <si>
    <t>Požadavek 2021</t>
  </si>
  <si>
    <t>rozdíl plnění 2020</t>
  </si>
  <si>
    <t>proti rozpočtu 2020</t>
  </si>
  <si>
    <t>rozp. 2021/</t>
  </si>
  <si>
    <t>rozp.2020</t>
  </si>
  <si>
    <t>Vratka dotace z GP za rok 2019</t>
  </si>
  <si>
    <t>Dotace LK a KHK pro DC na sociální služby</t>
  </si>
  <si>
    <t>Dotace MV ČR pro požární ochranu</t>
  </si>
  <si>
    <t>Použití krizového fondu</t>
  </si>
  <si>
    <t>Použití fondu rezerv a rozvoje</t>
  </si>
  <si>
    <t>Dotace LK - doplatek pro lesní hospodářství</t>
  </si>
  <si>
    <t>Příprava území k bytové výstavbě - Kozinec</t>
  </si>
  <si>
    <t>Kompenzace dopadu RUD</t>
  </si>
  <si>
    <t>Zůstatek z depozitního účtu z r. 2019</t>
  </si>
  <si>
    <t>Dotace pro SDJilm na projekt "Alternativa bez hranic"</t>
  </si>
  <si>
    <t>Dotace z MKČR pro knihovnu</t>
  </si>
  <si>
    <t>Investiční dotace z MKČR pro knihovnu</t>
  </si>
  <si>
    <t>Výstavba rybníka U Polesí</t>
  </si>
  <si>
    <t>Dotace na volby do Senátu a zastupitelstev krajů</t>
  </si>
  <si>
    <t>Volby do Senátu a zastupitelstev krajů</t>
  </si>
  <si>
    <t>Dotace SFŽP na výsadbu stromů</t>
  </si>
  <si>
    <t>Dar od nadace ČEZ na přechod pro chodce</t>
  </si>
  <si>
    <t>Dotace LK pro požární ochranu</t>
  </si>
  <si>
    <t>Dotace z MPSV pro DC (COVID)</t>
  </si>
  <si>
    <t>Dotace z MPSV pro pečovatelskou službu (COVID)</t>
  </si>
  <si>
    <t>Dotace LK pro MŠ - potravinová pomoc</t>
  </si>
  <si>
    <t>upr.rozp 20</t>
  </si>
  <si>
    <t>Rozpočet 21</t>
  </si>
  <si>
    <t>R21/20</t>
  </si>
  <si>
    <t>Dotace na projekt "obnova retenční nádrže nad školou"</t>
  </si>
  <si>
    <t>Projekt OPŽP - realizace do 30.6.2021</t>
  </si>
  <si>
    <t>přesun z r. 2020</t>
  </si>
  <si>
    <t>Dotace na projekt "sociální byty v čp. 70"</t>
  </si>
  <si>
    <t>projektové práce- přesun z r. 2020</t>
  </si>
  <si>
    <t>Přechod ulice Krkonošská</t>
  </si>
  <si>
    <t>podaná žádost o dotaci</t>
  </si>
  <si>
    <t>Projekt Modernizace zařízení pro sběr kom. odpadů</t>
  </si>
  <si>
    <t>projekt OPŽP , dotace 609</t>
  </si>
  <si>
    <t>Most  v ul. J. Weisse</t>
  </si>
  <si>
    <t>Most U Jarmary</t>
  </si>
  <si>
    <t>ukončeno</t>
  </si>
  <si>
    <t>Příjmy místního hospodářství</t>
  </si>
  <si>
    <t>Dotace na ZŠ Harracha - projekt IROP</t>
  </si>
  <si>
    <t>v r. 2021 úroky z úvěru</t>
  </si>
  <si>
    <t>ukončení v r. 2021</t>
  </si>
  <si>
    <t>Příjmy ze služeb školního stravování</t>
  </si>
  <si>
    <t>změna vykazování služeb</t>
  </si>
  <si>
    <t>Dotace na projekt Modernizace zařízení pro sběr kom. odpadů</t>
  </si>
  <si>
    <t>Překladiště odpadů - svazek Jilemnicko</t>
  </si>
  <si>
    <t>inv. příspěvek Jilemnicko - svazek obcí</t>
  </si>
  <si>
    <t>Grantový program COVID</t>
  </si>
  <si>
    <t>MĚSTO JILEMNICE -  Rozpočet 2020 -  Hospodaření 2020  - Rozpočet 2021 -sumář</t>
  </si>
  <si>
    <t>MĚSTO JILEMNICE -  Rozpočet 2020 -  Hospodaření 2020 - Rozpočet 2021 - příjmy</t>
  </si>
  <si>
    <t>MĚSTO JILEMNICE -   Rozpočet 2020 - Hospodaření 2020  - Rozpočet 2021 - výdaje</t>
  </si>
  <si>
    <t>Dotace pro sociální a stavební odbor MÚ</t>
  </si>
  <si>
    <t>Dotace LK na krizové řízení</t>
  </si>
  <si>
    <t>Dotace LK na památky (Výměna krytina ZŠ I)</t>
  </si>
  <si>
    <t>Dotace z MŠMT pro MŠ na vzdělávání</t>
  </si>
  <si>
    <t>Vratka dotace od DC a MŠ - vypořádání za rok 2019</t>
  </si>
  <si>
    <t>Dotace Mze ČR pro lesní hospodářství</t>
  </si>
  <si>
    <t>Cyklostezka Hraběnka - koupaliště</t>
  </si>
  <si>
    <t>Dotace LK pro SDJIlm</t>
  </si>
  <si>
    <t>Dotace LK pro komunitní plánování</t>
  </si>
  <si>
    <t>Projekt komunitní plánování</t>
  </si>
  <si>
    <t>Projekt EPC + en. management</t>
  </si>
  <si>
    <t>4116, 4111</t>
  </si>
  <si>
    <t>Dotace na ZŠ Harracha - projekt IROP neinv.</t>
  </si>
  <si>
    <t xml:space="preserve"> grantový program</t>
  </si>
  <si>
    <t>odpady</t>
  </si>
  <si>
    <t>Doplatek za volby 2020</t>
  </si>
  <si>
    <t xml:space="preserve">částečné prominutí </t>
  </si>
  <si>
    <t>prodej ukončen</t>
  </si>
  <si>
    <t>střecha čp. 103,101, Sevastopol</t>
  </si>
  <si>
    <t>45 SKI - úprava tratí</t>
  </si>
  <si>
    <t>saldo 1950</t>
  </si>
  <si>
    <t>pokračování z min. let</t>
  </si>
  <si>
    <t>saldo 300</t>
  </si>
  <si>
    <t xml:space="preserve">změna ÚP </t>
  </si>
  <si>
    <t>Grant. program ORP</t>
  </si>
  <si>
    <t>vratka dotací z r. 2020</t>
  </si>
  <si>
    <t>k 31.12.2020</t>
  </si>
  <si>
    <t>Příjmy:</t>
  </si>
  <si>
    <t>Sk:</t>
  </si>
  <si>
    <t>Výdaje:</t>
  </si>
  <si>
    <t>Příjmy - výdaje:</t>
  </si>
  <si>
    <t>Financování (vyrovnání rozdílu příjmy - výdaje):</t>
  </si>
  <si>
    <t>Závazné ukazatele rozpočtu na rok 2021 (tis. Kč)</t>
  </si>
  <si>
    <t>NFV na předfinancování projektu "Door to door" Jilemnicku - svazku obcí</t>
  </si>
  <si>
    <t>Zůstatek z roku 2019,2020</t>
  </si>
  <si>
    <r>
      <t xml:space="preserve">Zůstatek z roku 2020 </t>
    </r>
    <r>
      <rPr>
        <sz val="8"/>
        <rFont val="Arial CE"/>
        <charset val="238"/>
      </rPr>
      <t>(po naplnění FRR)</t>
    </r>
  </si>
  <si>
    <t>Okruhy plnění rozpočtu 2020 u vybraných organizací v Jilemnici</t>
  </si>
  <si>
    <t>Realizované, podané či připravované projektové žádosti města Jilemnice</t>
  </si>
  <si>
    <t>Název projektu</t>
  </si>
  <si>
    <t xml:space="preserve">Inv., Nein. </t>
  </si>
  <si>
    <t>Kdo žádá</t>
  </si>
  <si>
    <t xml:space="preserve">Od koho se žádá </t>
  </si>
  <si>
    <t>Stav projednání</t>
  </si>
  <si>
    <t xml:space="preserve"> Předpokládaná výše projektu</t>
  </si>
  <si>
    <t>Předpokládaná  dotace</t>
  </si>
  <si>
    <t>Předpokládaný vlastní podíl</t>
  </si>
  <si>
    <t>Podíl ostatní</t>
  </si>
  <si>
    <t>Realizace v letech</t>
  </si>
  <si>
    <t>Vlastní podíl v letech</t>
  </si>
  <si>
    <t>Poznámka</t>
  </si>
  <si>
    <t>Systém financování</t>
  </si>
  <si>
    <t>Program</t>
  </si>
  <si>
    <t xml:space="preserve"> do r.2015</t>
  </si>
  <si>
    <t>Infrastruktura pro bytovou výstavbu (Nouzov)</t>
  </si>
  <si>
    <t>I</t>
  </si>
  <si>
    <t>město Jilemnice</t>
  </si>
  <si>
    <t>realizace</t>
  </si>
  <si>
    <t>Šn</t>
  </si>
  <si>
    <t>Infrastruktura pro bytovou výstavbu Buben</t>
  </si>
  <si>
    <t>zatím pozastaveno</t>
  </si>
  <si>
    <t>Chodník ulice Roztocká</t>
  </si>
  <si>
    <t>zadání proj. dokumentace</t>
  </si>
  <si>
    <t>2017-…</t>
  </si>
  <si>
    <t>Spořilov- komunikace,kanalizace, vodovod</t>
  </si>
  <si>
    <t>I,N</t>
  </si>
  <si>
    <t>spolupráce s VHS</t>
  </si>
  <si>
    <t xml:space="preserve"> realizace II. etapy</t>
  </si>
  <si>
    <t>2019-2022</t>
  </si>
  <si>
    <t>financování s VHS</t>
  </si>
  <si>
    <t>Projekt EPC</t>
  </si>
  <si>
    <t>realizace, od r. 2018 splácení</t>
  </si>
  <si>
    <t>2018-26</t>
  </si>
  <si>
    <t>zatím není zpětná dotace za odkup eletřiny</t>
  </si>
  <si>
    <t>Šo</t>
  </si>
  <si>
    <t>nákup investice</t>
  </si>
  <si>
    <t>dotace svazku</t>
  </si>
  <si>
    <t>projekt IROP</t>
  </si>
  <si>
    <t>čeká se na dotaci</t>
  </si>
  <si>
    <t>2019-20</t>
  </si>
  <si>
    <t>úvěr 4000 tis.</t>
  </si>
  <si>
    <t>No</t>
  </si>
  <si>
    <t>MMR ČR</t>
  </si>
  <si>
    <t>2019-21</t>
  </si>
  <si>
    <t>Koupaliště - biotop</t>
  </si>
  <si>
    <t>SC, s.r.o</t>
  </si>
  <si>
    <t>soutěž na dodavatele</t>
  </si>
  <si>
    <t>2019-</t>
  </si>
  <si>
    <t>příplatkem MZK SC,s.r.o.</t>
  </si>
  <si>
    <t>Opravy budov škol - střecha čp.101,103</t>
  </si>
  <si>
    <t>N</t>
  </si>
  <si>
    <t>realizace 1. etapy</t>
  </si>
  <si>
    <t>2020-21</t>
  </si>
  <si>
    <t>Au</t>
  </si>
  <si>
    <t>příprava soutěže</t>
  </si>
  <si>
    <t>2019-23</t>
  </si>
  <si>
    <t>projekt OPZ</t>
  </si>
  <si>
    <t>2020-22</t>
  </si>
  <si>
    <t>Ja</t>
  </si>
  <si>
    <t>Celkem</t>
  </si>
  <si>
    <t>Ukončené, či vyřazené  projekty po roce 2020:</t>
  </si>
  <si>
    <t>výše projektu</t>
  </si>
  <si>
    <t>přijatá dotace</t>
  </si>
  <si>
    <t>vl. podíl</t>
  </si>
  <si>
    <t>Žižkova ulice a kruhový objezd - podíl Jilemnice</t>
  </si>
  <si>
    <t>investor LK, Jil. podíl na VO, chodnících</t>
  </si>
  <si>
    <t>2015-19</t>
  </si>
  <si>
    <t>spolupr. s VHS a LK</t>
  </si>
  <si>
    <t xml:space="preserve">Rekonstrukce čp.64 - rozvoj soc. služeb </t>
  </si>
  <si>
    <t>IROP- výzva MAS</t>
  </si>
  <si>
    <t>2017-19</t>
  </si>
  <si>
    <t>R</t>
  </si>
  <si>
    <t>Určeno k vyvěšení a projednání v ZM dne 24. 2. 2021</t>
  </si>
  <si>
    <t>Návrh rozpočtu na rok 2021 projednán a doporučen RM dne 3. 2. 2021 pod č. usn.: pod č. usn.: 8/21</t>
  </si>
  <si>
    <t>Návrh rozpočtu na rok 2021 projednán a doporučen FV dne 1. 2. 2021</t>
  </si>
  <si>
    <t>Návrh rozpočtu na rok  2021 projednán a doporučen ve vedení města 22. 1. 2021</t>
  </si>
  <si>
    <t>V elektronické podobě vyvěšeno od 8. 2. 2021</t>
  </si>
  <si>
    <t>Ing. Miroslava Kynčlová</t>
  </si>
  <si>
    <t>vedoucí finančního odboru</t>
  </si>
  <si>
    <t>Rezerva zateplení -odvod 2010</t>
  </si>
  <si>
    <t>Informace k 31.12.2020</t>
  </si>
  <si>
    <t>V Jilemnici 4. 2. 2021</t>
  </si>
  <si>
    <t>dotace spolku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</si>
</sst>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#,##0.0"/>
    <numFmt numFmtId="165" formatCode="0.0"/>
    <numFmt numFmtId="166" formatCode="#,##0.0000000"/>
    <numFmt numFmtId="167" formatCode="#,##0.000000"/>
    <numFmt numFmtId="168" formatCode="#,##0.00000"/>
    <numFmt numFmtId="169" formatCode="#,##0.000"/>
    <numFmt numFmtId="170" formatCode="#,##0_ ;[Red]\-#,##0\ "/>
    <numFmt numFmtId="171" formatCode="d/m/yy;@"/>
    <numFmt numFmtId="172" formatCode="#,##0.0000"/>
    <numFmt numFmtId="173" formatCode="#,##0.0_ ;[Red]\-#,##0.0\ "/>
    <numFmt numFmtId="174" formatCode="#,##0.00_ ;[Red]\-#,##0.00\ "/>
  </numFmts>
  <fonts count="36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8"/>
      <color indexed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2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8"/>
      <color indexed="81"/>
      <name val="Tahoma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sz val="10"/>
      <color indexed="81"/>
      <name val="Tahoma"/>
      <family val="2"/>
      <charset val="238"/>
    </font>
    <font>
      <b/>
      <sz val="8"/>
      <color indexed="8"/>
      <name val="Arial CE"/>
      <charset val="238"/>
    </font>
    <font>
      <sz val="8"/>
      <color indexed="8"/>
      <name val="Arial CE"/>
      <charset val="238"/>
    </font>
    <font>
      <sz val="8"/>
      <name val="Times New Roman"/>
      <family val="1"/>
      <charset val="238"/>
    </font>
    <font>
      <sz val="8"/>
      <color indexed="10"/>
      <name val="Arial CE"/>
      <family val="2"/>
      <charset val="238"/>
    </font>
    <font>
      <b/>
      <sz val="8"/>
      <color indexed="10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"/>
      <name val="Arial CE"/>
      <charset val="238"/>
    </font>
    <font>
      <sz val="10"/>
      <name val="Arial"/>
      <family val="2"/>
      <charset val="238"/>
    </font>
    <font>
      <sz val="7"/>
      <color indexed="8"/>
      <name val="Arial CE"/>
      <family val="2"/>
      <charset val="238"/>
    </font>
    <font>
      <sz val="9"/>
      <name val="Arial CE"/>
      <family val="2"/>
      <charset val="238"/>
    </font>
    <font>
      <sz val="9"/>
      <name val="Times New Roman"/>
      <family val="1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6" fillId="0" borderId="0"/>
    <xf numFmtId="9" fontId="1" fillId="0" borderId="0" applyFont="0" applyFill="0" applyBorder="0" applyAlignment="0" applyProtection="0"/>
  </cellStyleXfs>
  <cellXfs count="568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3" fillId="0" borderId="1" xfId="0" applyFont="1" applyBorder="1"/>
    <xf numFmtId="164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1" fontId="3" fillId="0" borderId="5" xfId="0" applyNumberFormat="1" applyFont="1" applyBorder="1" applyAlignment="1">
      <alignment horizontal="center"/>
    </xf>
    <xf numFmtId="0" fontId="4" fillId="0" borderId="6" xfId="0" applyFont="1" applyBorder="1"/>
    <xf numFmtId="3" fontId="5" fillId="0" borderId="7" xfId="0" applyNumberFormat="1" applyFont="1" applyBorder="1"/>
    <xf numFmtId="165" fontId="5" fillId="0" borderId="8" xfId="0" applyNumberFormat="1" applyFont="1" applyBorder="1" applyAlignment="1">
      <alignment horizontal="center"/>
    </xf>
    <xf numFmtId="0" fontId="3" fillId="0" borderId="9" xfId="0" applyFont="1" applyBorder="1"/>
    <xf numFmtId="3" fontId="4" fillId="0" borderId="7" xfId="0" applyNumberFormat="1" applyFont="1" applyBorder="1"/>
    <xf numFmtId="165" fontId="4" fillId="0" borderId="8" xfId="0" applyNumberFormat="1" applyFont="1" applyBorder="1" applyAlignment="1">
      <alignment horizontal="center"/>
    </xf>
    <xf numFmtId="0" fontId="3" fillId="0" borderId="0" xfId="0" applyFont="1" applyBorder="1"/>
    <xf numFmtId="3" fontId="5" fillId="0" borderId="10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4" fillId="0" borderId="10" xfId="0" applyNumberFormat="1" applyFont="1" applyFill="1" applyBorder="1" applyAlignment="1" applyProtection="1"/>
    <xf numFmtId="165" fontId="4" fillId="0" borderId="6" xfId="0" applyNumberFormat="1" applyFont="1" applyBorder="1" applyAlignment="1">
      <alignment horizontal="center"/>
    </xf>
    <xf numFmtId="164" fontId="5" fillId="0" borderId="0" xfId="0" applyNumberFormat="1" applyFont="1"/>
    <xf numFmtId="0" fontId="5" fillId="0" borderId="0" xfId="0" applyFont="1"/>
    <xf numFmtId="0" fontId="3" fillId="0" borderId="11" xfId="0" applyFont="1" applyBorder="1"/>
    <xf numFmtId="0" fontId="5" fillId="0" borderId="0" xfId="0" applyNumberFormat="1" applyFont="1" applyFill="1" applyBorder="1" applyAlignment="1" applyProtection="1"/>
    <xf numFmtId="0" fontId="4" fillId="0" borderId="12" xfId="0" applyNumberFormat="1" applyFont="1" applyFill="1" applyBorder="1" applyAlignment="1" applyProtection="1"/>
    <xf numFmtId="164" fontId="4" fillId="0" borderId="12" xfId="0" applyNumberFormat="1" applyFont="1" applyFill="1" applyBorder="1" applyAlignment="1" applyProtection="1">
      <alignment horizontal="right"/>
    </xf>
    <xf numFmtId="0" fontId="4" fillId="0" borderId="5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>
      <alignment horizontal="right"/>
    </xf>
    <xf numFmtId="0" fontId="5" fillId="0" borderId="10" xfId="0" applyNumberFormat="1" applyFont="1" applyFill="1" applyBorder="1" applyAlignment="1" applyProtection="1"/>
    <xf numFmtId="164" fontId="9" fillId="2" borderId="10" xfId="0" applyNumberFormat="1" applyFont="1" applyFill="1" applyBorder="1" applyAlignment="1" applyProtection="1">
      <alignment horizontal="right"/>
    </xf>
    <xf numFmtId="164" fontId="9" fillId="0" borderId="10" xfId="0" applyNumberFormat="1" applyFont="1" applyFill="1" applyBorder="1" applyAlignment="1" applyProtection="1">
      <alignment horizontal="right"/>
    </xf>
    <xf numFmtId="0" fontId="4" fillId="0" borderId="10" xfId="0" applyNumberFormat="1" applyFont="1" applyFill="1" applyBorder="1" applyAlignment="1" applyProtection="1"/>
    <xf numFmtId="0" fontId="6" fillId="0" borderId="10" xfId="0" applyNumberFormat="1" applyFont="1" applyFill="1" applyBorder="1" applyAlignment="1" applyProtection="1"/>
    <xf numFmtId="164" fontId="10" fillId="0" borderId="10" xfId="0" applyNumberFormat="1" applyFont="1" applyFill="1" applyBorder="1" applyAlignment="1" applyProtection="1">
      <alignment horizontal="right"/>
    </xf>
    <xf numFmtId="0" fontId="5" fillId="0" borderId="13" xfId="0" applyNumberFormat="1" applyFont="1" applyFill="1" applyBorder="1" applyAlignment="1" applyProtection="1"/>
    <xf numFmtId="164" fontId="9" fillId="0" borderId="14" xfId="0" applyNumberFormat="1" applyFont="1" applyFill="1" applyBorder="1" applyAlignment="1" applyProtection="1">
      <alignment horizontal="right"/>
    </xf>
    <xf numFmtId="164" fontId="10" fillId="2" borderId="10" xfId="0" applyNumberFormat="1" applyFont="1" applyFill="1" applyBorder="1" applyAlignment="1" applyProtection="1">
      <alignment horizontal="right"/>
    </xf>
    <xf numFmtId="164" fontId="10" fillId="0" borderId="15" xfId="0" applyNumberFormat="1" applyFont="1" applyFill="1" applyBorder="1" applyAlignment="1" applyProtection="1">
      <alignment horizontal="right"/>
    </xf>
    <xf numFmtId="0" fontId="11" fillId="3" borderId="16" xfId="0" applyNumberFormat="1" applyFont="1" applyFill="1" applyBorder="1" applyAlignment="1" applyProtection="1"/>
    <xf numFmtId="0" fontId="12" fillId="3" borderId="11" xfId="0" applyNumberFormat="1" applyFont="1" applyFill="1" applyBorder="1" applyAlignment="1" applyProtection="1"/>
    <xf numFmtId="0" fontId="12" fillId="3" borderId="13" xfId="0" applyNumberFormat="1" applyFont="1" applyFill="1" applyBorder="1" applyAlignment="1" applyProtection="1"/>
    <xf numFmtId="164" fontId="12" fillId="3" borderId="1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17" xfId="0" applyNumberFormat="1" applyFont="1" applyFill="1" applyBorder="1" applyAlignment="1" applyProtection="1"/>
    <xf numFmtId="3" fontId="5" fillId="0" borderId="9" xfId="0" applyNumberFormat="1" applyFont="1" applyFill="1" applyBorder="1" applyAlignment="1" applyProtection="1"/>
    <xf numFmtId="164" fontId="13" fillId="0" borderId="18" xfId="0" applyNumberFormat="1" applyFont="1" applyFill="1" applyBorder="1" applyAlignment="1" applyProtection="1">
      <alignment horizontal="right"/>
    </xf>
    <xf numFmtId="0" fontId="4" fillId="0" borderId="19" xfId="0" applyNumberFormat="1" applyFont="1" applyFill="1" applyBorder="1" applyAlignment="1" applyProtection="1">
      <alignment horizontal="center"/>
    </xf>
    <xf numFmtId="0" fontId="4" fillId="0" borderId="9" xfId="0" applyNumberFormat="1" applyFont="1" applyFill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>
      <alignment horizontal="center"/>
    </xf>
    <xf numFmtId="3" fontId="4" fillId="0" borderId="6" xfId="0" applyNumberFormat="1" applyFont="1" applyFill="1" applyBorder="1" applyAlignment="1" applyProtection="1">
      <alignment horizontal="center"/>
    </xf>
    <xf numFmtId="3" fontId="4" fillId="0" borderId="1" xfId="0" applyNumberFormat="1" applyFont="1" applyFill="1" applyBorder="1" applyAlignment="1" applyProtection="1"/>
    <xf numFmtId="3" fontId="4" fillId="0" borderId="2" xfId="0" applyNumberFormat="1" applyFont="1" applyFill="1" applyBorder="1" applyAlignment="1" applyProtection="1"/>
    <xf numFmtId="3" fontId="4" fillId="0" borderId="9" xfId="0" applyNumberFormat="1" applyFont="1" applyFill="1" applyBorder="1" applyAlignment="1" applyProtection="1"/>
    <xf numFmtId="3" fontId="4" fillId="0" borderId="8" xfId="0" applyNumberFormat="1" applyFont="1" applyFill="1" applyBorder="1" applyAlignment="1" applyProtection="1"/>
    <xf numFmtId="3" fontId="5" fillId="0" borderId="8" xfId="0" applyNumberFormat="1" applyFont="1" applyFill="1" applyBorder="1" applyAlignment="1" applyProtection="1"/>
    <xf numFmtId="3" fontId="4" fillId="0" borderId="20" xfId="0" applyNumberFormat="1" applyFont="1" applyFill="1" applyBorder="1" applyAlignment="1" applyProtection="1"/>
    <xf numFmtId="3" fontId="4" fillId="0" borderId="12" xfId="0" applyNumberFormat="1" applyFont="1" applyFill="1" applyBorder="1" applyAlignment="1" applyProtection="1"/>
    <xf numFmtId="3" fontId="4" fillId="0" borderId="21" xfId="0" applyNumberFormat="1" applyFont="1" applyFill="1" applyBorder="1" applyAlignment="1" applyProtection="1"/>
    <xf numFmtId="3" fontId="5" fillId="0" borderId="2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/>
    <xf numFmtId="3" fontId="5" fillId="0" borderId="23" xfId="0" applyNumberFormat="1" applyFont="1" applyFill="1" applyBorder="1" applyAlignment="1" applyProtection="1"/>
    <xf numFmtId="3" fontId="5" fillId="0" borderId="13" xfId="0" applyNumberFormat="1" applyFont="1" applyFill="1" applyBorder="1" applyAlignment="1" applyProtection="1"/>
    <xf numFmtId="0" fontId="5" fillId="0" borderId="22" xfId="0" applyNumberFormat="1" applyFont="1" applyFill="1" applyBorder="1" applyAlignment="1" applyProtection="1"/>
    <xf numFmtId="3" fontId="5" fillId="0" borderId="0" xfId="0" applyNumberFormat="1" applyFont="1"/>
    <xf numFmtId="4" fontId="5" fillId="0" borderId="0" xfId="0" applyNumberFormat="1" applyFont="1"/>
    <xf numFmtId="0" fontId="4" fillId="0" borderId="2" xfId="0" applyNumberFormat="1" applyFont="1" applyFill="1" applyBorder="1" applyAlignment="1" applyProtection="1"/>
    <xf numFmtId="3" fontId="10" fillId="0" borderId="10" xfId="0" applyNumberFormat="1" applyFont="1" applyFill="1" applyBorder="1" applyAlignment="1" applyProtection="1">
      <alignment horizontal="right"/>
    </xf>
    <xf numFmtId="3" fontId="9" fillId="0" borderId="10" xfId="0" applyNumberFormat="1" applyFont="1" applyFill="1" applyBorder="1" applyAlignment="1" applyProtection="1">
      <alignment horizontal="right"/>
    </xf>
    <xf numFmtId="3" fontId="9" fillId="0" borderId="14" xfId="0" applyNumberFormat="1" applyFont="1" applyFill="1" applyBorder="1" applyAlignment="1" applyProtection="1">
      <alignment horizontal="right"/>
    </xf>
    <xf numFmtId="3" fontId="10" fillId="2" borderId="10" xfId="0" applyNumberFormat="1" applyFont="1" applyFill="1" applyBorder="1" applyAlignment="1" applyProtection="1">
      <alignment horizontal="right"/>
    </xf>
    <xf numFmtId="0" fontId="3" fillId="0" borderId="8" xfId="0" applyFont="1" applyBorder="1"/>
    <xf numFmtId="0" fontId="16" fillId="0" borderId="8" xfId="0" applyFont="1" applyBorder="1"/>
    <xf numFmtId="0" fontId="5" fillId="0" borderId="11" xfId="0" applyFont="1" applyBorder="1"/>
    <xf numFmtId="3" fontId="9" fillId="2" borderId="10" xfId="0" applyNumberFormat="1" applyFont="1" applyFill="1" applyBorder="1" applyAlignment="1" applyProtection="1">
      <alignment horizontal="right"/>
    </xf>
    <xf numFmtId="0" fontId="4" fillId="2" borderId="10" xfId="0" applyNumberFormat="1" applyFont="1" applyFill="1" applyBorder="1" applyAlignment="1" applyProtection="1"/>
    <xf numFmtId="0" fontId="5" fillId="2" borderId="10" xfId="0" applyNumberFormat="1" applyFont="1" applyFill="1" applyBorder="1" applyAlignment="1" applyProtection="1"/>
    <xf numFmtId="0" fontId="3" fillId="0" borderId="25" xfId="0" applyFont="1" applyBorder="1"/>
    <xf numFmtId="0" fontId="3" fillId="0" borderId="26" xfId="0" applyFont="1" applyBorder="1"/>
    <xf numFmtId="3" fontId="5" fillId="0" borderId="26" xfId="0" applyNumberFormat="1" applyFont="1" applyBorder="1"/>
    <xf numFmtId="0" fontId="3" fillId="0" borderId="6" xfId="0" applyFont="1" applyBorder="1"/>
    <xf numFmtId="9" fontId="5" fillId="0" borderId="8" xfId="0" applyNumberFormat="1" applyFont="1" applyBorder="1"/>
    <xf numFmtId="9" fontId="4" fillId="0" borderId="8" xfId="0" applyNumberFormat="1" applyFont="1" applyBorder="1"/>
    <xf numFmtId="0" fontId="5" fillId="0" borderId="8" xfId="0" applyFont="1" applyBorder="1"/>
    <xf numFmtId="0" fontId="4" fillId="0" borderId="8" xfId="0" applyFont="1" applyBorder="1"/>
    <xf numFmtId="3" fontId="4" fillId="0" borderId="8" xfId="0" applyNumberFormat="1" applyFont="1" applyBorder="1"/>
    <xf numFmtId="0" fontId="5" fillId="0" borderId="6" xfId="0" applyFont="1" applyBorder="1"/>
    <xf numFmtId="0" fontId="4" fillId="0" borderId="8" xfId="0" applyNumberFormat="1" applyFont="1" applyFill="1" applyBorder="1" applyAlignment="1" applyProtection="1">
      <alignment horizontal="center"/>
    </xf>
    <xf numFmtId="0" fontId="4" fillId="0" borderId="9" xfId="0" applyNumberFormat="1" applyFont="1" applyFill="1" applyBorder="1" applyAlignment="1" applyProtection="1"/>
    <xf numFmtId="0" fontId="5" fillId="0" borderId="27" xfId="0" applyFont="1" applyBorder="1"/>
    <xf numFmtId="3" fontId="4" fillId="0" borderId="10" xfId="0" applyNumberFormat="1" applyFont="1" applyFill="1" applyBorder="1"/>
    <xf numFmtId="3" fontId="16" fillId="0" borderId="10" xfId="0" applyNumberFormat="1" applyFont="1" applyFill="1" applyBorder="1"/>
    <xf numFmtId="3" fontId="3" fillId="0" borderId="10" xfId="0" applyNumberFormat="1" applyFont="1" applyFill="1" applyBorder="1"/>
    <xf numFmtId="0" fontId="16" fillId="0" borderId="0" xfId="0" applyFont="1"/>
    <xf numFmtId="0" fontId="3" fillId="0" borderId="10" xfId="0" applyNumberFormat="1" applyFont="1" applyFill="1" applyBorder="1" applyAlignment="1" applyProtection="1"/>
    <xf numFmtId="0" fontId="16" fillId="0" borderId="10" xfId="0" applyFont="1" applyBorder="1"/>
    <xf numFmtId="0" fontId="5" fillId="0" borderId="0" xfId="0" applyFont="1" applyFill="1"/>
    <xf numFmtId="0" fontId="4" fillId="0" borderId="19" xfId="0" applyNumberFormat="1" applyFont="1" applyFill="1" applyBorder="1" applyAlignment="1" applyProtection="1"/>
    <xf numFmtId="0" fontId="5" fillId="0" borderId="28" xfId="0" applyNumberFormat="1" applyFont="1" applyFill="1" applyBorder="1" applyAlignment="1" applyProtection="1"/>
    <xf numFmtId="0" fontId="4" fillId="0" borderId="29" xfId="0" applyNumberFormat="1" applyFont="1" applyFill="1" applyBorder="1" applyAlignment="1" applyProtection="1"/>
    <xf numFmtId="0" fontId="16" fillId="0" borderId="9" xfId="0" applyFont="1" applyBorder="1"/>
    <xf numFmtId="164" fontId="16" fillId="0" borderId="0" xfId="0" applyNumberFormat="1" applyFont="1"/>
    <xf numFmtId="0" fontId="4" fillId="2" borderId="10" xfId="0" applyFont="1" applyFill="1" applyBorder="1" applyAlignment="1">
      <alignment horizontal="right"/>
    </xf>
    <xf numFmtId="0" fontId="15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/>
    <xf numFmtId="164" fontId="16" fillId="0" borderId="0" xfId="0" applyNumberFormat="1" applyFont="1" applyFill="1" applyBorder="1" applyAlignment="1" applyProtection="1">
      <alignment horizontal="right"/>
    </xf>
    <xf numFmtId="0" fontId="16" fillId="0" borderId="10" xfId="0" applyNumberFormat="1" applyFont="1" applyFill="1" applyBorder="1" applyAlignment="1" applyProtection="1"/>
    <xf numFmtId="0" fontId="3" fillId="2" borderId="10" xfId="0" applyNumberFormat="1" applyFont="1" applyFill="1" applyBorder="1" applyAlignment="1" applyProtection="1"/>
    <xf numFmtId="164" fontId="3" fillId="2" borderId="10" xfId="0" applyNumberFormat="1" applyFont="1" applyFill="1" applyBorder="1" applyAlignment="1" applyProtection="1"/>
    <xf numFmtId="0" fontId="5" fillId="0" borderId="10" xfId="0" applyNumberFormat="1" applyFont="1" applyFill="1" applyBorder="1" applyAlignment="1" applyProtection="1">
      <alignment horizontal="right"/>
    </xf>
    <xf numFmtId="3" fontId="16" fillId="0" borderId="0" xfId="0" applyNumberFormat="1" applyFont="1"/>
    <xf numFmtId="0" fontId="5" fillId="0" borderId="10" xfId="0" applyNumberFormat="1" applyFont="1" applyFill="1" applyBorder="1" applyAlignment="1" applyProtection="1">
      <alignment horizontal="left"/>
    </xf>
    <xf numFmtId="0" fontId="2" fillId="0" borderId="14" xfId="0" applyNumberFormat="1" applyFont="1" applyFill="1" applyBorder="1" applyAlignment="1" applyProtection="1"/>
    <xf numFmtId="0" fontId="4" fillId="0" borderId="14" xfId="0" applyNumberFormat="1" applyFont="1" applyFill="1" applyBorder="1" applyAlignment="1" applyProtection="1"/>
    <xf numFmtId="0" fontId="16" fillId="0" borderId="0" xfId="0" applyFont="1" applyFill="1"/>
    <xf numFmtId="0" fontId="5" fillId="0" borderId="14" xfId="0" applyNumberFormat="1" applyFont="1" applyFill="1" applyBorder="1" applyAlignment="1" applyProtection="1"/>
    <xf numFmtId="0" fontId="16" fillId="0" borderId="14" xfId="0" applyNumberFormat="1" applyFont="1" applyFill="1" applyBorder="1" applyAlignment="1" applyProtection="1"/>
    <xf numFmtId="0" fontId="16" fillId="2" borderId="10" xfId="0" applyNumberFormat="1" applyFont="1" applyFill="1" applyBorder="1" applyAlignment="1" applyProtection="1"/>
    <xf numFmtId="3" fontId="4" fillId="0" borderId="14" xfId="0" applyNumberFormat="1" applyFont="1" applyFill="1" applyBorder="1" applyAlignment="1" applyProtection="1">
      <alignment horizontal="right"/>
    </xf>
    <xf numFmtId="0" fontId="3" fillId="0" borderId="9" xfId="0" applyNumberFormat="1" applyFont="1" applyFill="1" applyBorder="1" applyAlignment="1" applyProtection="1"/>
    <xf numFmtId="1" fontId="5" fillId="0" borderId="0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4" fontId="16" fillId="0" borderId="0" xfId="0" applyNumberFormat="1" applyFont="1"/>
    <xf numFmtId="0" fontId="5" fillId="0" borderId="7" xfId="0" applyNumberFormat="1" applyFont="1" applyFill="1" applyBorder="1" applyAlignment="1" applyProtection="1">
      <alignment horizontal="right"/>
    </xf>
    <xf numFmtId="3" fontId="9" fillId="3" borderId="13" xfId="0" applyNumberFormat="1" applyFont="1" applyFill="1" applyBorder="1" applyAlignment="1" applyProtection="1">
      <alignment horizontal="right"/>
    </xf>
    <xf numFmtId="0" fontId="16" fillId="0" borderId="4" xfId="0" applyFont="1" applyBorder="1"/>
    <xf numFmtId="0" fontId="16" fillId="0" borderId="0" xfId="0" applyFont="1" applyBorder="1"/>
    <xf numFmtId="0" fontId="16" fillId="0" borderId="30" xfId="0" applyFont="1" applyBorder="1"/>
    <xf numFmtId="0" fontId="16" fillId="0" borderId="11" xfId="0" applyFont="1" applyBorder="1"/>
    <xf numFmtId="0" fontId="16" fillId="0" borderId="8" xfId="0" applyFont="1" applyFill="1" applyBorder="1"/>
    <xf numFmtId="0" fontId="16" fillId="0" borderId="31" xfId="0" applyFont="1" applyBorder="1"/>
    <xf numFmtId="0" fontId="4" fillId="0" borderId="32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/>
    <xf numFmtId="0" fontId="4" fillId="0" borderId="20" xfId="0" applyNumberFormat="1" applyFont="1" applyFill="1" applyBorder="1" applyAlignment="1" applyProtection="1"/>
    <xf numFmtId="0" fontId="16" fillId="0" borderId="22" xfId="0" applyNumberFormat="1" applyFont="1" applyFill="1" applyBorder="1" applyAlignment="1" applyProtection="1"/>
    <xf numFmtId="0" fontId="5" fillId="0" borderId="33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169" fontId="4" fillId="0" borderId="5" xfId="0" applyNumberFormat="1" applyFont="1" applyFill="1" applyBorder="1" applyAlignment="1" applyProtection="1">
      <alignment horizontal="center"/>
    </xf>
    <xf numFmtId="169" fontId="16" fillId="0" borderId="0" xfId="0" applyNumberFormat="1" applyFont="1" applyFill="1" applyBorder="1" applyAlignment="1" applyProtection="1">
      <alignment horizontal="right"/>
    </xf>
    <xf numFmtId="169" fontId="4" fillId="0" borderId="12" xfId="0" applyNumberFormat="1" applyFont="1" applyFill="1" applyBorder="1" applyAlignment="1" applyProtection="1">
      <alignment horizontal="center"/>
    </xf>
    <xf numFmtId="169" fontId="9" fillId="2" borderId="10" xfId="0" applyNumberFormat="1" applyFont="1" applyFill="1" applyBorder="1" applyAlignment="1" applyProtection="1">
      <alignment horizontal="right"/>
    </xf>
    <xf numFmtId="169" fontId="16" fillId="0" borderId="0" xfId="0" applyNumberFormat="1" applyFont="1" applyFill="1"/>
    <xf numFmtId="3" fontId="16" fillId="0" borderId="0" xfId="0" applyNumberFormat="1" applyFont="1" applyFill="1"/>
    <xf numFmtId="3" fontId="10" fillId="0" borderId="15" xfId="0" applyNumberFormat="1" applyFont="1" applyFill="1" applyBorder="1" applyAlignment="1" applyProtection="1">
      <alignment horizontal="right"/>
    </xf>
    <xf numFmtId="3" fontId="5" fillId="0" borderId="15" xfId="0" applyNumberFormat="1" applyFont="1" applyFill="1" applyBorder="1" applyAlignment="1" applyProtection="1">
      <alignment horizontal="right"/>
    </xf>
    <xf numFmtId="3" fontId="16" fillId="0" borderId="0" xfId="0" applyNumberFormat="1" applyFont="1" applyFill="1" applyBorder="1" applyAlignment="1" applyProtection="1">
      <alignment horizontal="right"/>
    </xf>
    <xf numFmtId="3" fontId="4" fillId="0" borderId="35" xfId="0" applyNumberFormat="1" applyFont="1" applyFill="1" applyBorder="1" applyAlignment="1" applyProtection="1">
      <alignment horizontal="right"/>
    </xf>
    <xf numFmtId="3" fontId="5" fillId="0" borderId="7" xfId="0" applyNumberFormat="1" applyFont="1" applyFill="1" applyBorder="1"/>
    <xf numFmtId="3" fontId="4" fillId="0" borderId="10" xfId="0" applyNumberFormat="1" applyFont="1" applyBorder="1"/>
    <xf numFmtId="3" fontId="5" fillId="0" borderId="10" xfId="0" applyNumberFormat="1" applyFont="1" applyFill="1" applyBorder="1"/>
    <xf numFmtId="0" fontId="3" fillId="0" borderId="26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3" xfId="0" applyFont="1" applyBorder="1"/>
    <xf numFmtId="9" fontId="5" fillId="0" borderId="8" xfId="2" applyFont="1" applyBorder="1"/>
    <xf numFmtId="9" fontId="4" fillId="0" borderId="8" xfId="2" applyFont="1" applyBorder="1"/>
    <xf numFmtId="0" fontId="16" fillId="0" borderId="6" xfId="0" applyFont="1" applyBorder="1"/>
    <xf numFmtId="3" fontId="4" fillId="0" borderId="18" xfId="0" applyNumberFormat="1" applyFont="1" applyFill="1" applyBorder="1" applyAlignment="1" applyProtection="1">
      <alignment horizontal="right"/>
    </xf>
    <xf numFmtId="0" fontId="3" fillId="0" borderId="2" xfId="0" applyFont="1" applyFill="1" applyBorder="1"/>
    <xf numFmtId="0" fontId="2" fillId="0" borderId="0" xfId="0" applyFont="1" applyFill="1"/>
    <xf numFmtId="0" fontId="4" fillId="0" borderId="37" xfId="0" applyNumberFormat="1" applyFont="1" applyFill="1" applyBorder="1" applyAlignment="1" applyProtection="1">
      <alignment horizontal="center"/>
    </xf>
    <xf numFmtId="3" fontId="4" fillId="0" borderId="12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/>
    <xf numFmtId="3" fontId="5" fillId="0" borderId="5" xfId="0" applyNumberFormat="1" applyFont="1" applyFill="1" applyBorder="1"/>
    <xf numFmtId="49" fontId="4" fillId="4" borderId="5" xfId="0" applyNumberFormat="1" applyFont="1" applyFill="1" applyBorder="1" applyAlignment="1" applyProtection="1">
      <alignment horizontal="center"/>
    </xf>
    <xf numFmtId="164" fontId="16" fillId="4" borderId="0" xfId="0" applyNumberFormat="1" applyFont="1" applyFill="1"/>
    <xf numFmtId="3" fontId="4" fillId="0" borderId="15" xfId="0" applyNumberFormat="1" applyFont="1" applyFill="1" applyBorder="1" applyAlignment="1" applyProtection="1">
      <alignment horizontal="right"/>
    </xf>
    <xf numFmtId="3" fontId="4" fillId="0" borderId="33" xfId="0" applyNumberFormat="1" applyFont="1" applyFill="1" applyBorder="1" applyAlignment="1" applyProtection="1"/>
    <xf numFmtId="0" fontId="4" fillId="3" borderId="20" xfId="0" applyNumberFormat="1" applyFont="1" applyFill="1" applyBorder="1" applyAlignment="1" applyProtection="1">
      <alignment horizontal="center"/>
    </xf>
    <xf numFmtId="0" fontId="4" fillId="3" borderId="21" xfId="0" applyNumberFormat="1" applyFont="1" applyFill="1" applyBorder="1" applyAlignment="1" applyProtection="1">
      <alignment horizontal="center"/>
    </xf>
    <xf numFmtId="0" fontId="4" fillId="3" borderId="4" xfId="0" applyNumberFormat="1" applyFont="1" applyFill="1" applyBorder="1" applyAlignment="1" applyProtection="1">
      <alignment horizontal="center"/>
    </xf>
    <xf numFmtId="3" fontId="4" fillId="3" borderId="1" xfId="0" applyNumberFormat="1" applyFont="1" applyFill="1" applyBorder="1" applyAlignment="1" applyProtection="1"/>
    <xf numFmtId="3" fontId="4" fillId="3" borderId="3" xfId="0" applyNumberFormat="1" applyFont="1" applyFill="1" applyBorder="1" applyAlignment="1" applyProtection="1"/>
    <xf numFmtId="0" fontId="5" fillId="3" borderId="9" xfId="0" applyNumberFormat="1" applyFont="1" applyFill="1" applyBorder="1" applyAlignment="1" applyProtection="1"/>
    <xf numFmtId="0" fontId="5" fillId="3" borderId="8" xfId="0" applyNumberFormat="1" applyFont="1" applyFill="1" applyBorder="1" applyAlignment="1" applyProtection="1"/>
    <xf numFmtId="3" fontId="5" fillId="3" borderId="9" xfId="0" applyNumberFormat="1" applyFont="1" applyFill="1" applyBorder="1" applyAlignment="1" applyProtection="1"/>
    <xf numFmtId="3" fontId="5" fillId="3" borderId="8" xfId="0" applyNumberFormat="1" applyFont="1" applyFill="1" applyBorder="1" applyAlignment="1" applyProtection="1"/>
    <xf numFmtId="3" fontId="4" fillId="3" borderId="20" xfId="0" applyNumberFormat="1" applyFont="1" applyFill="1" applyBorder="1" applyAlignment="1" applyProtection="1"/>
    <xf numFmtId="3" fontId="4" fillId="3" borderId="21" xfId="0" applyNumberFormat="1" applyFont="1" applyFill="1" applyBorder="1" applyAlignment="1" applyProtection="1"/>
    <xf numFmtId="1" fontId="5" fillId="3" borderId="9" xfId="0" applyNumberFormat="1" applyFont="1" applyFill="1" applyBorder="1" applyAlignment="1" applyProtection="1"/>
    <xf numFmtId="3" fontId="4" fillId="3" borderId="12" xfId="0" applyNumberFormat="1" applyFont="1" applyFill="1" applyBorder="1" applyAlignment="1" applyProtection="1"/>
    <xf numFmtId="0" fontId="5" fillId="3" borderId="23" xfId="0" applyNumberFormat="1" applyFont="1" applyFill="1" applyBorder="1" applyAlignment="1" applyProtection="1"/>
    <xf numFmtId="3" fontId="4" fillId="3" borderId="9" xfId="0" applyNumberFormat="1" applyFont="1" applyFill="1" applyBorder="1" applyAlignment="1" applyProtection="1"/>
    <xf numFmtId="3" fontId="4" fillId="3" borderId="8" xfId="0" applyNumberFormat="1" applyFont="1" applyFill="1" applyBorder="1" applyAlignment="1" applyProtection="1"/>
    <xf numFmtId="0" fontId="5" fillId="3" borderId="2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0" fontId="16" fillId="3" borderId="0" xfId="0" applyFont="1" applyFill="1"/>
    <xf numFmtId="3" fontId="6" fillId="0" borderId="9" xfId="0" applyNumberFormat="1" applyFont="1" applyFill="1" applyBorder="1" applyAlignment="1" applyProtection="1"/>
    <xf numFmtId="3" fontId="2" fillId="0" borderId="0" xfId="0" applyNumberFormat="1" applyFont="1"/>
    <xf numFmtId="3" fontId="2" fillId="0" borderId="0" xfId="0" applyNumberFormat="1" applyFont="1" applyFill="1"/>
    <xf numFmtId="3" fontId="3" fillId="0" borderId="2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4" fontId="18" fillId="0" borderId="10" xfId="0" applyNumberFormat="1" applyFont="1" applyFill="1" applyBorder="1" applyAlignment="1" applyProtection="1">
      <alignment horizontal="right"/>
    </xf>
    <xf numFmtId="0" fontId="5" fillId="0" borderId="39" xfId="0" applyNumberFormat="1" applyFont="1" applyFill="1" applyBorder="1" applyAlignment="1" applyProtection="1"/>
    <xf numFmtId="164" fontId="9" fillId="0" borderId="15" xfId="0" applyNumberFormat="1" applyFont="1" applyFill="1" applyBorder="1" applyAlignment="1" applyProtection="1">
      <alignment horizontal="right"/>
    </xf>
    <xf numFmtId="0" fontId="3" fillId="0" borderId="38" xfId="0" applyFont="1" applyBorder="1"/>
    <xf numFmtId="0" fontId="3" fillId="0" borderId="40" xfId="0" applyFont="1" applyBorder="1"/>
    <xf numFmtId="0" fontId="16" fillId="0" borderId="41" xfId="0" applyFont="1" applyBorder="1"/>
    <xf numFmtId="0" fontId="3" fillId="0" borderId="41" xfId="0" applyFont="1" applyBorder="1"/>
    <xf numFmtId="0" fontId="3" fillId="0" borderId="41" xfId="0" applyFont="1" applyBorder="1" applyAlignment="1">
      <alignment horizontal="right"/>
    </xf>
    <xf numFmtId="49" fontId="16" fillId="0" borderId="41" xfId="0" applyNumberFormat="1" applyFont="1" applyBorder="1" applyAlignment="1">
      <alignment horizontal="right"/>
    </xf>
    <xf numFmtId="0" fontId="16" fillId="0" borderId="40" xfId="0" applyFont="1" applyBorder="1"/>
    <xf numFmtId="0" fontId="4" fillId="0" borderId="2" xfId="0" applyFont="1" applyBorder="1" applyAlignment="1">
      <alignment horizontal="left"/>
    </xf>
    <xf numFmtId="0" fontId="5" fillId="0" borderId="0" xfId="0" applyFont="1" applyFill="1" applyAlignment="1"/>
    <xf numFmtId="3" fontId="5" fillId="0" borderId="0" xfId="0" applyNumberFormat="1" applyFont="1" applyFill="1" applyAlignment="1"/>
    <xf numFmtId="4" fontId="5" fillId="0" borderId="0" xfId="0" applyNumberFormat="1" applyFont="1" applyFill="1" applyAlignment="1"/>
    <xf numFmtId="169" fontId="5" fillId="0" borderId="7" xfId="0" applyNumberFormat="1" applyFont="1" applyBorder="1"/>
    <xf numFmtId="169" fontId="4" fillId="0" borderId="7" xfId="0" applyNumberFormat="1" applyFont="1" applyBorder="1"/>
    <xf numFmtId="169" fontId="4" fillId="0" borderId="7" xfId="0" applyNumberFormat="1" applyFont="1" applyFill="1" applyBorder="1" applyAlignment="1" applyProtection="1"/>
    <xf numFmtId="169" fontId="5" fillId="0" borderId="5" xfId="0" applyNumberFormat="1" applyFont="1" applyBorder="1"/>
    <xf numFmtId="49" fontId="16" fillId="0" borderId="10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/>
    <xf numFmtId="3" fontId="8" fillId="2" borderId="10" xfId="0" applyNumberFormat="1" applyFont="1" applyFill="1" applyBorder="1"/>
    <xf numFmtId="0" fontId="5" fillId="0" borderId="0" xfId="0" applyNumberFormat="1" applyFont="1" applyFill="1" applyBorder="1" applyAlignment="1" applyProtection="1">
      <alignment horizontal="right"/>
    </xf>
    <xf numFmtId="0" fontId="4" fillId="0" borderId="12" xfId="0" applyNumberFormat="1" applyFont="1" applyFill="1" applyBorder="1" applyAlignment="1" applyProtection="1">
      <alignment horizontal="right"/>
    </xf>
    <xf numFmtId="164" fontId="16" fillId="0" borderId="10" xfId="0" applyNumberFormat="1" applyFont="1" applyBorder="1" applyAlignment="1">
      <alignment horizontal="right"/>
    </xf>
    <xf numFmtId="164" fontId="5" fillId="0" borderId="10" xfId="0" applyNumberFormat="1" applyFont="1" applyFill="1" applyBorder="1" applyAlignment="1" applyProtection="1">
      <alignment horizontal="right"/>
    </xf>
    <xf numFmtId="0" fontId="4" fillId="0" borderId="10" xfId="0" applyNumberFormat="1" applyFont="1" applyFill="1" applyBorder="1" applyAlignment="1" applyProtection="1">
      <alignment horizontal="right"/>
    </xf>
    <xf numFmtId="0" fontId="4" fillId="2" borderId="10" xfId="0" applyNumberFormat="1" applyFont="1" applyFill="1" applyBorder="1" applyAlignment="1" applyProtection="1">
      <alignment horizontal="right"/>
    </xf>
    <xf numFmtId="166" fontId="10" fillId="0" borderId="10" xfId="0" applyNumberFormat="1" applyFont="1" applyFill="1" applyBorder="1" applyAlignment="1" applyProtection="1">
      <alignment horizontal="right"/>
    </xf>
    <xf numFmtId="9" fontId="5" fillId="0" borderId="10" xfId="0" applyNumberFormat="1" applyFont="1" applyFill="1" applyBorder="1" applyAlignment="1" applyProtection="1">
      <alignment horizontal="right"/>
    </xf>
    <xf numFmtId="167" fontId="5" fillId="0" borderId="10" xfId="0" applyNumberFormat="1" applyFont="1" applyFill="1" applyBorder="1" applyAlignment="1" applyProtection="1">
      <alignment horizontal="right"/>
    </xf>
    <xf numFmtId="168" fontId="5" fillId="0" borderId="14" xfId="0" applyNumberFormat="1" applyFont="1" applyFill="1" applyBorder="1" applyAlignment="1" applyProtection="1">
      <alignment horizontal="right"/>
    </xf>
    <xf numFmtId="0" fontId="5" fillId="2" borderId="10" xfId="0" applyNumberFormat="1" applyFont="1" applyFill="1" applyBorder="1" applyAlignment="1" applyProtection="1">
      <alignment horizontal="right"/>
    </xf>
    <xf numFmtId="3" fontId="4" fillId="0" borderId="10" xfId="0" applyNumberFormat="1" applyFont="1" applyFill="1" applyBorder="1" applyAlignment="1" applyProtection="1">
      <alignment horizontal="right"/>
    </xf>
    <xf numFmtId="4" fontId="10" fillId="3" borderId="24" xfId="0" applyNumberFormat="1" applyFont="1" applyFill="1" applyBorder="1" applyAlignment="1" applyProtection="1">
      <alignment horizontal="right"/>
    </xf>
    <xf numFmtId="0" fontId="16" fillId="0" borderId="35" xfId="0" applyFont="1" applyBorder="1" applyAlignment="1">
      <alignment horizontal="right"/>
    </xf>
    <xf numFmtId="0" fontId="16" fillId="0" borderId="15" xfId="0" applyFont="1" applyBorder="1" applyAlignment="1">
      <alignment horizontal="right"/>
    </xf>
    <xf numFmtId="168" fontId="16" fillId="0" borderId="15" xfId="0" applyNumberFormat="1" applyFont="1" applyBorder="1" applyAlignment="1">
      <alignment horizontal="right"/>
    </xf>
    <xf numFmtId="4" fontId="16" fillId="0" borderId="15" xfId="0" applyNumberFormat="1" applyFont="1" applyBorder="1" applyAlignment="1">
      <alignment horizontal="right"/>
    </xf>
    <xf numFmtId="0" fontId="16" fillId="0" borderId="18" xfId="0" applyFont="1" applyBorder="1" applyAlignment="1">
      <alignment horizontal="right"/>
    </xf>
    <xf numFmtId="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9" fontId="5" fillId="0" borderId="10" xfId="0" applyNumberFormat="1" applyFont="1" applyFill="1" applyBorder="1" applyAlignment="1" applyProtection="1"/>
    <xf numFmtId="1" fontId="4" fillId="4" borderId="12" xfId="0" applyNumberFormat="1" applyFont="1" applyFill="1" applyBorder="1" applyAlignment="1" applyProtection="1">
      <alignment horizontal="center"/>
    </xf>
    <xf numFmtId="170" fontId="10" fillId="4" borderId="10" xfId="0" applyNumberFormat="1" applyFont="1" applyFill="1" applyBorder="1" applyAlignment="1" applyProtection="1">
      <alignment horizontal="right"/>
    </xf>
    <xf numFmtId="170" fontId="4" fillId="4" borderId="10" xfId="0" applyNumberFormat="1" applyFont="1" applyFill="1" applyBorder="1" applyAlignment="1" applyProtection="1"/>
    <xf numFmtId="170" fontId="4" fillId="4" borderId="35" xfId="0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42" xfId="0" applyFont="1" applyBorder="1"/>
    <xf numFmtId="0" fontId="5" fillId="0" borderId="42" xfId="0" applyFont="1" applyBorder="1"/>
    <xf numFmtId="0" fontId="21" fillId="0" borderId="36" xfId="0" applyFont="1" applyBorder="1"/>
    <xf numFmtId="0" fontId="3" fillId="0" borderId="43" xfId="0" applyFont="1" applyBorder="1"/>
    <xf numFmtId="0" fontId="22" fillId="0" borderId="36" xfId="0" applyFont="1" applyBorder="1"/>
    <xf numFmtId="0" fontId="4" fillId="0" borderId="36" xfId="0" applyFont="1" applyBorder="1"/>
    <xf numFmtId="0" fontId="5" fillId="0" borderId="0" xfId="0" applyFont="1" applyBorder="1"/>
    <xf numFmtId="0" fontId="21" fillId="2" borderId="41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5" fillId="0" borderId="30" xfId="0" applyFont="1" applyBorder="1"/>
    <xf numFmtId="0" fontId="21" fillId="2" borderId="4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1" fillId="2" borderId="41" xfId="0" applyFont="1" applyFill="1" applyBorder="1"/>
    <xf numFmtId="3" fontId="16" fillId="0" borderId="8" xfId="0" applyNumberFormat="1" applyFont="1" applyFill="1" applyBorder="1"/>
    <xf numFmtId="3" fontId="21" fillId="2" borderId="41" xfId="0" applyNumberFormat="1" applyFont="1" applyFill="1" applyBorder="1"/>
    <xf numFmtId="0" fontId="16" fillId="0" borderId="15" xfId="0" applyFont="1" applyFill="1" applyBorder="1"/>
    <xf numFmtId="0" fontId="4" fillId="0" borderId="11" xfId="0" applyFont="1" applyBorder="1"/>
    <xf numFmtId="3" fontId="22" fillId="2" borderId="44" xfId="0" applyNumberFormat="1" applyFont="1" applyFill="1" applyBorder="1"/>
    <xf numFmtId="3" fontId="3" fillId="0" borderId="23" xfId="0" applyNumberFormat="1" applyFont="1" applyFill="1" applyBorder="1"/>
    <xf numFmtId="3" fontId="3" fillId="0" borderId="23" xfId="0" applyNumberFormat="1" applyFont="1" applyBorder="1"/>
    <xf numFmtId="3" fontId="16" fillId="0" borderId="45" xfId="0" applyNumberFormat="1" applyFont="1" applyFill="1" applyBorder="1"/>
    <xf numFmtId="0" fontId="16" fillId="0" borderId="8" xfId="0" applyFont="1" applyFill="1" applyBorder="1" applyAlignment="1">
      <alignment horizontal="center"/>
    </xf>
    <xf numFmtId="49" fontId="16" fillId="0" borderId="15" xfId="0" applyNumberFormat="1" applyFont="1" applyFill="1" applyBorder="1" applyAlignment="1">
      <alignment horizontal="center"/>
    </xf>
    <xf numFmtId="0" fontId="22" fillId="2" borderId="44" xfId="0" applyFont="1" applyFill="1" applyBorder="1"/>
    <xf numFmtId="1" fontId="3" fillId="0" borderId="23" xfId="0" applyNumberFormat="1" applyFont="1" applyBorder="1"/>
    <xf numFmtId="1" fontId="16" fillId="0" borderId="45" xfId="0" applyNumberFormat="1" applyFont="1" applyFill="1" applyBorder="1"/>
    <xf numFmtId="0" fontId="22" fillId="2" borderId="41" xfId="0" applyFont="1" applyFill="1" applyBorder="1"/>
    <xf numFmtId="1" fontId="16" fillId="0" borderId="8" xfId="0" applyNumberFormat="1" applyFont="1" applyBorder="1"/>
    <xf numFmtId="3" fontId="22" fillId="2" borderId="41" xfId="0" applyNumberFormat="1" applyFont="1" applyFill="1" applyBorder="1"/>
    <xf numFmtId="3" fontId="3" fillId="0" borderId="8" xfId="0" applyNumberFormat="1" applyFont="1" applyFill="1" applyBorder="1"/>
    <xf numFmtId="1" fontId="3" fillId="0" borderId="8" xfId="0" applyNumberFormat="1" applyFont="1" applyBorder="1"/>
    <xf numFmtId="1" fontId="16" fillId="0" borderId="15" xfId="0" applyNumberFormat="1" applyFont="1" applyFill="1" applyBorder="1"/>
    <xf numFmtId="0" fontId="5" fillId="0" borderId="46" xfId="0" applyFont="1" applyBorder="1"/>
    <xf numFmtId="0" fontId="22" fillId="2" borderId="9" xfId="0" applyFont="1" applyFill="1" applyBorder="1"/>
    <xf numFmtId="0" fontId="22" fillId="2" borderId="22" xfId="0" applyFont="1" applyFill="1" applyBorder="1"/>
    <xf numFmtId="0" fontId="5" fillId="0" borderId="31" xfId="0" applyFont="1" applyBorder="1"/>
    <xf numFmtId="0" fontId="22" fillId="2" borderId="20" xfId="0" applyFont="1" applyFill="1" applyBorder="1"/>
    <xf numFmtId="1" fontId="3" fillId="0" borderId="21" xfId="0" applyNumberFormat="1" applyFont="1" applyBorder="1"/>
    <xf numFmtId="3" fontId="22" fillId="2" borderId="47" xfId="0" applyNumberFormat="1" applyFont="1" applyFill="1" applyBorder="1"/>
    <xf numFmtId="3" fontId="3" fillId="0" borderId="21" xfId="0" applyNumberFormat="1" applyFont="1" applyFill="1" applyBorder="1"/>
    <xf numFmtId="0" fontId="22" fillId="2" borderId="47" xfId="0" applyFont="1" applyFill="1" applyBorder="1"/>
    <xf numFmtId="1" fontId="16" fillId="0" borderId="48" xfId="0" applyNumberFormat="1" applyFont="1" applyFill="1" applyBorder="1"/>
    <xf numFmtId="3" fontId="22" fillId="2" borderId="22" xfId="0" applyNumberFormat="1" applyFont="1" applyFill="1" applyBorder="1"/>
    <xf numFmtId="170" fontId="8" fillId="0" borderId="10" xfId="0" applyNumberFormat="1" applyFont="1" applyFill="1" applyBorder="1" applyAlignment="1" applyProtection="1"/>
    <xf numFmtId="0" fontId="0" fillId="0" borderId="0" xfId="0" applyBorder="1" applyAlignment="1"/>
    <xf numFmtId="0" fontId="0" fillId="0" borderId="0" xfId="0" applyFill="1" applyBorder="1" applyAlignment="1"/>
    <xf numFmtId="0" fontId="16" fillId="0" borderId="37" xfId="0" applyFont="1" applyBorder="1"/>
    <xf numFmtId="3" fontId="5" fillId="5" borderId="8" xfId="0" applyNumberFormat="1" applyFont="1" applyFill="1" applyBorder="1" applyAlignment="1" applyProtection="1"/>
    <xf numFmtId="3" fontId="5" fillId="4" borderId="8" xfId="0" applyNumberFormat="1" applyFont="1" applyFill="1" applyBorder="1" applyAlignment="1" applyProtection="1"/>
    <xf numFmtId="3" fontId="5" fillId="2" borderId="8" xfId="0" applyNumberFormat="1" applyFont="1" applyFill="1" applyBorder="1" applyAlignment="1" applyProtection="1"/>
    <xf numFmtId="3" fontId="5" fillId="4" borderId="23" xfId="0" applyNumberFormat="1" applyFont="1" applyFill="1" applyBorder="1" applyAlignment="1" applyProtection="1"/>
    <xf numFmtId="3" fontId="5" fillId="5" borderId="23" xfId="0" applyNumberFormat="1" applyFont="1" applyFill="1" applyBorder="1" applyAlignment="1" applyProtection="1"/>
    <xf numFmtId="0" fontId="5" fillId="7" borderId="8" xfId="0" applyNumberFormat="1" applyFont="1" applyFill="1" applyBorder="1" applyAlignment="1" applyProtection="1"/>
    <xf numFmtId="0" fontId="16" fillId="0" borderId="21" xfId="0" applyFont="1" applyBorder="1"/>
    <xf numFmtId="0" fontId="5" fillId="6" borderId="8" xfId="0" applyFont="1" applyFill="1" applyBorder="1"/>
    <xf numFmtId="3" fontId="5" fillId="8" borderId="8" xfId="0" applyNumberFormat="1" applyFont="1" applyFill="1" applyBorder="1" applyAlignment="1" applyProtection="1"/>
    <xf numFmtId="0" fontId="16" fillId="0" borderId="51" xfId="0" applyFont="1" applyBorder="1"/>
    <xf numFmtId="3" fontId="5" fillId="6" borderId="9" xfId="0" applyNumberFormat="1" applyFont="1" applyFill="1" applyBorder="1" applyAlignment="1" applyProtection="1"/>
    <xf numFmtId="3" fontId="5" fillId="2" borderId="9" xfId="0" applyNumberFormat="1" applyFont="1" applyFill="1" applyBorder="1" applyAlignment="1" applyProtection="1"/>
    <xf numFmtId="3" fontId="5" fillId="4" borderId="22" xfId="0" applyNumberFormat="1" applyFont="1" applyFill="1" applyBorder="1" applyAlignment="1" applyProtection="1"/>
    <xf numFmtId="0" fontId="5" fillId="5" borderId="9" xfId="0" applyNumberFormat="1" applyFont="1" applyFill="1" applyBorder="1" applyAlignment="1" applyProtection="1"/>
    <xf numFmtId="3" fontId="5" fillId="4" borderId="9" xfId="0" applyNumberFormat="1" applyFont="1" applyFill="1" applyBorder="1" applyAlignment="1" applyProtection="1"/>
    <xf numFmtId="3" fontId="5" fillId="0" borderId="20" xfId="0" applyNumberFormat="1" applyFont="1" applyFill="1" applyBorder="1" applyAlignment="1" applyProtection="1"/>
    <xf numFmtId="0" fontId="5" fillId="4" borderId="9" xfId="0" applyNumberFormat="1" applyFont="1" applyFill="1" applyBorder="1" applyAlignment="1" applyProtection="1"/>
    <xf numFmtId="3" fontId="5" fillId="8" borderId="9" xfId="0" applyNumberFormat="1" applyFont="1" applyFill="1" applyBorder="1" applyAlignment="1" applyProtection="1"/>
    <xf numFmtId="0" fontId="5" fillId="3" borderId="9" xfId="0" applyFont="1" applyFill="1" applyBorder="1"/>
    <xf numFmtId="3" fontId="5" fillId="7" borderId="9" xfId="0" applyNumberFormat="1" applyFont="1" applyFill="1" applyBorder="1" applyAlignment="1" applyProtection="1"/>
    <xf numFmtId="3" fontId="5" fillId="9" borderId="9" xfId="0" applyNumberFormat="1" applyFont="1" applyFill="1" applyBorder="1" applyAlignment="1" applyProtection="1"/>
    <xf numFmtId="3" fontId="5" fillId="5" borderId="9" xfId="0" applyNumberFormat="1" applyFont="1" applyFill="1" applyBorder="1" applyAlignment="1" applyProtection="1"/>
    <xf numFmtId="0" fontId="5" fillId="5" borderId="22" xfId="0" applyNumberFormat="1" applyFont="1" applyFill="1" applyBorder="1" applyAlignment="1" applyProtection="1"/>
    <xf numFmtId="164" fontId="16" fillId="0" borderId="0" xfId="0" applyNumberFormat="1" applyFont="1" applyFill="1"/>
    <xf numFmtId="0" fontId="16" fillId="0" borderId="0" xfId="0" applyFont="1" applyFill="1" applyBorder="1"/>
    <xf numFmtId="170" fontId="18" fillId="4" borderId="10" xfId="0" applyNumberFormat="1" applyFont="1" applyFill="1" applyBorder="1" applyAlignment="1" applyProtection="1">
      <alignment horizontal="right"/>
    </xf>
    <xf numFmtId="170" fontId="18" fillId="4" borderId="14" xfId="0" applyNumberFormat="1" applyFont="1" applyFill="1" applyBorder="1" applyAlignment="1" applyProtection="1">
      <alignment horizontal="right"/>
    </xf>
    <xf numFmtId="170" fontId="5" fillId="0" borderId="0" xfId="0" applyNumberFormat="1" applyFont="1" applyFill="1" applyBorder="1" applyAlignment="1" applyProtection="1"/>
    <xf numFmtId="3" fontId="19" fillId="0" borderId="0" xfId="0" applyNumberFormat="1" applyFont="1" applyFill="1" applyBorder="1" applyAlignment="1" applyProtection="1">
      <alignment horizontal="right"/>
    </xf>
    <xf numFmtId="170" fontId="9" fillId="4" borderId="14" xfId="0" applyNumberFormat="1" applyFont="1" applyFill="1" applyBorder="1" applyAlignment="1" applyProtection="1">
      <alignment horizontal="right"/>
    </xf>
    <xf numFmtId="170" fontId="3" fillId="2" borderId="10" xfId="0" applyNumberFormat="1" applyFont="1" applyFill="1" applyBorder="1" applyAlignment="1" applyProtection="1"/>
    <xf numFmtId="170" fontId="4" fillId="0" borderId="10" xfId="0" applyNumberFormat="1" applyFont="1" applyFill="1" applyBorder="1" applyAlignment="1" applyProtection="1"/>
    <xf numFmtId="168" fontId="16" fillId="0" borderId="0" xfId="0" applyNumberFormat="1" applyFont="1" applyAlignment="1">
      <alignment horizontal="right"/>
    </xf>
    <xf numFmtId="0" fontId="5" fillId="0" borderId="15" xfId="0" applyFont="1" applyFill="1" applyBorder="1" applyAlignment="1">
      <alignment horizontal="right"/>
    </xf>
    <xf numFmtId="3" fontId="5" fillId="0" borderId="10" xfId="0" applyNumberFormat="1" applyFont="1" applyFill="1" applyBorder="1" applyAlignment="1" applyProtection="1">
      <alignment horizontal="right"/>
    </xf>
    <xf numFmtId="164" fontId="8" fillId="0" borderId="0" xfId="0" applyNumberFormat="1" applyFont="1" applyFill="1"/>
    <xf numFmtId="169" fontId="1" fillId="0" borderId="0" xfId="0" applyNumberFormat="1" applyFont="1" applyFill="1"/>
    <xf numFmtId="169" fontId="6" fillId="0" borderId="0" xfId="0" applyNumberFormat="1" applyFont="1" applyFill="1"/>
    <xf numFmtId="3" fontId="4" fillId="0" borderId="51" xfId="0" applyNumberFormat="1" applyFont="1" applyFill="1" applyBorder="1" applyAlignment="1" applyProtection="1"/>
    <xf numFmtId="170" fontId="25" fillId="4" borderId="18" xfId="0" applyNumberFormat="1" applyFont="1" applyFill="1" applyBorder="1" applyAlignment="1" applyProtection="1">
      <alignment horizontal="right"/>
    </xf>
    <xf numFmtId="3" fontId="5" fillId="0" borderId="15" xfId="0" applyNumberFormat="1" applyFont="1" applyFill="1" applyBorder="1" applyAlignment="1" applyProtection="1"/>
    <xf numFmtId="3" fontId="3" fillId="0" borderId="18" xfId="0" applyNumberFormat="1" applyFont="1" applyFill="1" applyBorder="1" applyAlignment="1" applyProtection="1">
      <alignment horizontal="right"/>
    </xf>
    <xf numFmtId="0" fontId="16" fillId="0" borderId="38" xfId="0" applyFont="1" applyBorder="1"/>
    <xf numFmtId="0" fontId="16" fillId="0" borderId="44" xfId="0" applyFont="1" applyBorder="1"/>
    <xf numFmtId="0" fontId="7" fillId="0" borderId="41" xfId="0" applyFont="1" applyBorder="1"/>
    <xf numFmtId="0" fontId="3" fillId="0" borderId="44" xfId="0" applyFont="1" applyBorder="1"/>
    <xf numFmtId="0" fontId="3" fillId="0" borderId="47" xfId="0" applyFont="1" applyBorder="1"/>
    <xf numFmtId="0" fontId="5" fillId="0" borderId="44" xfId="0" applyFont="1" applyBorder="1"/>
    <xf numFmtId="0" fontId="7" fillId="0" borderId="44" xfId="0" applyFont="1" applyBorder="1"/>
    <xf numFmtId="3" fontId="6" fillId="3" borderId="9" xfId="0" applyNumberFormat="1" applyFont="1" applyFill="1" applyBorder="1" applyAlignment="1" applyProtection="1"/>
    <xf numFmtId="169" fontId="3" fillId="0" borderId="0" xfId="0" applyNumberFormat="1" applyFont="1" applyFill="1" applyBorder="1" applyAlignment="1">
      <alignment horizontal="center"/>
    </xf>
    <xf numFmtId="169" fontId="6" fillId="0" borderId="0" xfId="0" applyNumberFormat="1" applyFont="1" applyFill="1" applyBorder="1"/>
    <xf numFmtId="169" fontId="4" fillId="0" borderId="0" xfId="0" applyNumberFormat="1" applyFont="1" applyFill="1" applyBorder="1"/>
    <xf numFmtId="3" fontId="4" fillId="3" borderId="39" xfId="0" applyNumberFormat="1" applyFont="1" applyFill="1" applyBorder="1" applyAlignment="1" applyProtection="1"/>
    <xf numFmtId="0" fontId="6" fillId="0" borderId="39" xfId="0" applyNumberFormat="1" applyFont="1" applyFill="1" applyBorder="1" applyAlignment="1" applyProtection="1"/>
    <xf numFmtId="0" fontId="4" fillId="0" borderId="9" xfId="0" applyNumberFormat="1" applyFont="1" applyFill="1" applyBorder="1" applyAlignment="1" applyProtection="1">
      <alignment horizontal="left"/>
    </xf>
    <xf numFmtId="9" fontId="4" fillId="0" borderId="4" xfId="2" applyFont="1" applyFill="1" applyBorder="1" applyAlignment="1" applyProtection="1">
      <alignment horizontal="left"/>
    </xf>
    <xf numFmtId="164" fontId="10" fillId="0" borderId="50" xfId="0" applyNumberFormat="1" applyFont="1" applyFill="1" applyBorder="1" applyAlignment="1" applyProtection="1">
      <alignment horizontal="right"/>
    </xf>
    <xf numFmtId="164" fontId="9" fillId="0" borderId="50" xfId="0" applyNumberFormat="1" applyFont="1" applyFill="1" applyBorder="1" applyAlignment="1" applyProtection="1">
      <alignment horizontal="right"/>
    </xf>
    <xf numFmtId="164" fontId="13" fillId="0" borderId="49" xfId="0" applyNumberFormat="1" applyFont="1" applyFill="1" applyBorder="1" applyAlignment="1" applyProtection="1">
      <alignment horizontal="right"/>
    </xf>
    <xf numFmtId="0" fontId="4" fillId="0" borderId="26" xfId="0" applyNumberFormat="1" applyFont="1" applyFill="1" applyBorder="1" applyAlignment="1" applyProtection="1">
      <alignment horizontal="center"/>
    </xf>
    <xf numFmtId="0" fontId="4" fillId="10" borderId="52" xfId="0" applyNumberFormat="1" applyFont="1" applyFill="1" applyBorder="1" applyAlignment="1" applyProtection="1">
      <alignment horizontal="center"/>
    </xf>
    <xf numFmtId="0" fontId="4" fillId="10" borderId="48" xfId="0" applyNumberFormat="1" applyFont="1" applyFill="1" applyBorder="1" applyAlignment="1" applyProtection="1">
      <alignment horizontal="center"/>
    </xf>
    <xf numFmtId="0" fontId="4" fillId="10" borderId="18" xfId="0" applyNumberFormat="1" applyFont="1" applyFill="1" applyBorder="1" applyAlignment="1" applyProtection="1">
      <alignment horizontal="center"/>
    </xf>
    <xf numFmtId="170" fontId="4" fillId="10" borderId="34" xfId="0" applyNumberFormat="1" applyFont="1" applyFill="1" applyBorder="1" applyAlignment="1" applyProtection="1"/>
    <xf numFmtId="170" fontId="5" fillId="10" borderId="15" xfId="0" applyNumberFormat="1" applyFont="1" applyFill="1" applyBorder="1" applyAlignment="1" applyProtection="1"/>
    <xf numFmtId="170" fontId="4" fillId="10" borderId="48" xfId="0" applyNumberFormat="1" applyFont="1" applyFill="1" applyBorder="1" applyAlignment="1" applyProtection="1"/>
    <xf numFmtId="1" fontId="16" fillId="0" borderId="10" xfId="0" applyNumberFormat="1" applyFont="1" applyFill="1" applyBorder="1" applyAlignment="1" applyProtection="1">
      <alignment horizontal="right"/>
    </xf>
    <xf numFmtId="171" fontId="4" fillId="0" borderId="5" xfId="0" applyNumberFormat="1" applyFont="1" applyFill="1" applyBorder="1" applyAlignment="1" applyProtection="1">
      <alignment horizontal="center"/>
    </xf>
    <xf numFmtId="3" fontId="22" fillId="2" borderId="20" xfId="0" applyNumberFormat="1" applyFont="1" applyFill="1" applyBorder="1"/>
    <xf numFmtId="3" fontId="22" fillId="2" borderId="9" xfId="0" applyNumberFormat="1" applyFont="1" applyFill="1" applyBorder="1"/>
    <xf numFmtId="1" fontId="0" fillId="0" borderId="21" xfId="0" applyNumberFormat="1" applyFont="1" applyBorder="1"/>
    <xf numFmtId="1" fontId="0" fillId="0" borderId="8" xfId="0" applyNumberFormat="1" applyFont="1" applyBorder="1"/>
    <xf numFmtId="3" fontId="19" fillId="0" borderId="10" xfId="0" applyNumberFormat="1" applyFont="1" applyFill="1" applyBorder="1" applyAlignment="1" applyProtection="1">
      <alignment horizontal="right"/>
    </xf>
    <xf numFmtId="0" fontId="4" fillId="0" borderId="54" xfId="0" applyNumberFormat="1" applyFont="1" applyFill="1" applyBorder="1" applyAlignment="1" applyProtection="1">
      <alignment horizontal="center"/>
    </xf>
    <xf numFmtId="3" fontId="5" fillId="3" borderId="22" xfId="0" applyNumberFormat="1" applyFont="1" applyFill="1" applyBorder="1" applyAlignment="1" applyProtection="1"/>
    <xf numFmtId="4" fontId="5" fillId="0" borderId="10" xfId="0" applyNumberFormat="1" applyFont="1" applyFill="1" applyBorder="1" applyAlignment="1" applyProtection="1">
      <alignment horizontal="right"/>
    </xf>
    <xf numFmtId="0" fontId="4" fillId="0" borderId="39" xfId="0" applyNumberFormat="1" applyFont="1" applyFill="1" applyBorder="1" applyAlignment="1" applyProtection="1"/>
    <xf numFmtId="0" fontId="4" fillId="0" borderId="57" xfId="0" applyNumberFormat="1" applyFont="1" applyFill="1" applyBorder="1" applyAlignment="1" applyProtection="1">
      <alignment horizontal="left"/>
    </xf>
    <xf numFmtId="3" fontId="19" fillId="9" borderId="8" xfId="0" applyNumberFormat="1" applyFont="1" applyFill="1" applyBorder="1" applyAlignment="1" applyProtection="1">
      <alignment horizontal="left"/>
    </xf>
    <xf numFmtId="3" fontId="6" fillId="9" borderId="9" xfId="0" applyNumberFormat="1" applyFont="1" applyFill="1" applyBorder="1" applyAlignment="1" applyProtection="1"/>
    <xf numFmtId="0" fontId="5" fillId="0" borderId="39" xfId="0" applyFont="1" applyFill="1" applyBorder="1"/>
    <xf numFmtId="0" fontId="4" fillId="0" borderId="14" xfId="0" applyNumberFormat="1" applyFont="1" applyFill="1" applyBorder="1" applyAlignment="1" applyProtection="1">
      <alignment horizontal="center"/>
    </xf>
    <xf numFmtId="0" fontId="4" fillId="0" borderId="58" xfId="0" applyNumberFormat="1" applyFont="1" applyFill="1" applyBorder="1" applyAlignment="1" applyProtection="1">
      <alignment horizontal="center"/>
    </xf>
    <xf numFmtId="0" fontId="4" fillId="0" borderId="59" xfId="0" applyNumberFormat="1" applyFont="1" applyFill="1" applyBorder="1" applyAlignment="1" applyProtection="1"/>
    <xf numFmtId="0" fontId="5" fillId="0" borderId="16" xfId="0" applyNumberFormat="1" applyFont="1" applyFill="1" applyBorder="1" applyAlignment="1" applyProtection="1"/>
    <xf numFmtId="0" fontId="5" fillId="2" borderId="39" xfId="0" applyNumberFormat="1" applyFont="1" applyFill="1" applyBorder="1" applyAlignment="1" applyProtection="1"/>
    <xf numFmtId="0" fontId="4" fillId="0" borderId="16" xfId="0" applyNumberFormat="1" applyFont="1" applyFill="1" applyBorder="1" applyAlignment="1" applyProtection="1"/>
    <xf numFmtId="0" fontId="5" fillId="4" borderId="22" xfId="0" applyNumberFormat="1" applyFont="1" applyFill="1" applyBorder="1" applyAlignment="1" applyProtection="1"/>
    <xf numFmtId="3" fontId="5" fillId="2" borderId="23" xfId="0" applyNumberFormat="1" applyFont="1" applyFill="1" applyBorder="1" applyAlignment="1" applyProtection="1"/>
    <xf numFmtId="0" fontId="4" fillId="0" borderId="32" xfId="0" applyNumberFormat="1" applyFont="1" applyFill="1" applyBorder="1" applyAlignment="1" applyProtection="1">
      <alignment horizontal="center"/>
    </xf>
    <xf numFmtId="0" fontId="8" fillId="0" borderId="8" xfId="0" applyFont="1" applyBorder="1"/>
    <xf numFmtId="0" fontId="8" fillId="0" borderId="6" xfId="0" applyFont="1" applyBorder="1"/>
    <xf numFmtId="0" fontId="5" fillId="5" borderId="9" xfId="0" applyFont="1" applyFill="1" applyBorder="1"/>
    <xf numFmtId="0" fontId="5" fillId="5" borderId="22" xfId="0" applyFont="1" applyFill="1" applyBorder="1"/>
    <xf numFmtId="0" fontId="5" fillId="0" borderId="4" xfId="0" applyNumberFormat="1" applyFont="1" applyFill="1" applyBorder="1" applyAlignment="1" applyProtection="1"/>
    <xf numFmtId="164" fontId="9" fillId="3" borderId="13" xfId="0" applyNumberFormat="1" applyFont="1" applyFill="1" applyBorder="1" applyAlignment="1" applyProtection="1">
      <alignment horizontal="right"/>
    </xf>
    <xf numFmtId="0" fontId="5" fillId="0" borderId="10" xfId="0" applyFont="1" applyFill="1" applyBorder="1"/>
    <xf numFmtId="3" fontId="5" fillId="0" borderId="7" xfId="0" applyNumberFormat="1" applyFont="1" applyFill="1" applyBorder="1" applyAlignment="1" applyProtection="1">
      <alignment horizontal="right"/>
    </xf>
    <xf numFmtId="171" fontId="4" fillId="0" borderId="17" xfId="0" applyNumberFormat="1" applyFont="1" applyFill="1" applyBorder="1" applyAlignment="1" applyProtection="1">
      <alignment horizontal="center"/>
    </xf>
    <xf numFmtId="4" fontId="16" fillId="0" borderId="0" xfId="0" applyNumberFormat="1" applyFont="1" applyFill="1"/>
    <xf numFmtId="164" fontId="10" fillId="0" borderId="39" xfId="0" applyNumberFormat="1" applyFont="1" applyFill="1" applyBorder="1" applyAlignment="1" applyProtection="1">
      <alignment horizontal="right"/>
    </xf>
    <xf numFmtId="0" fontId="4" fillId="3" borderId="6" xfId="0" applyNumberFormat="1" applyFont="1" applyFill="1" applyBorder="1" applyAlignment="1" applyProtection="1">
      <alignment horizontal="center"/>
    </xf>
    <xf numFmtId="0" fontId="3" fillId="0" borderId="43" xfId="0" applyFont="1" applyFill="1" applyBorder="1"/>
    <xf numFmtId="0" fontId="3" fillId="0" borderId="35" xfId="0" applyFont="1" applyFill="1" applyBorder="1"/>
    <xf numFmtId="0" fontId="16" fillId="0" borderId="3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49" fontId="5" fillId="0" borderId="18" xfId="0" applyNumberFormat="1" applyFont="1" applyFill="1" applyBorder="1" applyAlignment="1">
      <alignment horizontal="center"/>
    </xf>
    <xf numFmtId="0" fontId="3" fillId="0" borderId="8" xfId="0" applyFont="1" applyFill="1" applyBorder="1"/>
    <xf numFmtId="1" fontId="3" fillId="0" borderId="23" xfId="0" applyNumberFormat="1" applyFont="1" applyFill="1" applyBorder="1"/>
    <xf numFmtId="1" fontId="3" fillId="0" borderId="8" xfId="0" applyNumberFormat="1" applyFont="1" applyFill="1" applyBorder="1"/>
    <xf numFmtId="1" fontId="3" fillId="0" borderId="21" xfId="0" applyNumberFormat="1" applyFont="1" applyFill="1" applyBorder="1"/>
    <xf numFmtId="1" fontId="5" fillId="3" borderId="8" xfId="0" applyNumberFormat="1" applyFont="1" applyFill="1" applyBorder="1" applyAlignment="1" applyProtection="1"/>
    <xf numFmtId="3" fontId="0" fillId="0" borderId="0" xfId="0" applyNumberFormat="1"/>
    <xf numFmtId="3" fontId="16" fillId="0" borderId="10" xfId="0" applyNumberFormat="1" applyFont="1" applyBorder="1" applyAlignment="1">
      <alignment horizontal="right"/>
    </xf>
    <xf numFmtId="3" fontId="6" fillId="0" borderId="8" xfId="0" applyNumberFormat="1" applyFont="1" applyFill="1" applyBorder="1" applyAlignment="1" applyProtection="1"/>
    <xf numFmtId="3" fontId="27" fillId="0" borderId="10" xfId="0" applyNumberFormat="1" applyFont="1" applyFill="1" applyBorder="1" applyAlignment="1" applyProtection="1">
      <alignment horizontal="right"/>
    </xf>
    <xf numFmtId="0" fontId="28" fillId="0" borderId="22" xfId="0" applyNumberFormat="1" applyFont="1" applyFill="1" applyBorder="1" applyAlignment="1" applyProtection="1"/>
    <xf numFmtId="0" fontId="28" fillId="0" borderId="13" xfId="0" applyNumberFormat="1" applyFont="1" applyFill="1" applyBorder="1" applyAlignment="1" applyProtection="1"/>
    <xf numFmtId="3" fontId="28" fillId="0" borderId="23" xfId="0" applyNumberFormat="1" applyFont="1" applyFill="1" applyBorder="1" applyAlignment="1" applyProtection="1"/>
    <xf numFmtId="0" fontId="28" fillId="3" borderId="22" xfId="0" applyNumberFormat="1" applyFont="1" applyFill="1" applyBorder="1" applyAlignment="1" applyProtection="1"/>
    <xf numFmtId="0" fontId="28" fillId="5" borderId="22" xfId="0" applyFont="1" applyFill="1" applyBorder="1"/>
    <xf numFmtId="3" fontId="28" fillId="5" borderId="23" xfId="0" applyNumberFormat="1" applyFont="1" applyFill="1" applyBorder="1" applyAlignment="1" applyProtection="1"/>
    <xf numFmtId="0" fontId="28" fillId="0" borderId="0" xfId="0" applyFont="1"/>
    <xf numFmtId="0" fontId="5" fillId="12" borderId="39" xfId="0" applyNumberFormat="1" applyFont="1" applyFill="1" applyBorder="1" applyAlignment="1" applyProtection="1"/>
    <xf numFmtId="4" fontId="6" fillId="0" borderId="0" xfId="0" applyNumberFormat="1" applyFont="1" applyFill="1" applyBorder="1" applyAlignment="1"/>
    <xf numFmtId="4" fontId="5" fillId="0" borderId="0" xfId="0" applyNumberFormat="1" applyFont="1" applyFill="1" applyBorder="1" applyAlignment="1" applyProtection="1"/>
    <xf numFmtId="4" fontId="0" fillId="0" borderId="0" xfId="0" applyNumberFormat="1" applyFill="1" applyBorder="1" applyAlignment="1"/>
    <xf numFmtId="3" fontId="5" fillId="0" borderId="45" xfId="0" applyNumberFormat="1" applyFont="1" applyFill="1" applyBorder="1" applyAlignment="1" applyProtection="1"/>
    <xf numFmtId="1" fontId="5" fillId="0" borderId="10" xfId="0" applyNumberFormat="1" applyFont="1" applyFill="1" applyBorder="1" applyAlignment="1" applyProtection="1"/>
    <xf numFmtId="172" fontId="4" fillId="0" borderId="10" xfId="0" applyNumberFormat="1" applyFont="1" applyFill="1" applyBorder="1"/>
    <xf numFmtId="4" fontId="5" fillId="0" borderId="0" xfId="0" applyNumberFormat="1" applyFont="1" applyFill="1"/>
    <xf numFmtId="0" fontId="5" fillId="0" borderId="14" xfId="0" applyNumberFormat="1" applyFont="1" applyFill="1" applyBorder="1" applyAlignment="1" applyProtection="1">
      <alignment horizontal="right"/>
    </xf>
    <xf numFmtId="4" fontId="16" fillId="0" borderId="0" xfId="0" applyNumberFormat="1" applyFont="1" applyFill="1" applyBorder="1"/>
    <xf numFmtId="168" fontId="16" fillId="0" borderId="0" xfId="0" applyNumberFormat="1" applyFont="1" applyFill="1" applyBorder="1"/>
    <xf numFmtId="0" fontId="0" fillId="0" borderId="0" xfId="0" applyFill="1"/>
    <xf numFmtId="164" fontId="16" fillId="0" borderId="0" xfId="0" applyNumberFormat="1" applyFont="1" applyFill="1" applyBorder="1"/>
    <xf numFmtId="0" fontId="5" fillId="0" borderId="0" xfId="0" applyFont="1" applyFill="1" applyBorder="1"/>
    <xf numFmtId="4" fontId="5" fillId="0" borderId="0" xfId="0" applyNumberFormat="1" applyFont="1" applyFill="1" applyBorder="1" applyAlignment="1"/>
    <xf numFmtId="0" fontId="5" fillId="0" borderId="19" xfId="0" applyNumberFormat="1" applyFont="1" applyFill="1" applyBorder="1" applyAlignment="1" applyProtection="1"/>
    <xf numFmtId="0" fontId="5" fillId="0" borderId="32" xfId="0" applyNumberFormat="1" applyFont="1" applyFill="1" applyBorder="1" applyAlignment="1" applyProtection="1"/>
    <xf numFmtId="3" fontId="5" fillId="0" borderId="37" xfId="0" applyNumberFormat="1" applyFont="1" applyFill="1" applyBorder="1" applyAlignment="1" applyProtection="1"/>
    <xf numFmtId="0" fontId="5" fillId="3" borderId="32" xfId="0" applyNumberFormat="1" applyFont="1" applyFill="1" applyBorder="1" applyAlignment="1" applyProtection="1"/>
    <xf numFmtId="0" fontId="5" fillId="3" borderId="37" xfId="0" applyNumberFormat="1" applyFont="1" applyFill="1" applyBorder="1" applyAlignment="1" applyProtection="1"/>
    <xf numFmtId="0" fontId="5" fillId="10" borderId="52" xfId="0" applyNumberFormat="1" applyFont="1" applyFill="1" applyBorder="1" applyAlignment="1" applyProtection="1"/>
    <xf numFmtId="170" fontId="4" fillId="10" borderId="53" xfId="0" applyNumberFormat="1" applyFont="1" applyFill="1" applyBorder="1" applyAlignment="1" applyProtection="1">
      <alignment horizontal="right"/>
    </xf>
    <xf numFmtId="4" fontId="4" fillId="0" borderId="55" xfId="0" applyNumberFormat="1" applyFont="1" applyFill="1" applyBorder="1" applyAlignment="1" applyProtection="1">
      <alignment horizontal="center"/>
    </xf>
    <xf numFmtId="3" fontId="5" fillId="4" borderId="15" xfId="0" applyNumberFormat="1" applyFont="1" applyFill="1" applyBorder="1" applyAlignment="1" applyProtection="1"/>
    <xf numFmtId="4" fontId="4" fillId="0" borderId="39" xfId="0" applyNumberFormat="1" applyFont="1" applyFill="1" applyBorder="1" applyAlignment="1" applyProtection="1">
      <alignment horizontal="center"/>
    </xf>
    <xf numFmtId="172" fontId="4" fillId="0" borderId="12" xfId="0" applyNumberFormat="1" applyFont="1" applyFill="1" applyBorder="1" applyAlignment="1" applyProtection="1"/>
    <xf numFmtId="3" fontId="7" fillId="0" borderId="0" xfId="0" applyNumberFormat="1" applyFont="1" applyFill="1"/>
    <xf numFmtId="1" fontId="5" fillId="3" borderId="22" xfId="0" applyNumberFormat="1" applyFont="1" applyFill="1" applyBorder="1" applyAlignment="1" applyProtection="1"/>
    <xf numFmtId="3" fontId="4" fillId="0" borderId="37" xfId="0" applyNumberFormat="1" applyFont="1" applyFill="1" applyBorder="1" applyAlignment="1" applyProtection="1">
      <alignment horizontal="center"/>
    </xf>
    <xf numFmtId="0" fontId="5" fillId="0" borderId="10" xfId="0" applyNumberFormat="1" applyFont="1" applyFill="1" applyBorder="1" applyAlignment="1" applyProtection="1">
      <alignment horizontal="center"/>
    </xf>
    <xf numFmtId="3" fontId="5" fillId="13" borderId="9" xfId="0" applyNumberFormat="1" applyFont="1" applyFill="1" applyBorder="1" applyAlignment="1" applyProtection="1"/>
    <xf numFmtId="1" fontId="22" fillId="2" borderId="44" xfId="0" applyNumberFormat="1" applyFont="1" applyFill="1" applyBorder="1"/>
    <xf numFmtId="0" fontId="5" fillId="12" borderId="10" xfId="0" applyNumberFormat="1" applyFont="1" applyFill="1" applyBorder="1" applyAlignment="1" applyProtection="1"/>
    <xf numFmtId="0" fontId="0" fillId="0" borderId="0" xfId="0"/>
    <xf numFmtId="3" fontId="5" fillId="0" borderId="7" xfId="0" applyNumberFormat="1" applyFont="1" applyBorder="1"/>
    <xf numFmtId="3" fontId="4" fillId="0" borderId="7" xfId="0" applyNumberFormat="1" applyFont="1" applyBorder="1"/>
    <xf numFmtId="0" fontId="16" fillId="0" borderId="0" xfId="0" applyFont="1"/>
    <xf numFmtId="164" fontId="5" fillId="0" borderId="7" xfId="0" applyNumberFormat="1" applyFont="1" applyBorder="1"/>
    <xf numFmtId="164" fontId="4" fillId="0" borderId="7" xfId="0" applyNumberFormat="1" applyFont="1" applyBorder="1"/>
    <xf numFmtId="0" fontId="3" fillId="0" borderId="0" xfId="0" applyFont="1" applyFill="1"/>
    <xf numFmtId="4" fontId="0" fillId="0" borderId="0" xfId="0" applyNumberFormat="1" applyFont="1" applyFill="1" applyBorder="1"/>
    <xf numFmtId="3" fontId="19" fillId="0" borderId="0" xfId="0" applyNumberFormat="1" applyFont="1" applyFill="1" applyBorder="1" applyAlignment="1" applyProtection="1">
      <alignment horizontal="left"/>
    </xf>
    <xf numFmtId="10" fontId="16" fillId="0" borderId="0" xfId="2" applyNumberFormat="1" applyFont="1"/>
    <xf numFmtId="3" fontId="10" fillId="11" borderId="10" xfId="0" applyNumberFormat="1" applyFont="1" applyFill="1" applyBorder="1" applyAlignment="1" applyProtection="1">
      <alignment horizontal="right"/>
    </xf>
    <xf numFmtId="173" fontId="10" fillId="0" borderId="10" xfId="0" applyNumberFormat="1" applyFont="1" applyFill="1" applyBorder="1" applyAlignment="1" applyProtection="1">
      <alignment horizontal="right"/>
    </xf>
    <xf numFmtId="164" fontId="19" fillId="0" borderId="10" xfId="0" applyNumberFormat="1" applyFont="1" applyFill="1" applyBorder="1" applyAlignment="1" applyProtection="1">
      <alignment horizontal="right"/>
    </xf>
    <xf numFmtId="174" fontId="10" fillId="0" borderId="10" xfId="0" applyNumberFormat="1" applyFont="1" applyFill="1" applyBorder="1" applyAlignment="1" applyProtection="1">
      <alignment horizontal="right"/>
    </xf>
    <xf numFmtId="3" fontId="8" fillId="0" borderId="8" xfId="0" applyNumberFormat="1" applyFont="1" applyFill="1" applyBorder="1" applyAlignment="1" applyProtection="1"/>
    <xf numFmtId="9" fontId="0" fillId="0" borderId="0" xfId="2" applyFont="1" applyFill="1" applyBorder="1" applyAlignment="1"/>
    <xf numFmtId="9" fontId="4" fillId="0" borderId="37" xfId="2" applyFont="1" applyFill="1" applyBorder="1" applyAlignment="1" applyProtection="1">
      <alignment horizontal="center"/>
    </xf>
    <xf numFmtId="9" fontId="4" fillId="0" borderId="8" xfId="2" applyFont="1" applyFill="1" applyBorder="1" applyAlignment="1" applyProtection="1">
      <alignment horizontal="center"/>
    </xf>
    <xf numFmtId="9" fontId="4" fillId="0" borderId="6" xfId="2" applyFont="1" applyFill="1" applyBorder="1" applyAlignment="1" applyProtection="1">
      <alignment horizontal="center"/>
    </xf>
    <xf numFmtId="9" fontId="4" fillId="0" borderId="3" xfId="2" applyFont="1" applyFill="1" applyBorder="1" applyAlignment="1" applyProtection="1"/>
    <xf numFmtId="9" fontId="5" fillId="0" borderId="8" xfId="2" applyFont="1" applyFill="1" applyBorder="1" applyAlignment="1" applyProtection="1"/>
    <xf numFmtId="9" fontId="4" fillId="0" borderId="21" xfId="2" applyFont="1" applyFill="1" applyBorder="1" applyAlignment="1" applyProtection="1"/>
    <xf numFmtId="9" fontId="5" fillId="0" borderId="23" xfId="2" applyFont="1" applyFill="1" applyBorder="1" applyAlignment="1" applyProtection="1"/>
    <xf numFmtId="9" fontId="4" fillId="0" borderId="8" xfId="2" applyFont="1" applyFill="1" applyBorder="1" applyAlignment="1" applyProtection="1"/>
    <xf numFmtId="9" fontId="5" fillId="0" borderId="45" xfId="2" applyFont="1" applyFill="1" applyBorder="1" applyAlignment="1" applyProtection="1"/>
    <xf numFmtId="9" fontId="8" fillId="0" borderId="8" xfId="2" applyFont="1" applyFill="1" applyBorder="1" applyAlignment="1" applyProtection="1"/>
    <xf numFmtId="9" fontId="4" fillId="0" borderId="51" xfId="2" applyFont="1" applyFill="1" applyBorder="1" applyAlignment="1" applyProtection="1"/>
    <xf numFmtId="9" fontId="5" fillId="0" borderId="37" xfId="2" applyFont="1" applyFill="1" applyBorder="1" applyAlignment="1" applyProtection="1"/>
    <xf numFmtId="9" fontId="5" fillId="0" borderId="0" xfId="2" applyFont="1" applyFill="1" applyBorder="1" applyAlignment="1" applyProtection="1"/>
    <xf numFmtId="9" fontId="16" fillId="0" borderId="0" xfId="2" applyFont="1" applyFill="1"/>
    <xf numFmtId="9" fontId="9" fillId="0" borderId="14" xfId="2" applyFont="1" applyFill="1" applyBorder="1" applyAlignment="1" applyProtection="1">
      <alignment horizontal="right"/>
    </xf>
    <xf numFmtId="0" fontId="7" fillId="0" borderId="0" xfId="0" applyFont="1"/>
    <xf numFmtId="0" fontId="7" fillId="0" borderId="62" xfId="0" applyFont="1" applyBorder="1"/>
    <xf numFmtId="0" fontId="0" fillId="0" borderId="62" xfId="0" applyBorder="1"/>
    <xf numFmtId="0" fontId="0" fillId="0" borderId="62" xfId="0" applyFill="1" applyBorder="1"/>
    <xf numFmtId="168" fontId="5" fillId="0" borderId="0" xfId="0" applyNumberFormat="1" applyFont="1" applyFill="1" applyBorder="1" applyAlignment="1" applyProtection="1">
      <alignment horizontal="right"/>
    </xf>
    <xf numFmtId="173" fontId="18" fillId="4" borderId="19" xfId="0" applyNumberFormat="1" applyFont="1" applyFill="1" applyBorder="1" applyAlignment="1" applyProtection="1">
      <alignment horizontal="right"/>
    </xf>
    <xf numFmtId="164" fontId="5" fillId="0" borderId="7" xfId="0" applyNumberFormat="1" applyFont="1" applyFill="1" applyBorder="1"/>
    <xf numFmtId="172" fontId="5" fillId="0" borderId="0" xfId="0" applyNumberFormat="1" applyFont="1" applyFill="1" applyBorder="1" applyAlignment="1" applyProtection="1"/>
    <xf numFmtId="3" fontId="5" fillId="2" borderId="4" xfId="0" applyNumberFormat="1" applyFont="1" applyFill="1" applyBorder="1"/>
    <xf numFmtId="0" fontId="5" fillId="0" borderId="8" xfId="0" applyNumberFormat="1" applyFont="1" applyFill="1" applyBorder="1" applyAlignment="1" applyProtection="1"/>
    <xf numFmtId="169" fontId="5" fillId="0" borderId="0" xfId="0" applyNumberFormat="1" applyFont="1" applyFill="1" applyBorder="1" applyAlignment="1" applyProtection="1"/>
    <xf numFmtId="3" fontId="4" fillId="0" borderId="17" xfId="0" applyNumberFormat="1" applyFont="1" applyFill="1" applyBorder="1" applyAlignment="1" applyProtection="1">
      <alignment horizontal="center"/>
    </xf>
    <xf numFmtId="0" fontId="16" fillId="0" borderId="62" xfId="0" applyFont="1" applyBorder="1"/>
    <xf numFmtId="3" fontId="0" fillId="0" borderId="62" xfId="0" applyNumberFormat="1" applyBorder="1"/>
    <xf numFmtId="0" fontId="3" fillId="0" borderId="62" xfId="0" applyFont="1" applyBorder="1"/>
    <xf numFmtId="3" fontId="7" fillId="0" borderId="62" xfId="0" applyNumberFormat="1" applyFont="1" applyBorder="1"/>
    <xf numFmtId="0" fontId="0" fillId="0" borderId="62" xfId="0" applyNumberFormat="1" applyFont="1" applyFill="1" applyBorder="1" applyAlignment="1" applyProtection="1"/>
    <xf numFmtId="3" fontId="0" fillId="0" borderId="62" xfId="0" applyNumberFormat="1" applyFont="1" applyBorder="1"/>
    <xf numFmtId="0" fontId="7" fillId="0" borderId="62" xfId="0" applyNumberFormat="1" applyFont="1" applyFill="1" applyBorder="1" applyAlignment="1" applyProtection="1"/>
    <xf numFmtId="3" fontId="7" fillId="0" borderId="0" xfId="0" applyNumberFormat="1" applyFont="1"/>
    <xf numFmtId="3" fontId="5" fillId="4" borderId="0" xfId="0" applyNumberFormat="1" applyFont="1" applyFill="1" applyBorder="1" applyAlignment="1" applyProtection="1"/>
    <xf numFmtId="0" fontId="32" fillId="0" borderId="0" xfId="0" applyFont="1"/>
    <xf numFmtId="0" fontId="33" fillId="0" borderId="0" xfId="0" applyFont="1"/>
    <xf numFmtId="0" fontId="26" fillId="0" borderId="0" xfId="0" applyFont="1"/>
    <xf numFmtId="0" fontId="33" fillId="0" borderId="1" xfId="0" applyFont="1" applyBorder="1" applyAlignment="1">
      <alignment wrapText="1"/>
    </xf>
    <xf numFmtId="0" fontId="33" fillId="0" borderId="2" xfId="0" applyFont="1" applyBorder="1" applyAlignment="1">
      <alignment textRotation="88" wrapText="1"/>
    </xf>
    <xf numFmtId="0" fontId="33" fillId="0" borderId="2" xfId="0" applyFont="1" applyBorder="1" applyAlignment="1">
      <alignment wrapText="1"/>
    </xf>
    <xf numFmtId="0" fontId="33" fillId="0" borderId="63" xfId="0" applyFont="1" applyBorder="1" applyAlignment="1">
      <alignment horizontal="left"/>
    </xf>
    <xf numFmtId="0" fontId="0" fillId="0" borderId="63" xfId="0" applyBorder="1" applyAlignment="1">
      <alignment horizontal="center"/>
    </xf>
    <xf numFmtId="0" fontId="0" fillId="0" borderId="42" xfId="0" applyBorder="1" applyAlignment="1">
      <alignment horizontal="center"/>
    </xf>
    <xf numFmtId="0" fontId="33" fillId="0" borderId="3" xfId="0" applyFont="1" applyBorder="1" applyAlignment="1">
      <alignment wrapText="1"/>
    </xf>
    <xf numFmtId="0" fontId="33" fillId="0" borderId="4" xfId="0" applyFont="1" applyBorder="1" applyAlignment="1">
      <alignment wrapText="1"/>
    </xf>
    <xf numFmtId="0" fontId="33" fillId="0" borderId="26" xfId="0" applyFont="1" applyBorder="1" applyAlignment="1">
      <alignment wrapText="1"/>
    </xf>
    <xf numFmtId="0" fontId="33" fillId="0" borderId="5" xfId="0" applyFont="1" applyBorder="1" applyAlignment="1">
      <alignment wrapText="1"/>
    </xf>
    <xf numFmtId="0" fontId="33" fillId="0" borderId="28" xfId="0" applyFont="1" applyFill="1" applyBorder="1" applyAlignment="1">
      <alignment wrapText="1"/>
    </xf>
    <xf numFmtId="0" fontId="33" fillId="0" borderId="28" xfId="0" applyFont="1" applyBorder="1"/>
    <xf numFmtId="0" fontId="33" fillId="0" borderId="51" xfId="0" applyFont="1" applyBorder="1"/>
    <xf numFmtId="0" fontId="0" fillId="0" borderId="0" xfId="0" applyAlignment="1">
      <alignment wrapText="1"/>
    </xf>
    <xf numFmtId="0" fontId="26" fillId="0" borderId="32" xfId="0" applyFont="1" applyFill="1" applyBorder="1" applyAlignment="1">
      <alignment wrapText="1"/>
    </xf>
    <xf numFmtId="0" fontId="26" fillId="4" borderId="57" xfId="0" applyFont="1" applyFill="1" applyBorder="1" applyAlignment="1">
      <alignment wrapText="1"/>
    </xf>
    <xf numFmtId="0" fontId="0" fillId="0" borderId="19" xfId="0" applyFill="1" applyBorder="1" applyAlignment="1">
      <alignment wrapText="1"/>
    </xf>
    <xf numFmtId="0" fontId="34" fillId="4" borderId="19" xfId="0" applyFont="1" applyFill="1" applyBorder="1" applyAlignment="1">
      <alignment wrapText="1"/>
    </xf>
    <xf numFmtId="0" fontId="0" fillId="0" borderId="19" xfId="0" applyFill="1" applyBorder="1"/>
    <xf numFmtId="0" fontId="34" fillId="0" borderId="19" xfId="0" applyFont="1" applyFill="1" applyBorder="1" applyAlignment="1">
      <alignment wrapText="1"/>
    </xf>
    <xf numFmtId="0" fontId="26" fillId="9" borderId="37" xfId="0" applyFont="1" applyFill="1" applyBorder="1"/>
    <xf numFmtId="0" fontId="26" fillId="0" borderId="64" xfId="0" applyFont="1" applyFill="1" applyBorder="1" applyAlignment="1">
      <alignment wrapText="1"/>
    </xf>
    <xf numFmtId="0" fontId="26" fillId="4" borderId="24" xfId="0" applyFont="1" applyFill="1" applyBorder="1" applyAlignment="1">
      <alignment wrapText="1"/>
    </xf>
    <xf numFmtId="0" fontId="0" fillId="0" borderId="62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34" fillId="4" borderId="13" xfId="0" applyFont="1" applyFill="1" applyBorder="1" applyAlignment="1">
      <alignment wrapText="1"/>
    </xf>
    <xf numFmtId="0" fontId="34" fillId="0" borderId="62" xfId="0" applyFont="1" applyFill="1" applyBorder="1" applyAlignment="1">
      <alignment wrapText="1"/>
    </xf>
    <xf numFmtId="0" fontId="26" fillId="9" borderId="65" xfId="0" applyFont="1" applyFill="1" applyBorder="1"/>
    <xf numFmtId="0" fontId="0" fillId="0" borderId="22" xfId="0" applyFont="1" applyFill="1" applyBorder="1" applyAlignment="1">
      <alignment wrapText="1"/>
    </xf>
    <xf numFmtId="0" fontId="26" fillId="0" borderId="13" xfId="0" applyFont="1" applyFill="1" applyBorder="1" applyAlignment="1">
      <alignment wrapText="1"/>
    </xf>
    <xf numFmtId="0" fontId="26" fillId="0" borderId="62" xfId="0" applyFont="1" applyFill="1" applyBorder="1"/>
    <xf numFmtId="0" fontId="16" fillId="0" borderId="64" xfId="0" applyNumberFormat="1" applyFont="1" applyFill="1" applyBorder="1" applyAlignment="1" applyProtection="1">
      <alignment wrapText="1" shrinkToFit="1"/>
    </xf>
    <xf numFmtId="0" fontId="26" fillId="4" borderId="62" xfId="0" applyFont="1" applyFill="1" applyBorder="1" applyAlignment="1">
      <alignment wrapText="1"/>
    </xf>
    <xf numFmtId="0" fontId="34" fillId="4" borderId="62" xfId="0" applyFont="1" applyFill="1" applyBorder="1" applyAlignment="1">
      <alignment wrapText="1"/>
    </xf>
    <xf numFmtId="0" fontId="0" fillId="4" borderId="24" xfId="0" applyFont="1" applyFill="1" applyBorder="1" applyAlignment="1">
      <alignment wrapText="1"/>
    </xf>
    <xf numFmtId="0" fontId="34" fillId="0" borderId="62" xfId="0" applyFont="1" applyFill="1" applyBorder="1"/>
    <xf numFmtId="0" fontId="35" fillId="0" borderId="62" xfId="0" applyFont="1" applyFill="1" applyBorder="1"/>
    <xf numFmtId="0" fontId="26" fillId="7" borderId="62" xfId="0" applyFont="1" applyFill="1" applyBorder="1" applyAlignment="1">
      <alignment wrapText="1"/>
    </xf>
    <xf numFmtId="0" fontId="26" fillId="0" borderId="62" xfId="0" applyFont="1" applyFill="1" applyBorder="1" applyAlignment="1">
      <alignment wrapText="1"/>
    </xf>
    <xf numFmtId="0" fontId="0" fillId="11" borderId="62" xfId="0" applyFill="1" applyBorder="1"/>
    <xf numFmtId="0" fontId="26" fillId="9" borderId="50" xfId="0" applyFont="1" applyFill="1" applyBorder="1"/>
    <xf numFmtId="0" fontId="33" fillId="0" borderId="17" xfId="0" applyFont="1" applyBorder="1"/>
    <xf numFmtId="0" fontId="33" fillId="0" borderId="56" xfId="0" applyFont="1" applyBorder="1"/>
    <xf numFmtId="0" fontId="33" fillId="0" borderId="14" xfId="0" applyFont="1" applyBorder="1"/>
    <xf numFmtId="3" fontId="33" fillId="0" borderId="14" xfId="0" applyNumberFormat="1" applyFont="1" applyFill="1" applyBorder="1"/>
    <xf numFmtId="0" fontId="33" fillId="0" borderId="14" xfId="0" applyFont="1" applyFill="1" applyBorder="1"/>
    <xf numFmtId="0" fontId="33" fillId="0" borderId="54" xfId="0" applyFont="1" applyFill="1" applyBorder="1"/>
    <xf numFmtId="0" fontId="33" fillId="0" borderId="54" xfId="0" applyFont="1" applyBorder="1"/>
    <xf numFmtId="0" fontId="33" fillId="0" borderId="0" xfId="0" applyFont="1" applyBorder="1"/>
    <xf numFmtId="3" fontId="33" fillId="0" borderId="0" xfId="0" applyNumberFormat="1" applyFont="1" applyFill="1" applyBorder="1"/>
    <xf numFmtId="0" fontId="33" fillId="0" borderId="0" xfId="0" applyFont="1" applyFill="1" applyBorder="1"/>
    <xf numFmtId="0" fontId="33" fillId="0" borderId="36" xfId="0" applyFont="1" applyBorder="1"/>
    <xf numFmtId="0" fontId="26" fillId="0" borderId="66" xfId="0" applyFont="1" applyBorder="1"/>
    <xf numFmtId="0" fontId="0" fillId="0" borderId="66" xfId="0" applyBorder="1"/>
    <xf numFmtId="0" fontId="34" fillId="0" borderId="14" xfId="0" applyFont="1" applyFill="1" applyBorder="1" applyAlignment="1">
      <alignment wrapText="1"/>
    </xf>
    <xf numFmtId="0" fontId="0" fillId="0" borderId="66" xfId="0" applyFill="1" applyBorder="1"/>
    <xf numFmtId="0" fontId="33" fillId="0" borderId="14" xfId="0" applyFont="1" applyFill="1" applyBorder="1" applyAlignment="1">
      <alignment wrapText="1"/>
    </xf>
    <xf numFmtId="0" fontId="0" fillId="0" borderId="43" xfId="0" applyBorder="1"/>
    <xf numFmtId="0" fontId="0" fillId="0" borderId="64" xfId="0" applyFont="1" applyFill="1" applyBorder="1" applyAlignment="1">
      <alignment wrapText="1"/>
    </xf>
    <xf numFmtId="0" fontId="34" fillId="0" borderId="13" xfId="0" applyFont="1" applyFill="1" applyBorder="1" applyAlignment="1">
      <alignment wrapText="1"/>
    </xf>
    <xf numFmtId="3" fontId="26" fillId="0" borderId="0" xfId="0" applyNumberFormat="1" applyFont="1"/>
    <xf numFmtId="0" fontId="34" fillId="0" borderId="19" xfId="0" applyFont="1" applyFill="1" applyBorder="1"/>
    <xf numFmtId="169" fontId="0" fillId="0" borderId="0" xfId="0" applyNumberFormat="1" applyFont="1" applyFill="1"/>
    <xf numFmtId="0" fontId="4" fillId="3" borderId="60" xfId="0" applyNumberFormat="1" applyFont="1" applyFill="1" applyBorder="1" applyAlignment="1" applyProtection="1">
      <alignment horizontal="center"/>
    </xf>
    <xf numFmtId="0" fontId="0" fillId="3" borderId="61" xfId="0" applyFill="1" applyBorder="1" applyAlignment="1">
      <alignment horizontal="center"/>
    </xf>
    <xf numFmtId="0" fontId="34" fillId="0" borderId="62" xfId="0" applyFont="1" applyFill="1" applyBorder="1" applyAlignment="1">
      <alignment horizontal="center" wrapText="1"/>
    </xf>
    <xf numFmtId="0" fontId="0" fillId="0" borderId="62" xfId="0" applyFill="1" applyBorder="1" applyAlignment="1">
      <alignment horizontal="center" wrapText="1"/>
    </xf>
  </cellXfs>
  <cellStyles count="3">
    <cellStyle name="Normální" xfId="0" builtinId="0"/>
    <cellStyle name="Normální 2" xfId="1"/>
    <cellStyle name="Procenta" xfId="2" builtinId="5"/>
  </cellStyles>
  <dxfs count="0"/>
  <tableStyles count="0" defaultTableStyle="TableStyleMedium2" defaultPivotStyle="PivotStyleLight16"/>
  <colors>
    <mruColors>
      <color rgb="FFFFFF99"/>
      <color rgb="FFCC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Q55"/>
  <sheetViews>
    <sheetView tabSelected="1" workbookViewId="0">
      <selection activeCell="E33" sqref="E33"/>
    </sheetView>
  </sheetViews>
  <sheetFormatPr defaultColWidth="7.85546875" defaultRowHeight="12.75" x14ac:dyDescent="0.2"/>
  <cols>
    <col min="1" max="1" width="7.42578125" style="95" customWidth="1"/>
    <col min="2" max="2" width="22.85546875" style="95" customWidth="1"/>
    <col min="3" max="3" width="9.28515625" style="103" customWidth="1"/>
    <col min="4" max="4" width="9.42578125" style="95" customWidth="1"/>
    <col min="5" max="5" width="11.5703125" style="113" customWidth="1"/>
    <col min="6" max="6" width="6.5703125" style="95" customWidth="1"/>
    <col min="7" max="8" width="8.85546875" style="95" hidden="1" customWidth="1"/>
    <col min="9" max="9" width="9.85546875" style="95" hidden="1" customWidth="1"/>
    <col min="10" max="11" width="9.42578125" style="95" hidden="1" customWidth="1"/>
    <col min="12" max="12" width="9.28515625" style="95" hidden="1" customWidth="1"/>
    <col min="13" max="14" width="9.28515625" style="95" customWidth="1"/>
    <col min="15" max="15" width="17" style="95" customWidth="1"/>
    <col min="16" max="17" width="9.28515625" style="95" customWidth="1"/>
    <col min="18" max="18" width="13.5703125" style="95" customWidth="1"/>
    <col min="19" max="16384" width="7.85546875" style="95"/>
  </cols>
  <sheetData>
    <row r="1" spans="1:17" s="1" customFormat="1" ht="18" x14ac:dyDescent="0.25">
      <c r="B1" s="105" t="s">
        <v>449</v>
      </c>
      <c r="C1" s="2"/>
      <c r="E1" s="191"/>
    </row>
    <row r="2" spans="1:17" s="1" customFormat="1" ht="15.75" x14ac:dyDescent="0.25">
      <c r="B2" s="452" t="s">
        <v>563</v>
      </c>
      <c r="C2" s="162"/>
      <c r="D2" s="162"/>
      <c r="E2" s="19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spans="1:17" s="1" customFormat="1" ht="15.75" x14ac:dyDescent="0.25">
      <c r="B3" s="452" t="s">
        <v>564</v>
      </c>
      <c r="C3" s="162"/>
      <c r="D3" s="162"/>
      <c r="E3" s="19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7" s="1" customFormat="1" ht="15.75" x14ac:dyDescent="0.25">
      <c r="B4" s="452" t="s">
        <v>565</v>
      </c>
      <c r="C4" s="162"/>
      <c r="D4" s="162"/>
      <c r="E4" s="192"/>
      <c r="F4" s="162"/>
      <c r="G4" s="162"/>
      <c r="H4" s="162"/>
      <c r="I4" s="162"/>
      <c r="J4" s="162"/>
      <c r="K4" s="162"/>
      <c r="L4" s="162"/>
      <c r="M4" s="162"/>
      <c r="N4" s="162"/>
      <c r="O4" s="162"/>
    </row>
    <row r="5" spans="1:17" s="1" customFormat="1" ht="15.75" x14ac:dyDescent="0.25">
      <c r="B5" s="452" t="s">
        <v>566</v>
      </c>
      <c r="C5" s="162"/>
      <c r="D5" s="162"/>
      <c r="E5" s="19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7" s="1" customFormat="1" ht="15.75" x14ac:dyDescent="0.25">
      <c r="B6" s="452"/>
      <c r="C6" s="2"/>
      <c r="E6" s="19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7" ht="13.5" thickBot="1" x14ac:dyDescent="0.25">
      <c r="B7" s="3" t="s">
        <v>146</v>
      </c>
      <c r="O7" s="130"/>
    </row>
    <row r="8" spans="1:17" s="3" customFormat="1" x14ac:dyDescent="0.2">
      <c r="A8" s="198"/>
      <c r="B8" s="4"/>
      <c r="C8" s="5" t="s">
        <v>2</v>
      </c>
      <c r="D8" s="161" t="s">
        <v>129</v>
      </c>
      <c r="E8" s="193" t="s">
        <v>98</v>
      </c>
      <c r="F8" s="6" t="s">
        <v>4</v>
      </c>
      <c r="G8" s="79" t="s">
        <v>5</v>
      </c>
      <c r="H8" s="6" t="s">
        <v>4</v>
      </c>
      <c r="I8" s="79" t="s">
        <v>5</v>
      </c>
      <c r="J8" s="6" t="s">
        <v>4</v>
      </c>
      <c r="K8" s="79" t="s">
        <v>5</v>
      </c>
      <c r="L8" s="6" t="s">
        <v>4</v>
      </c>
      <c r="M8" s="79" t="s">
        <v>5</v>
      </c>
      <c r="N8" s="6" t="s">
        <v>4</v>
      </c>
      <c r="O8" s="205" t="s">
        <v>399</v>
      </c>
      <c r="P8" s="79" t="s">
        <v>2</v>
      </c>
      <c r="Q8" s="156" t="s">
        <v>401</v>
      </c>
    </row>
    <row r="9" spans="1:17" s="3" customFormat="1" ht="13.5" thickBot="1" x14ac:dyDescent="0.25">
      <c r="A9" s="199"/>
      <c r="B9" s="7"/>
      <c r="C9" s="8">
        <v>2020</v>
      </c>
      <c r="D9" s="8">
        <v>2020</v>
      </c>
      <c r="E9" s="194" t="s">
        <v>93</v>
      </c>
      <c r="F9" s="82"/>
      <c r="G9" s="80" t="s">
        <v>389</v>
      </c>
      <c r="H9" s="9" t="s">
        <v>6</v>
      </c>
      <c r="I9" s="80" t="s">
        <v>390</v>
      </c>
      <c r="J9" s="9" t="s">
        <v>6</v>
      </c>
      <c r="K9" s="80" t="s">
        <v>391</v>
      </c>
      <c r="L9" s="9" t="s">
        <v>6</v>
      </c>
      <c r="M9" s="80" t="s">
        <v>392</v>
      </c>
      <c r="N9" s="9" t="s">
        <v>6</v>
      </c>
      <c r="O9" s="155" t="s">
        <v>400</v>
      </c>
      <c r="P9" s="154">
        <v>2021</v>
      </c>
      <c r="Q9" s="9" t="s">
        <v>402</v>
      </c>
    </row>
    <row r="10" spans="1:17" x14ac:dyDescent="0.2">
      <c r="A10" s="200"/>
      <c r="B10" s="102" t="s">
        <v>7</v>
      </c>
      <c r="C10" s="10">
        <f>příjmy!F151</f>
        <v>102820</v>
      </c>
      <c r="D10" s="16">
        <f>+příjmy!G151</f>
        <v>-20380</v>
      </c>
      <c r="E10" s="209">
        <f>SUM(C10:D10)</f>
        <v>82440</v>
      </c>
      <c r="F10" s="83">
        <f>C10/C14</f>
        <v>0.58267172155069336</v>
      </c>
      <c r="G10" s="10">
        <f>+příjmy!I151</f>
        <v>30147.996449999999</v>
      </c>
      <c r="H10" s="11">
        <f>G10/$E10*100</f>
        <v>36.569622088791846</v>
      </c>
      <c r="I10" s="10">
        <f>+příjmy!K151</f>
        <v>48621.8874</v>
      </c>
      <c r="J10" s="11">
        <f>I10/$E10*100</f>
        <v>58.978514556040764</v>
      </c>
      <c r="K10" s="10">
        <f>příjmy!M151</f>
        <v>72552.121960000004</v>
      </c>
      <c r="L10" s="11">
        <f t="shared" ref="L10:L17" si="0">K10/$E10*100</f>
        <v>88.00597035419699</v>
      </c>
      <c r="M10" s="450">
        <f>+příjmy!O151</f>
        <v>97605.747689999989</v>
      </c>
      <c r="N10" s="11">
        <f t="shared" ref="N10:N17" si="1">M10/$E10*100</f>
        <v>118.39610345705967</v>
      </c>
      <c r="O10" s="214">
        <f>M10-E10</f>
        <v>15165.747689999989</v>
      </c>
      <c r="P10" s="447">
        <f>příjmy!S151</f>
        <v>87644</v>
      </c>
      <c r="Q10" s="157">
        <f t="shared" ref="Q10:Q17" si="2">P10/C10</f>
        <v>0.85240225637035594</v>
      </c>
    </row>
    <row r="11" spans="1:17" x14ac:dyDescent="0.2">
      <c r="A11" s="200"/>
      <c r="B11" s="102" t="s">
        <v>8</v>
      </c>
      <c r="C11" s="10">
        <f>příjmy!F152</f>
        <v>26505</v>
      </c>
      <c r="D11" s="16">
        <f>+příjmy!G152</f>
        <v>1806.7323999999999</v>
      </c>
      <c r="E11" s="209">
        <f>SUM(C11:D11)</f>
        <v>28311.732400000001</v>
      </c>
      <c r="F11" s="83">
        <f>C11/C14</f>
        <v>0.1502014586627225</v>
      </c>
      <c r="G11" s="10">
        <f>+příjmy!I152</f>
        <v>5953.9765599999992</v>
      </c>
      <c r="H11" s="11">
        <f t="shared" ref="H11:H16" si="3">G11/$E11*100</f>
        <v>21.030067944552904</v>
      </c>
      <c r="I11" s="10">
        <f>+příjmy!K152</f>
        <v>12767.578150000001</v>
      </c>
      <c r="J11" s="11">
        <f t="shared" ref="J11:J16" si="4">I11/$E11*100</f>
        <v>45.096421404435148</v>
      </c>
      <c r="K11" s="10">
        <f>příjmy!M152</f>
        <v>23030.411830000001</v>
      </c>
      <c r="L11" s="11">
        <f t="shared" si="0"/>
        <v>81.345823366146249</v>
      </c>
      <c r="M11" s="450">
        <f>+příjmy!O152</f>
        <v>28445.589840000001</v>
      </c>
      <c r="N11" s="11">
        <f t="shared" si="1"/>
        <v>100.47279847841455</v>
      </c>
      <c r="O11" s="214">
        <f t="shared" ref="O11:O19" si="5">M11-E11</f>
        <v>133.85743999999977</v>
      </c>
      <c r="P11" s="447">
        <f>příjmy!S152</f>
        <v>26774</v>
      </c>
      <c r="Q11" s="157">
        <f t="shared" si="2"/>
        <v>1.0101490284851915</v>
      </c>
    </row>
    <row r="12" spans="1:17" x14ac:dyDescent="0.2">
      <c r="A12" s="200"/>
      <c r="B12" s="102" t="s">
        <v>9</v>
      </c>
      <c r="C12" s="10">
        <f>příjmy!F155</f>
        <v>7115</v>
      </c>
      <c r="D12" s="16">
        <f>+příjmy!G155</f>
        <v>1624</v>
      </c>
      <c r="E12" s="209">
        <f>SUM(C12:D12)</f>
        <v>8739</v>
      </c>
      <c r="F12" s="83">
        <f>C12/C14</f>
        <v>4.0320067096218472E-2</v>
      </c>
      <c r="G12" s="10">
        <f>+příjmy!I155</f>
        <v>3456.6589999999997</v>
      </c>
      <c r="H12" s="11">
        <f t="shared" si="3"/>
        <v>39.554399816912692</v>
      </c>
      <c r="I12" s="10">
        <f>+příjmy!K155</f>
        <v>5807.4319999999998</v>
      </c>
      <c r="J12" s="11">
        <f t="shared" si="4"/>
        <v>66.454193843689197</v>
      </c>
      <c r="K12" s="10">
        <f>příjmy!M155</f>
        <v>10405.047</v>
      </c>
      <c r="L12" s="11">
        <f t="shared" si="0"/>
        <v>119.06450394782013</v>
      </c>
      <c r="M12" s="450">
        <f>+příjmy!O155</f>
        <v>13554.037</v>
      </c>
      <c r="N12" s="11">
        <f t="shared" si="1"/>
        <v>155.09826067055727</v>
      </c>
      <c r="O12" s="214">
        <f t="shared" si="5"/>
        <v>4815.0370000000003</v>
      </c>
      <c r="P12" s="447">
        <f>příjmy!S155</f>
        <v>5949</v>
      </c>
      <c r="Q12" s="157">
        <f t="shared" si="2"/>
        <v>0.83612087139845392</v>
      </c>
    </row>
    <row r="13" spans="1:17" x14ac:dyDescent="0.2">
      <c r="A13" s="200"/>
      <c r="B13" s="102" t="s">
        <v>10</v>
      </c>
      <c r="C13" s="10">
        <f>příjmy!F153+příjmy!F156</f>
        <v>40023</v>
      </c>
      <c r="D13" s="16">
        <f>+příjmy!G153+příjmy!G156</f>
        <v>18395.188019999998</v>
      </c>
      <c r="E13" s="209">
        <f>SUM(C13:D13)</f>
        <v>58418.188020000001</v>
      </c>
      <c r="F13" s="83">
        <f>C13/C14</f>
        <v>0.22680675269036568</v>
      </c>
      <c r="G13" s="10">
        <f>+příjmy!I153+příjmy!I156</f>
        <v>14134.29104</v>
      </c>
      <c r="H13" s="11">
        <f t="shared" si="3"/>
        <v>24.195017885801246</v>
      </c>
      <c r="I13" s="10">
        <f>+příjmy!K153+příjmy!K156</f>
        <v>33164.502399999998</v>
      </c>
      <c r="J13" s="11">
        <f t="shared" si="4"/>
        <v>56.770850866935184</v>
      </c>
      <c r="K13" s="10">
        <f>příjmy!M153+příjmy!M156</f>
        <v>50326.210130000007</v>
      </c>
      <c r="L13" s="11">
        <f t="shared" si="0"/>
        <v>86.148187466496509</v>
      </c>
      <c r="M13" s="450">
        <f>+příjmy!O153+příjmy!O156</f>
        <v>58404.931780000014</v>
      </c>
      <c r="N13" s="11">
        <f t="shared" si="1"/>
        <v>99.977308026062957</v>
      </c>
      <c r="O13" s="214">
        <f t="shared" si="5"/>
        <v>-13.256239999987883</v>
      </c>
      <c r="P13" s="447">
        <f>příjmy!S153+příjmy!S156</f>
        <v>52306</v>
      </c>
      <c r="Q13" s="157">
        <f t="shared" si="2"/>
        <v>1.3068985333433276</v>
      </c>
    </row>
    <row r="14" spans="1:17" s="3" customFormat="1" x14ac:dyDescent="0.2">
      <c r="A14" s="201"/>
      <c r="B14" s="12" t="s">
        <v>11</v>
      </c>
      <c r="C14" s="13">
        <f>SUM(C10:C13)</f>
        <v>176463</v>
      </c>
      <c r="D14" s="92">
        <f>SUM(D10:D13)</f>
        <v>1445.9204199999986</v>
      </c>
      <c r="E14" s="210">
        <f>SUM(E10:E13)</f>
        <v>177908.92042000001</v>
      </c>
      <c r="F14" s="84">
        <f>SUM(F10:F13)</f>
        <v>1</v>
      </c>
      <c r="G14" s="13">
        <f>SUM(G10:G13)</f>
        <v>53692.923049999998</v>
      </c>
      <c r="H14" s="14">
        <f>G14/$E14*100</f>
        <v>30.180006108318779</v>
      </c>
      <c r="I14" s="13">
        <f>SUM(I10:I13)</f>
        <v>100361.39994999999</v>
      </c>
      <c r="J14" s="14">
        <f>I14/$E14*100</f>
        <v>56.41167385708988</v>
      </c>
      <c r="K14" s="13">
        <f>SUM(K10:K13)</f>
        <v>156313.79092</v>
      </c>
      <c r="L14" s="14">
        <f t="shared" si="0"/>
        <v>87.861693809945493</v>
      </c>
      <c r="M14" s="451">
        <f>SUM(M10:M13)</f>
        <v>198010.30631000001</v>
      </c>
      <c r="N14" s="14">
        <f t="shared" si="1"/>
        <v>111.29869477176608</v>
      </c>
      <c r="O14" s="215">
        <f t="shared" si="5"/>
        <v>20101.385890000005</v>
      </c>
      <c r="P14" s="448">
        <f>SUM(P10:P13)</f>
        <v>172673</v>
      </c>
      <c r="Q14" s="158">
        <f t="shared" si="2"/>
        <v>0.9785224097969546</v>
      </c>
    </row>
    <row r="15" spans="1:17" x14ac:dyDescent="0.2">
      <c r="A15" s="200"/>
      <c r="B15" s="102" t="s">
        <v>12</v>
      </c>
      <c r="C15" s="10">
        <f>+výdaje!E125</f>
        <v>160389</v>
      </c>
      <c r="D15" s="16">
        <f>+výdaje!H125</f>
        <v>9003.4120599999987</v>
      </c>
      <c r="E15" s="209">
        <f>SUM(C15:D15)</f>
        <v>169392.41206</v>
      </c>
      <c r="F15" s="83">
        <f>C15/C17</f>
        <v>0.71586253068511496</v>
      </c>
      <c r="G15" s="10">
        <f>+výdaje!M125</f>
        <v>37347.760409999995</v>
      </c>
      <c r="H15" s="11">
        <f t="shared" si="3"/>
        <v>22.048071667325424</v>
      </c>
      <c r="I15" s="10">
        <f>+výdaje!Q125</f>
        <v>77667.99368</v>
      </c>
      <c r="J15" s="11">
        <f t="shared" si="4"/>
        <v>45.85092846572693</v>
      </c>
      <c r="K15" s="10">
        <f>výdaje!U125</f>
        <v>116351.68585000001</v>
      </c>
      <c r="L15" s="11">
        <f t="shared" si="0"/>
        <v>68.687661055790045</v>
      </c>
      <c r="M15" s="483">
        <f>výdaje!Y125</f>
        <v>152651.95565999998</v>
      </c>
      <c r="N15" s="11">
        <f t="shared" si="1"/>
        <v>90.117351659134272</v>
      </c>
      <c r="O15" s="214">
        <f t="shared" si="5"/>
        <v>-16740.456400000025</v>
      </c>
      <c r="P15" s="447">
        <f>+výdaje!AD125</f>
        <v>154729</v>
      </c>
      <c r="Q15" s="157">
        <f t="shared" si="2"/>
        <v>0.96471079687509742</v>
      </c>
    </row>
    <row r="16" spans="1:17" x14ac:dyDescent="0.2">
      <c r="A16" s="200"/>
      <c r="B16" s="102" t="s">
        <v>13</v>
      </c>
      <c r="C16" s="10">
        <f>+výdaje!F125</f>
        <v>63661</v>
      </c>
      <c r="D16" s="16">
        <f>+výdaje!I125</f>
        <v>-3557.4916400000002</v>
      </c>
      <c r="E16" s="209">
        <f>SUM(C16:D16)</f>
        <v>60103.50836</v>
      </c>
      <c r="F16" s="83">
        <f>C16/C17</f>
        <v>0.28413746931488509</v>
      </c>
      <c r="G16" s="10">
        <f>+výdaje!N125</f>
        <v>1829.0816599999998</v>
      </c>
      <c r="H16" s="11">
        <f t="shared" si="3"/>
        <v>3.0432194557502528</v>
      </c>
      <c r="I16" s="10">
        <f>+výdaje!R125</f>
        <v>16720.065739999998</v>
      </c>
      <c r="J16" s="11">
        <f t="shared" si="4"/>
        <v>27.818784953205018</v>
      </c>
      <c r="K16" s="10">
        <f>výdaje!V125</f>
        <v>32816.208400000003</v>
      </c>
      <c r="L16" s="11">
        <f t="shared" si="0"/>
        <v>54.599488940715148</v>
      </c>
      <c r="M16" s="450">
        <f>+výdaje!Z125</f>
        <v>45417.460800000001</v>
      </c>
      <c r="N16" s="11">
        <f t="shared" si="1"/>
        <v>75.565407143896707</v>
      </c>
      <c r="O16" s="214">
        <f t="shared" si="5"/>
        <v>-14686.047559999999</v>
      </c>
      <c r="P16" s="447">
        <f>+výdaje!AE125</f>
        <v>47217</v>
      </c>
      <c r="Q16" s="157">
        <f t="shared" si="2"/>
        <v>0.74169428692606143</v>
      </c>
    </row>
    <row r="17" spans="1:17" s="3" customFormat="1" x14ac:dyDescent="0.2">
      <c r="A17" s="201"/>
      <c r="B17" s="12" t="s">
        <v>14</v>
      </c>
      <c r="C17" s="13">
        <f>SUM(C15:C16)</f>
        <v>224050</v>
      </c>
      <c r="D17" s="92">
        <f>SUM(D15:D16)</f>
        <v>5445.9204199999986</v>
      </c>
      <c r="E17" s="210">
        <f>SUM(E15:E16)</f>
        <v>229495.92042000001</v>
      </c>
      <c r="F17" s="84">
        <v>1</v>
      </c>
      <c r="G17" s="13">
        <f>SUM(G15:G16)</f>
        <v>39176.842069999999</v>
      </c>
      <c r="H17" s="14">
        <f>G17/$E17*100</f>
        <v>17.070822870534055</v>
      </c>
      <c r="I17" s="13">
        <f>SUM(I15:I16)</f>
        <v>94388.059420000005</v>
      </c>
      <c r="J17" s="14">
        <f>I17/$E17*100</f>
        <v>41.128425833130542</v>
      </c>
      <c r="K17" s="13">
        <f>SUM(K15:K16)</f>
        <v>149167.89425000001</v>
      </c>
      <c r="L17" s="14">
        <f t="shared" si="0"/>
        <v>64.998059214738177</v>
      </c>
      <c r="M17" s="451">
        <f>SUM(M15:M16)</f>
        <v>198069.41645999998</v>
      </c>
      <c r="N17" s="14">
        <f t="shared" si="1"/>
        <v>86.306290803563542</v>
      </c>
      <c r="O17" s="215">
        <f t="shared" si="5"/>
        <v>-31426.503960000031</v>
      </c>
      <c r="P17" s="448">
        <f>SUM(P15:P16)</f>
        <v>201946</v>
      </c>
      <c r="Q17" s="158">
        <f t="shared" si="2"/>
        <v>0.90134345012274042</v>
      </c>
    </row>
    <row r="18" spans="1:17" x14ac:dyDescent="0.2">
      <c r="A18" s="200"/>
      <c r="B18" s="102"/>
      <c r="C18" s="10"/>
      <c r="D18" s="93"/>
      <c r="E18" s="209"/>
      <c r="F18" s="85"/>
      <c r="G18" s="10"/>
      <c r="H18" s="14"/>
      <c r="I18" s="10"/>
      <c r="J18" s="14"/>
      <c r="K18" s="10"/>
      <c r="L18" s="14"/>
      <c r="M18" s="10"/>
      <c r="N18" s="14"/>
      <c r="O18" s="152"/>
      <c r="P18" s="447"/>
      <c r="Q18" s="74"/>
    </row>
    <row r="19" spans="1:17" s="3" customFormat="1" x14ac:dyDescent="0.2">
      <c r="A19" s="201"/>
      <c r="B19" s="12" t="s">
        <v>15</v>
      </c>
      <c r="C19" s="13">
        <f>C14-C17</f>
        <v>-47587</v>
      </c>
      <c r="D19" s="13">
        <f>D14-D17</f>
        <v>-4000</v>
      </c>
      <c r="E19" s="210">
        <f>E14-E17</f>
        <v>-51587</v>
      </c>
      <c r="F19" s="86"/>
      <c r="G19" s="13">
        <f>G14-G17</f>
        <v>14516.080979999999</v>
      </c>
      <c r="H19" s="14"/>
      <c r="I19" s="13">
        <f>I14-I17</f>
        <v>5973.3405299999868</v>
      </c>
      <c r="J19" s="11"/>
      <c r="K19" s="13">
        <f>K14-K17</f>
        <v>7145.8966699999874</v>
      </c>
      <c r="L19" s="11"/>
      <c r="M19" s="451">
        <f>M14-M17</f>
        <v>-59.110149999964051</v>
      </c>
      <c r="N19" s="11"/>
      <c r="O19" s="215">
        <f t="shared" si="5"/>
        <v>51527.889850000036</v>
      </c>
      <c r="P19" s="448">
        <f>P14-P17</f>
        <v>-29273</v>
      </c>
      <c r="Q19" s="73"/>
    </row>
    <row r="20" spans="1:17" x14ac:dyDescent="0.2">
      <c r="A20" s="200"/>
      <c r="B20" s="102"/>
      <c r="C20" s="10"/>
      <c r="D20" s="93"/>
      <c r="E20" s="209"/>
      <c r="F20" s="85"/>
      <c r="G20" s="10"/>
      <c r="H20" s="14"/>
      <c r="I20" s="10"/>
      <c r="J20" s="14"/>
      <c r="K20" s="10"/>
      <c r="L20" s="14"/>
      <c r="M20" s="10"/>
      <c r="N20" s="14"/>
      <c r="O20" s="152"/>
      <c r="P20" s="10"/>
      <c r="Q20" s="74"/>
    </row>
    <row r="21" spans="1:17" s="3" customFormat="1" x14ac:dyDescent="0.2">
      <c r="A21" s="202" t="s">
        <v>16</v>
      </c>
      <c r="B21" s="12" t="s">
        <v>17</v>
      </c>
      <c r="C21" s="13"/>
      <c r="D21" s="94"/>
      <c r="E21" s="210"/>
      <c r="F21" s="86"/>
      <c r="G21" s="13"/>
      <c r="H21" s="14"/>
      <c r="I21" s="13"/>
      <c r="J21" s="14"/>
      <c r="K21" s="13"/>
      <c r="L21" s="14"/>
      <c r="M21" s="13"/>
      <c r="N21" s="14"/>
      <c r="O21" s="152"/>
      <c r="P21" s="13"/>
      <c r="Q21" s="73"/>
    </row>
    <row r="22" spans="1:17" x14ac:dyDescent="0.2">
      <c r="A22" s="200">
        <v>8124</v>
      </c>
      <c r="B22" s="102" t="s">
        <v>332</v>
      </c>
      <c r="C22" s="151">
        <v>-2220</v>
      </c>
      <c r="D22" s="153"/>
      <c r="E22" s="209">
        <f>SUM(C22:D22)</f>
        <v>-2220</v>
      </c>
      <c r="F22" s="85"/>
      <c r="G22" s="10">
        <v>-551.63900000000001</v>
      </c>
      <c r="H22" s="11">
        <f>G22/$E22*100</f>
        <v>24.848603603603603</v>
      </c>
      <c r="I22" s="10">
        <v>-1105.4580000000001</v>
      </c>
      <c r="J22" s="11">
        <f>I22/$E22*100</f>
        <v>49.795405405405404</v>
      </c>
      <c r="K22" s="10">
        <v>-1661.4639999999999</v>
      </c>
      <c r="L22" s="11">
        <f>K22/$E22*100</f>
        <v>74.840720720720725</v>
      </c>
      <c r="M22" s="483">
        <v>-2219.6660000000002</v>
      </c>
      <c r="N22" s="11">
        <f>M22/$E22*100</f>
        <v>99.984954954954958</v>
      </c>
      <c r="O22" s="214">
        <f t="shared" ref="O22:O23" si="6">M22-E22</f>
        <v>0.33399999999983265</v>
      </c>
      <c r="P22" s="151">
        <f>-2255-2000</f>
        <v>-4255</v>
      </c>
      <c r="Q22" s="157">
        <f>-P22/C22</f>
        <v>-1.9166666666666667</v>
      </c>
    </row>
    <row r="23" spans="1:17" x14ac:dyDescent="0.2">
      <c r="A23" s="203"/>
      <c r="B23" s="102"/>
      <c r="C23" s="151"/>
      <c r="D23" s="16"/>
      <c r="E23" s="209"/>
      <c r="F23" s="85"/>
      <c r="G23" s="10"/>
      <c r="H23" s="11"/>
      <c r="I23" s="10"/>
      <c r="J23" s="11"/>
      <c r="K23" s="10"/>
      <c r="L23" s="11"/>
      <c r="M23" s="151"/>
      <c r="N23" s="11"/>
      <c r="O23" s="214">
        <f t="shared" si="6"/>
        <v>0</v>
      </c>
      <c r="P23" s="151"/>
      <c r="Q23" s="157"/>
    </row>
    <row r="24" spans="1:17" x14ac:dyDescent="0.2">
      <c r="A24" s="200">
        <v>8123</v>
      </c>
      <c r="B24" s="102" t="s">
        <v>350</v>
      </c>
      <c r="C24" s="16">
        <v>18000</v>
      </c>
      <c r="D24" s="16"/>
      <c r="E24" s="209">
        <f>SUM(C24:D24)</f>
        <v>18000</v>
      </c>
      <c r="F24" s="85"/>
      <c r="G24" s="16">
        <v>0</v>
      </c>
      <c r="H24" s="11"/>
      <c r="I24" s="16"/>
      <c r="J24" s="11"/>
      <c r="K24" s="16">
        <v>0</v>
      </c>
      <c r="L24" s="11"/>
      <c r="M24" s="16">
        <v>4000</v>
      </c>
      <c r="N24" s="11">
        <f>M24/$E24*100</f>
        <v>22.222222222222221</v>
      </c>
      <c r="O24" s="214">
        <f>M24-E24</f>
        <v>-14000</v>
      </c>
      <c r="P24" s="16">
        <v>0</v>
      </c>
      <c r="Q24" s="74"/>
    </row>
    <row r="25" spans="1:17" x14ac:dyDescent="0.2">
      <c r="A25" s="200">
        <v>8115</v>
      </c>
      <c r="B25" s="102" t="s">
        <v>406</v>
      </c>
      <c r="C25" s="17"/>
      <c r="D25" s="16">
        <v>1230</v>
      </c>
      <c r="E25" s="209">
        <f t="shared" ref="E25:E26" si="7">SUM(C25:D25)</f>
        <v>1230</v>
      </c>
      <c r="F25" s="85"/>
      <c r="G25" s="17"/>
      <c r="H25" s="11"/>
      <c r="I25" s="17">
        <f>E25</f>
        <v>1230</v>
      </c>
      <c r="J25" s="11"/>
      <c r="K25" s="17">
        <v>1230</v>
      </c>
      <c r="L25" s="11">
        <f t="shared" ref="L25:L27" si="8">K25/$E25*100</f>
        <v>100</v>
      </c>
      <c r="M25" s="17"/>
      <c r="N25" s="11"/>
      <c r="O25" s="214">
        <f t="shared" ref="O25:O31" si="9">M25-E25</f>
        <v>-1230</v>
      </c>
      <c r="P25" s="17"/>
      <c r="Q25" s="74"/>
    </row>
    <row r="26" spans="1:17" s="449" customFormat="1" x14ac:dyDescent="0.2">
      <c r="A26" s="200">
        <v>8115</v>
      </c>
      <c r="B26" s="102" t="s">
        <v>407</v>
      </c>
      <c r="C26" s="17"/>
      <c r="D26" s="16">
        <f>770+2000</f>
        <v>2770</v>
      </c>
      <c r="E26" s="209">
        <f t="shared" si="7"/>
        <v>2770</v>
      </c>
      <c r="F26" s="85"/>
      <c r="G26" s="17"/>
      <c r="H26" s="11"/>
      <c r="I26" s="17">
        <f>E26</f>
        <v>2770</v>
      </c>
      <c r="J26" s="11"/>
      <c r="K26" s="17">
        <v>2770</v>
      </c>
      <c r="L26" s="11">
        <f t="shared" si="8"/>
        <v>100</v>
      </c>
      <c r="M26" s="17">
        <v>2770</v>
      </c>
      <c r="N26" s="11"/>
      <c r="O26" s="214">
        <f t="shared" si="9"/>
        <v>0</v>
      </c>
      <c r="P26" s="17">
        <v>-2770</v>
      </c>
      <c r="Q26" s="74"/>
    </row>
    <row r="27" spans="1:17" x14ac:dyDescent="0.2">
      <c r="A27" s="200">
        <v>8115</v>
      </c>
      <c r="B27" s="102" t="s">
        <v>486</v>
      </c>
      <c r="C27" s="151">
        <v>31807</v>
      </c>
      <c r="D27" s="16"/>
      <c r="E27" s="209">
        <f>SUM(C27:D27)</f>
        <v>31807</v>
      </c>
      <c r="F27" s="85"/>
      <c r="G27" s="10"/>
      <c r="H27" s="11">
        <f>G27/$E27*100</f>
        <v>0</v>
      </c>
      <c r="I27" s="151">
        <f>E27/2</f>
        <v>15903.5</v>
      </c>
      <c r="J27" s="11">
        <f>I27/$E27*100</f>
        <v>50</v>
      </c>
      <c r="K27" s="10">
        <f>C27/4*3</f>
        <v>23855.25</v>
      </c>
      <c r="L27" s="11">
        <f t="shared" si="8"/>
        <v>75</v>
      </c>
      <c r="M27" s="151">
        <v>31807</v>
      </c>
      <c r="N27" s="11">
        <f>M27/$E27*100</f>
        <v>100</v>
      </c>
      <c r="O27" s="214">
        <f t="shared" si="9"/>
        <v>0</v>
      </c>
      <c r="P27" s="151">
        <v>36298</v>
      </c>
      <c r="Q27" s="132"/>
    </row>
    <row r="28" spans="1:17" x14ac:dyDescent="0.2">
      <c r="A28" s="200"/>
      <c r="B28" s="102"/>
      <c r="C28" s="10"/>
      <c r="D28" s="153"/>
      <c r="E28" s="209"/>
      <c r="F28" s="85"/>
      <c r="G28" s="10"/>
      <c r="H28" s="14"/>
      <c r="I28" s="10"/>
      <c r="J28" s="14"/>
      <c r="K28" s="10"/>
      <c r="L28" s="14"/>
      <c r="M28" s="151"/>
      <c r="N28" s="14"/>
      <c r="O28" s="214">
        <f t="shared" si="9"/>
        <v>0</v>
      </c>
      <c r="P28" s="151"/>
      <c r="Q28" s="74"/>
    </row>
    <row r="29" spans="1:17" x14ac:dyDescent="0.2">
      <c r="A29" s="200"/>
      <c r="B29" s="12" t="s">
        <v>131</v>
      </c>
      <c r="C29" s="419">
        <f>-C22-C24+C31-C27-C23-C25-C26</f>
        <v>0</v>
      </c>
      <c r="D29" s="419">
        <f>-D22-D24+D31-D27-D23-D25-D26</f>
        <v>0</v>
      </c>
      <c r="E29" s="419">
        <f>-E22-E24+E31-E27-E23-E25-E26</f>
        <v>0</v>
      </c>
      <c r="F29" s="85"/>
      <c r="G29" s="92">
        <f>-G22-G24+G31-G27-G23</f>
        <v>-13964.44198</v>
      </c>
      <c r="H29" s="85"/>
      <c r="I29" s="92">
        <f>-I22-I24+I31-I27-I23-I25-I26</f>
        <v>-24771.382529999988</v>
      </c>
      <c r="J29" s="85"/>
      <c r="K29" s="92">
        <f>-K22-K24+K31-K27-K23-K25-K26</f>
        <v>-33339.682669999987</v>
      </c>
      <c r="L29" s="85"/>
      <c r="M29" s="92">
        <f>-M22-M24+M31-M27-M23-M25-M26</f>
        <v>-36298.223850000039</v>
      </c>
      <c r="N29" s="85"/>
      <c r="O29" s="214">
        <f t="shared" si="9"/>
        <v>-36298.223850000039</v>
      </c>
      <c r="P29" s="92">
        <f>-P22-P24+P31-P27-P23-P25-P26</f>
        <v>0</v>
      </c>
      <c r="Q29" s="74"/>
    </row>
    <row r="30" spans="1:17" s="3" customFormat="1" x14ac:dyDescent="0.2">
      <c r="A30" s="201"/>
      <c r="B30" s="102"/>
      <c r="C30" s="13"/>
      <c r="D30" s="18"/>
      <c r="E30" s="211"/>
      <c r="F30" s="87"/>
      <c r="G30" s="13"/>
      <c r="H30" s="14"/>
      <c r="I30" s="13"/>
      <c r="J30" s="14"/>
      <c r="K30" s="13"/>
      <c r="L30" s="14"/>
      <c r="M30" s="13"/>
      <c r="N30" s="14"/>
      <c r="O30" s="214">
        <f t="shared" si="9"/>
        <v>0</v>
      </c>
      <c r="P30" s="13"/>
      <c r="Q30" s="73"/>
    </row>
    <row r="31" spans="1:17" ht="13.5" thickBot="1" x14ac:dyDescent="0.25">
      <c r="A31" s="204"/>
      <c r="B31" s="128" t="s">
        <v>18</v>
      </c>
      <c r="C31" s="81">
        <f>-C19</f>
        <v>47587</v>
      </c>
      <c r="D31" s="166">
        <f>-D19</f>
        <v>4000</v>
      </c>
      <c r="E31" s="212">
        <f>-E19</f>
        <v>51587</v>
      </c>
      <c r="F31" s="88"/>
      <c r="G31" s="81">
        <f>-G19</f>
        <v>-14516.080979999999</v>
      </c>
      <c r="H31" s="19"/>
      <c r="I31" s="81">
        <f>-I19</f>
        <v>-5973.3405299999868</v>
      </c>
      <c r="J31" s="19"/>
      <c r="K31" s="81">
        <f>-K19</f>
        <v>-7145.8966699999874</v>
      </c>
      <c r="L31" s="19"/>
      <c r="M31" s="81">
        <f>-M19</f>
        <v>59.110149999964051</v>
      </c>
      <c r="N31" s="19"/>
      <c r="O31" s="485">
        <f t="shared" si="9"/>
        <v>-51527.889850000036</v>
      </c>
      <c r="P31" s="81">
        <f>-P19</f>
        <v>29273</v>
      </c>
      <c r="Q31" s="159"/>
    </row>
    <row r="32" spans="1:17" x14ac:dyDescent="0.2">
      <c r="C32" s="20"/>
      <c r="E32" s="66"/>
      <c r="F32" s="21"/>
      <c r="G32" s="21"/>
      <c r="H32" s="21"/>
      <c r="I32" s="21"/>
      <c r="J32" s="21"/>
      <c r="K32" s="21"/>
      <c r="L32" s="21"/>
      <c r="M32" s="21"/>
      <c r="N32" s="21"/>
      <c r="P32" s="21"/>
    </row>
    <row r="33" spans="2:16" x14ac:dyDescent="0.2">
      <c r="B33" s="326"/>
      <c r="C33" s="312"/>
      <c r="D33" s="117"/>
      <c r="E33" s="146"/>
      <c r="F33" s="324"/>
      <c r="G33" s="117"/>
      <c r="H33" s="117"/>
      <c r="I33" s="117"/>
      <c r="J33" s="117"/>
      <c r="K33" s="117"/>
      <c r="L33" s="117"/>
      <c r="M33" s="117"/>
      <c r="N33" s="117"/>
      <c r="O33" s="117"/>
      <c r="P33" s="117"/>
    </row>
    <row r="34" spans="2:16" x14ac:dyDescent="0.2">
      <c r="B34" s="563" t="s">
        <v>567</v>
      </c>
      <c r="C34" s="312"/>
      <c r="D34" s="117"/>
      <c r="E34" s="146"/>
      <c r="F34" s="324"/>
      <c r="G34" s="117"/>
      <c r="H34" s="117"/>
      <c r="I34" s="117"/>
      <c r="J34" s="117"/>
      <c r="K34" s="117"/>
      <c r="L34" s="117"/>
      <c r="M34" s="117"/>
      <c r="N34" s="117"/>
      <c r="O34" s="117" t="s">
        <v>568</v>
      </c>
      <c r="P34" s="117"/>
    </row>
    <row r="35" spans="2:16" x14ac:dyDescent="0.2">
      <c r="B35" s="325"/>
      <c r="C35" s="312"/>
      <c r="D35" s="117"/>
      <c r="E35" s="146"/>
      <c r="F35" s="324"/>
      <c r="G35" s="117"/>
      <c r="H35" s="117"/>
      <c r="I35" s="117"/>
      <c r="J35" s="117"/>
      <c r="K35" s="117"/>
      <c r="L35" s="117"/>
      <c r="M35" s="117"/>
      <c r="N35" s="117"/>
      <c r="O35" s="117" t="s">
        <v>569</v>
      </c>
      <c r="P35" s="117"/>
    </row>
    <row r="36" spans="2:16" x14ac:dyDescent="0.2">
      <c r="B36" s="325"/>
      <c r="C36" s="312"/>
      <c r="D36" s="117"/>
      <c r="E36" s="146"/>
      <c r="F36" s="324"/>
      <c r="G36" s="117"/>
      <c r="H36" s="117"/>
      <c r="I36" s="117"/>
      <c r="J36" s="117"/>
      <c r="K36" s="117"/>
      <c r="L36" s="117"/>
      <c r="M36" s="117"/>
      <c r="N36" s="117"/>
      <c r="O36" s="117"/>
      <c r="P36" s="117"/>
    </row>
    <row r="37" spans="2:16" x14ac:dyDescent="0.2">
      <c r="B37" s="325"/>
      <c r="C37" s="312"/>
      <c r="D37" s="117"/>
      <c r="E37" s="146"/>
      <c r="F37" s="324"/>
      <c r="G37" s="117"/>
      <c r="H37" s="117"/>
      <c r="I37" s="117"/>
      <c r="J37" s="117"/>
      <c r="K37" s="117"/>
      <c r="L37" s="117"/>
      <c r="M37" s="117"/>
      <c r="N37" s="117"/>
      <c r="O37" s="117"/>
      <c r="P37" s="117"/>
    </row>
    <row r="38" spans="2:16" x14ac:dyDescent="0.2">
      <c r="B38" s="563" t="s">
        <v>572</v>
      </c>
      <c r="C38" s="312"/>
      <c r="D38" s="117"/>
      <c r="E38" s="146"/>
      <c r="F38" s="324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x14ac:dyDescent="0.2">
      <c r="B39" s="325"/>
      <c r="C39" s="312"/>
      <c r="D39" s="117"/>
      <c r="E39" s="146"/>
      <c r="F39" s="324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x14ac:dyDescent="0.2">
      <c r="B40" s="325"/>
      <c r="C40" s="312"/>
      <c r="D40" s="117"/>
      <c r="E40" s="146"/>
      <c r="F40" s="324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x14ac:dyDescent="0.2">
      <c r="B41" s="325"/>
      <c r="C41" s="312"/>
      <c r="D41" s="117"/>
      <c r="E41" s="146"/>
      <c r="F41" s="324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x14ac:dyDescent="0.2">
      <c r="B42" s="325"/>
      <c r="C42" s="312"/>
      <c r="D42" s="117"/>
      <c r="E42" s="146"/>
      <c r="F42" s="324"/>
      <c r="G42" s="117"/>
      <c r="H42" s="117"/>
      <c r="I42" s="117"/>
      <c r="J42" s="117"/>
      <c r="K42" s="117"/>
      <c r="L42" s="117"/>
      <c r="M42" s="117"/>
      <c r="N42" s="117"/>
      <c r="O42" s="117"/>
      <c r="P42" s="117"/>
    </row>
    <row r="43" spans="2:16" x14ac:dyDescent="0.2">
      <c r="B43" s="325"/>
      <c r="C43" s="312"/>
      <c r="D43" s="117"/>
      <c r="E43" s="146"/>
      <c r="F43" s="324"/>
      <c r="G43" s="117"/>
      <c r="H43" s="117"/>
      <c r="I43" s="117"/>
      <c r="J43" s="117"/>
      <c r="K43" s="117"/>
      <c r="L43" s="117"/>
      <c r="M43" s="117"/>
      <c r="N43" s="117"/>
      <c r="O43" s="117"/>
      <c r="P43" s="117"/>
    </row>
    <row r="44" spans="2:16" x14ac:dyDescent="0.2">
      <c r="B44" s="325"/>
      <c r="C44" s="312"/>
      <c r="D44" s="117"/>
      <c r="E44" s="146"/>
      <c r="F44" s="324"/>
      <c r="G44" s="117"/>
      <c r="H44" s="117"/>
      <c r="I44" s="117"/>
      <c r="J44" s="117"/>
      <c r="K44" s="117"/>
      <c r="L44" s="117"/>
      <c r="M44" s="117"/>
      <c r="N44" s="117"/>
      <c r="O44" s="117"/>
      <c r="P44" s="117"/>
    </row>
    <row r="45" spans="2:16" x14ac:dyDescent="0.2">
      <c r="B45" s="326"/>
      <c r="C45" s="312"/>
      <c r="D45" s="117"/>
      <c r="E45" s="146"/>
      <c r="F45" s="324"/>
      <c r="G45" s="117"/>
      <c r="H45" s="117"/>
      <c r="I45" s="117"/>
      <c r="J45" s="117"/>
      <c r="K45" s="117"/>
      <c r="L45" s="117"/>
      <c r="M45" s="117"/>
      <c r="N45" s="117"/>
      <c r="O45" s="117"/>
      <c r="P45" s="117"/>
    </row>
    <row r="46" spans="2:16" x14ac:dyDescent="0.2">
      <c r="B46" s="326"/>
      <c r="C46" s="312"/>
      <c r="D46" s="117"/>
      <c r="E46" s="146"/>
      <c r="F46" s="324"/>
      <c r="G46" s="117"/>
      <c r="H46" s="117"/>
      <c r="I46" s="117"/>
      <c r="J46" s="117"/>
      <c r="K46" s="117"/>
      <c r="L46" s="117"/>
      <c r="M46" s="117"/>
      <c r="N46" s="117"/>
      <c r="O46" s="117"/>
      <c r="P46" s="117"/>
    </row>
    <row r="47" spans="2:16" x14ac:dyDescent="0.2">
      <c r="B47" s="326"/>
      <c r="C47" s="312"/>
      <c r="D47" s="117"/>
      <c r="E47" s="146"/>
      <c r="F47" s="324"/>
      <c r="G47" s="117"/>
      <c r="H47" s="117"/>
      <c r="I47" s="117"/>
      <c r="J47" s="117"/>
      <c r="K47" s="117"/>
      <c r="L47" s="117"/>
      <c r="M47" s="117"/>
      <c r="N47" s="117"/>
      <c r="O47" s="117"/>
      <c r="P47" s="117"/>
    </row>
    <row r="48" spans="2:16" x14ac:dyDescent="0.2">
      <c r="B48" s="326"/>
      <c r="C48" s="312"/>
      <c r="D48" s="117"/>
      <c r="E48" s="146"/>
      <c r="F48" s="324"/>
      <c r="G48" s="117"/>
      <c r="H48" s="117"/>
      <c r="I48" s="117"/>
      <c r="J48" s="117"/>
      <c r="K48" s="117"/>
      <c r="L48" s="117"/>
      <c r="M48" s="117"/>
      <c r="N48" s="117"/>
      <c r="O48" s="117"/>
      <c r="P48" s="117"/>
    </row>
    <row r="49" spans="2:16" x14ac:dyDescent="0.2">
      <c r="B49" s="326"/>
      <c r="C49" s="312"/>
      <c r="D49" s="117"/>
      <c r="E49" s="146"/>
      <c r="F49" s="324"/>
      <c r="G49" s="117"/>
      <c r="H49" s="117"/>
      <c r="I49" s="117"/>
      <c r="J49" s="117"/>
      <c r="K49" s="117"/>
      <c r="L49" s="117"/>
      <c r="M49" s="117"/>
      <c r="N49" s="117"/>
      <c r="O49" s="117"/>
      <c r="P49" s="117"/>
    </row>
    <row r="50" spans="2:16" x14ac:dyDescent="0.2">
      <c r="B50" s="326"/>
      <c r="C50" s="312"/>
      <c r="D50" s="117"/>
      <c r="E50" s="146"/>
      <c r="F50" s="324"/>
      <c r="G50" s="117"/>
      <c r="H50" s="117"/>
      <c r="I50" s="117"/>
      <c r="J50" s="117"/>
      <c r="K50" s="117"/>
      <c r="L50" s="117"/>
      <c r="M50" s="117"/>
      <c r="N50" s="117"/>
      <c r="O50" s="117"/>
      <c r="P50" s="117"/>
    </row>
    <row r="51" spans="2:16" x14ac:dyDescent="0.2">
      <c r="B51" s="326"/>
      <c r="C51" s="312"/>
      <c r="D51" s="117"/>
      <c r="E51" s="146"/>
      <c r="F51" s="324"/>
      <c r="G51" s="117"/>
      <c r="H51" s="117"/>
      <c r="I51" s="117"/>
      <c r="J51" s="117"/>
      <c r="K51" s="117"/>
      <c r="L51" s="117"/>
      <c r="M51" s="117"/>
      <c r="N51" s="117"/>
      <c r="O51" s="117"/>
      <c r="P51" s="117"/>
    </row>
    <row r="52" spans="2:16" x14ac:dyDescent="0.2">
      <c r="B52" s="326"/>
      <c r="C52" s="312"/>
      <c r="D52" s="117"/>
      <c r="E52" s="146"/>
      <c r="F52" s="324"/>
      <c r="G52" s="117"/>
      <c r="H52" s="117"/>
      <c r="I52" s="117"/>
      <c r="J52" s="117"/>
      <c r="K52" s="117"/>
      <c r="L52" s="117"/>
      <c r="M52" s="117"/>
      <c r="N52" s="117"/>
      <c r="O52" s="117"/>
      <c r="P52" s="117"/>
    </row>
    <row r="53" spans="2:16" x14ac:dyDescent="0.2">
      <c r="B53" s="326"/>
      <c r="C53" s="312"/>
      <c r="D53" s="117"/>
      <c r="E53" s="146"/>
      <c r="F53" s="324"/>
      <c r="G53" s="117"/>
      <c r="H53" s="117"/>
      <c r="I53" s="117"/>
      <c r="J53" s="117"/>
      <c r="K53" s="117"/>
      <c r="L53" s="117"/>
      <c r="M53" s="117"/>
      <c r="N53" s="117"/>
      <c r="O53" s="117"/>
      <c r="P53" s="117"/>
    </row>
    <row r="54" spans="2:16" x14ac:dyDescent="0.2">
      <c r="B54" s="326"/>
      <c r="C54" s="312"/>
      <c r="D54" s="117"/>
      <c r="E54" s="146"/>
      <c r="F54" s="324"/>
      <c r="G54" s="117"/>
      <c r="H54" s="117"/>
      <c r="I54" s="117"/>
      <c r="J54" s="117"/>
      <c r="K54" s="117"/>
      <c r="L54" s="117"/>
      <c r="M54" s="117"/>
      <c r="N54" s="117"/>
      <c r="O54" s="117"/>
      <c r="P54" s="117"/>
    </row>
    <row r="55" spans="2:16" x14ac:dyDescent="0.2">
      <c r="B55" s="117"/>
      <c r="C55" s="312"/>
      <c r="D55" s="117"/>
      <c r="E55" s="146"/>
      <c r="F55" s="312"/>
      <c r="G55" s="117"/>
      <c r="H55" s="117"/>
      <c r="I55" s="117"/>
      <c r="J55" s="117"/>
      <c r="K55" s="117"/>
      <c r="L55" s="117"/>
      <c r="M55" s="117"/>
      <c r="N55" s="117"/>
      <c r="O55" s="117"/>
      <c r="P55" s="117"/>
    </row>
  </sheetData>
  <phoneticPr fontId="6" type="noConversion"/>
  <pageMargins left="0.35433070866141736" right="0.27559055118110237" top="0.59055118110236227" bottom="0" header="0.23622047244094491" footer="0.27559055118110237"/>
  <pageSetup paperSize="9" orientation="landscape" r:id="rId1"/>
  <headerFooter alignWithMargins="0">
    <oddHeader>&amp;R&amp;P. strana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AE186"/>
  <sheetViews>
    <sheetView workbookViewId="0">
      <pane ySplit="3" topLeftCell="A97" activePane="bottomLeft" state="frozen"/>
      <selection pane="bottomLeft" activeCell="S91" sqref="S91"/>
    </sheetView>
  </sheetViews>
  <sheetFormatPr defaultColWidth="7.85546875" defaultRowHeight="12.75" x14ac:dyDescent="0.2"/>
  <cols>
    <col min="1" max="1" width="4" style="95" customWidth="1"/>
    <col min="2" max="2" width="4.42578125" style="95" customWidth="1"/>
    <col min="3" max="4" width="5.28515625" style="95" customWidth="1"/>
    <col min="5" max="5" width="30" style="95" customWidth="1"/>
    <col min="6" max="6" width="7.85546875" style="113" customWidth="1"/>
    <col min="7" max="7" width="7.140625" style="113" customWidth="1"/>
    <col min="8" max="8" width="7.7109375" style="145" customWidth="1"/>
    <col min="9" max="9" width="7.140625" style="113" hidden="1" customWidth="1"/>
    <col min="10" max="10" width="5.140625" style="95" hidden="1" customWidth="1"/>
    <col min="11" max="11" width="7.42578125" style="113" hidden="1" customWidth="1"/>
    <col min="12" max="12" width="7.85546875" style="95" hidden="1" customWidth="1"/>
    <col min="13" max="13" width="7.85546875" style="113" hidden="1" customWidth="1"/>
    <col min="14" max="14" width="6.5703125" style="95" hidden="1" customWidth="1"/>
    <col min="15" max="15" width="8.28515625" style="113" customWidth="1"/>
    <col min="16" max="16" width="5.28515625" style="95" customWidth="1"/>
    <col min="17" max="17" width="7.7109375" style="168" customWidth="1"/>
    <col min="18" max="18" width="15.85546875" style="235" customWidth="1"/>
    <col min="19" max="19" width="10.140625" style="113" customWidth="1"/>
    <col min="20" max="20" width="7" style="449" customWidth="1"/>
    <col min="21" max="21" width="9.5703125" style="95" customWidth="1"/>
    <col min="22" max="22" width="7.85546875" style="95"/>
    <col min="23" max="23" width="8.140625" style="95" bestFit="1" customWidth="1"/>
    <col min="24" max="27" width="7.85546875" style="95"/>
    <col min="28" max="28" width="13.85546875" style="95" customWidth="1"/>
    <col min="29" max="16384" width="7.85546875" style="95"/>
  </cols>
  <sheetData>
    <row r="1" spans="1:25" ht="18" x14ac:dyDescent="0.25">
      <c r="A1" s="105" t="s">
        <v>450</v>
      </c>
      <c r="B1" s="23"/>
      <c r="C1" s="106"/>
      <c r="D1" s="23"/>
      <c r="E1" s="23"/>
      <c r="F1" s="149"/>
      <c r="G1" s="149"/>
      <c r="H1" s="142"/>
      <c r="I1" s="149"/>
      <c r="J1" s="108"/>
      <c r="K1" s="149"/>
      <c r="L1" s="108"/>
      <c r="M1" s="149"/>
      <c r="N1" s="108"/>
      <c r="O1" s="149"/>
      <c r="P1" s="108"/>
      <c r="Q1" s="107"/>
      <c r="R1" s="481"/>
      <c r="S1" s="149"/>
      <c r="T1" s="108"/>
    </row>
    <row r="2" spans="1:25" x14ac:dyDescent="0.2">
      <c r="A2" s="24"/>
      <c r="B2" s="24"/>
      <c r="C2" s="24"/>
      <c r="D2" s="24"/>
      <c r="E2" s="438"/>
      <c r="F2" s="164" t="s">
        <v>347</v>
      </c>
      <c r="G2" s="164"/>
      <c r="H2" s="143" t="s">
        <v>98</v>
      </c>
      <c r="I2" s="164" t="s">
        <v>5</v>
      </c>
      <c r="J2" s="25" t="s">
        <v>5</v>
      </c>
      <c r="K2" s="164" t="s">
        <v>5</v>
      </c>
      <c r="L2" s="25" t="s">
        <v>5</v>
      </c>
      <c r="M2" s="164" t="s">
        <v>5</v>
      </c>
      <c r="N2" s="25" t="s">
        <v>5</v>
      </c>
      <c r="O2" s="164" t="s">
        <v>5</v>
      </c>
      <c r="P2" s="25" t="s">
        <v>5</v>
      </c>
      <c r="Q2" s="237" t="s">
        <v>187</v>
      </c>
      <c r="R2" s="217" t="s">
        <v>19</v>
      </c>
      <c r="S2" s="164" t="s">
        <v>425</v>
      </c>
      <c r="T2" s="25" t="s">
        <v>426</v>
      </c>
    </row>
    <row r="3" spans="1:25" ht="13.5" thickBot="1" x14ac:dyDescent="0.25">
      <c r="A3" s="26"/>
      <c r="B3" s="26" t="s">
        <v>20</v>
      </c>
      <c r="C3" s="27" t="s">
        <v>21</v>
      </c>
      <c r="D3" s="26" t="s">
        <v>22</v>
      </c>
      <c r="E3" s="26" t="s">
        <v>23</v>
      </c>
      <c r="F3" s="357"/>
      <c r="G3" s="357" t="s">
        <v>129</v>
      </c>
      <c r="H3" s="141" t="s">
        <v>93</v>
      </c>
      <c r="I3" s="357" t="s">
        <v>389</v>
      </c>
      <c r="J3" s="27" t="s">
        <v>4</v>
      </c>
      <c r="K3" s="357" t="s">
        <v>390</v>
      </c>
      <c r="L3" s="27" t="s">
        <v>4</v>
      </c>
      <c r="M3" s="357" t="s">
        <v>391</v>
      </c>
      <c r="N3" s="27" t="s">
        <v>4</v>
      </c>
      <c r="O3" s="357" t="s">
        <v>392</v>
      </c>
      <c r="P3" s="27" t="s">
        <v>4</v>
      </c>
      <c r="Q3" s="167" t="s">
        <v>181</v>
      </c>
      <c r="R3" s="28" t="s">
        <v>105</v>
      </c>
      <c r="S3" s="357"/>
      <c r="T3" s="27" t="s">
        <v>4</v>
      </c>
    </row>
    <row r="4" spans="1:25" x14ac:dyDescent="0.2">
      <c r="A4" s="110" t="s">
        <v>24</v>
      </c>
      <c r="B4" s="77"/>
      <c r="C4" s="110"/>
      <c r="D4" s="77"/>
      <c r="E4" s="110" t="s">
        <v>25</v>
      </c>
      <c r="F4" s="76"/>
      <c r="G4" s="76"/>
      <c r="H4" s="144"/>
      <c r="I4" s="76"/>
      <c r="J4" s="30"/>
      <c r="K4" s="76"/>
      <c r="L4" s="30"/>
      <c r="M4" s="76"/>
      <c r="N4" s="30"/>
      <c r="O4" s="76"/>
      <c r="P4" s="30"/>
      <c r="Q4" s="111"/>
      <c r="R4" s="104"/>
      <c r="S4" s="76"/>
      <c r="T4" s="30"/>
      <c r="U4" s="235"/>
    </row>
    <row r="5" spans="1:25" x14ac:dyDescent="0.2">
      <c r="A5" s="96" t="s">
        <v>26</v>
      </c>
      <c r="B5" s="32"/>
      <c r="C5" s="96"/>
      <c r="D5" s="32"/>
      <c r="E5" s="32"/>
      <c r="F5" s="70">
        <f>SUM(F6:F12)</f>
        <v>86625</v>
      </c>
      <c r="G5" s="70">
        <f>SUM(G6:G12)</f>
        <v>-18630</v>
      </c>
      <c r="H5" s="70">
        <f>SUM(H6:H12)</f>
        <v>67995</v>
      </c>
      <c r="I5" s="70">
        <f>SUM(I6:I12)</f>
        <v>26419.806219999999</v>
      </c>
      <c r="J5" s="195">
        <f t="shared" ref="J5:J12" si="0">I5/$H5*100</f>
        <v>38.855513228913892</v>
      </c>
      <c r="K5" s="70">
        <f>SUM(K6:K12)</f>
        <v>39265.950250000002</v>
      </c>
      <c r="L5" s="195">
        <f t="shared" ref="L5:L12" si="1">K5/$H5*100</f>
        <v>57.748290683138471</v>
      </c>
      <c r="M5" s="70">
        <f>SUM(M6:M12)</f>
        <v>60815.854829999997</v>
      </c>
      <c r="N5" s="195">
        <f t="shared" ref="N5:N12" si="2">M5/$H5*100</f>
        <v>89.441657224795932</v>
      </c>
      <c r="O5" s="70">
        <f>SUM(O6:O12)</f>
        <v>82217.778759999987</v>
      </c>
      <c r="P5" s="195">
        <f t="shared" ref="P5:P12" si="3">O5/$H5*100</f>
        <v>120.9173891609677</v>
      </c>
      <c r="Q5" s="314">
        <f>SUM(Q6:Q12)</f>
        <v>14222.778760000001</v>
      </c>
      <c r="R5" s="403"/>
      <c r="S5" s="70">
        <f>SUM(S6:S12)</f>
        <v>72124</v>
      </c>
      <c r="T5" s="195">
        <f>S5/$F5*100</f>
        <v>83.260028860028854</v>
      </c>
    </row>
    <row r="6" spans="1:25" x14ac:dyDescent="0.2">
      <c r="A6" s="109" t="s">
        <v>27</v>
      </c>
      <c r="B6" s="29">
        <v>1111</v>
      </c>
      <c r="C6" s="109"/>
      <c r="D6" s="112"/>
      <c r="E6" s="29" t="s">
        <v>108</v>
      </c>
      <c r="F6" s="69">
        <v>20000</v>
      </c>
      <c r="G6" s="457">
        <v>-7050</v>
      </c>
      <c r="H6" s="69">
        <f t="shared" ref="H6:H12" si="4">SUM(F6:G6)</f>
        <v>12950</v>
      </c>
      <c r="I6" s="69">
        <v>5154.0418600000003</v>
      </c>
      <c r="J6" s="34">
        <f t="shared" si="0"/>
        <v>39.799551042471045</v>
      </c>
      <c r="K6" s="69">
        <v>7921.1953800000001</v>
      </c>
      <c r="L6" s="34">
        <f t="shared" si="1"/>
        <v>61.16753189189189</v>
      </c>
      <c r="M6" s="69">
        <v>13049.861510000001</v>
      </c>
      <c r="N6" s="34">
        <f t="shared" si="2"/>
        <v>100.77113135135136</v>
      </c>
      <c r="O6" s="69">
        <v>18574.028409999999</v>
      </c>
      <c r="P6" s="34">
        <f t="shared" si="3"/>
        <v>143.42879081081082</v>
      </c>
      <c r="Q6" s="238">
        <f>O6-H6</f>
        <v>5624.028409999999</v>
      </c>
      <c r="R6" s="34" t="s">
        <v>113</v>
      </c>
      <c r="S6" s="69">
        <v>12000</v>
      </c>
      <c r="T6" s="34">
        <f t="shared" ref="T6:T69" si="5">S6/$F6*100</f>
        <v>60</v>
      </c>
      <c r="U6" s="66"/>
    </row>
    <row r="7" spans="1:25" x14ac:dyDescent="0.2">
      <c r="A7" s="109"/>
      <c r="B7" s="29">
        <v>1112</v>
      </c>
      <c r="C7" s="109"/>
      <c r="D7" s="109"/>
      <c r="E7" s="29" t="s">
        <v>194</v>
      </c>
      <c r="F7" s="69">
        <v>500</v>
      </c>
      <c r="G7" s="457">
        <v>-215</v>
      </c>
      <c r="H7" s="69">
        <f t="shared" si="4"/>
        <v>285</v>
      </c>
      <c r="I7" s="69">
        <v>134.30195000000001</v>
      </c>
      <c r="J7" s="34">
        <f t="shared" si="0"/>
        <v>47.123491228070172</v>
      </c>
      <c r="K7" s="69">
        <v>134.30195000000001</v>
      </c>
      <c r="L7" s="34">
        <f t="shared" si="1"/>
        <v>47.123491228070172</v>
      </c>
      <c r="M7" s="69">
        <v>134.30195000000001</v>
      </c>
      <c r="N7" s="34">
        <f t="shared" si="2"/>
        <v>47.123491228070172</v>
      </c>
      <c r="O7" s="69">
        <v>308.22669999999999</v>
      </c>
      <c r="P7" s="34">
        <f t="shared" si="3"/>
        <v>108.14971929824561</v>
      </c>
      <c r="Q7" s="238">
        <f t="shared" ref="Q7:Q12" si="6">O7-H7</f>
        <v>23.226699999999994</v>
      </c>
      <c r="R7" s="34" t="s">
        <v>113</v>
      </c>
      <c r="S7" s="69">
        <v>200</v>
      </c>
      <c r="T7" s="34">
        <f t="shared" si="5"/>
        <v>40</v>
      </c>
      <c r="U7" s="66"/>
    </row>
    <row r="8" spans="1:25" x14ac:dyDescent="0.2">
      <c r="A8" s="109"/>
      <c r="B8" s="29">
        <v>1113</v>
      </c>
      <c r="C8" s="109"/>
      <c r="D8" s="109"/>
      <c r="E8" s="29" t="s">
        <v>110</v>
      </c>
      <c r="F8" s="69">
        <v>1800</v>
      </c>
      <c r="G8" s="457">
        <v>-325</v>
      </c>
      <c r="H8" s="69">
        <f t="shared" si="4"/>
        <v>1475</v>
      </c>
      <c r="I8" s="69">
        <v>441.66813000000002</v>
      </c>
      <c r="J8" s="34">
        <f t="shared" si="0"/>
        <v>29.943602033898308</v>
      </c>
      <c r="K8" s="69">
        <v>833.30260999999996</v>
      </c>
      <c r="L8" s="34">
        <f t="shared" si="1"/>
        <v>56.495092203389831</v>
      </c>
      <c r="M8" s="69">
        <v>1390.4068500000001</v>
      </c>
      <c r="N8" s="34">
        <f t="shared" si="2"/>
        <v>94.264871186440686</v>
      </c>
      <c r="O8" s="69">
        <v>1881.0014100000001</v>
      </c>
      <c r="P8" s="34">
        <f t="shared" si="3"/>
        <v>127.52551932203392</v>
      </c>
      <c r="Q8" s="238">
        <f t="shared" si="6"/>
        <v>406.00141000000008</v>
      </c>
      <c r="R8" s="34" t="s">
        <v>113</v>
      </c>
      <c r="S8" s="69">
        <v>1900</v>
      </c>
      <c r="T8" s="34">
        <f t="shared" si="5"/>
        <v>105.55555555555556</v>
      </c>
      <c r="U8" s="66"/>
    </row>
    <row r="9" spans="1:25" x14ac:dyDescent="0.2">
      <c r="A9" s="109"/>
      <c r="B9" s="29">
        <v>1121</v>
      </c>
      <c r="C9" s="109"/>
      <c r="D9" s="109"/>
      <c r="E9" s="29" t="s">
        <v>111</v>
      </c>
      <c r="F9" s="69">
        <v>16000</v>
      </c>
      <c r="G9" s="457">
        <v>-5010</v>
      </c>
      <c r="H9" s="69">
        <f t="shared" si="4"/>
        <v>10990</v>
      </c>
      <c r="I9" s="69">
        <v>3598.33988</v>
      </c>
      <c r="J9" s="34">
        <f t="shared" si="0"/>
        <v>32.741946132848042</v>
      </c>
      <c r="K9" s="69">
        <v>5424.54234</v>
      </c>
      <c r="L9" s="34">
        <f t="shared" si="1"/>
        <v>49.358892993630569</v>
      </c>
      <c r="M9" s="69">
        <v>10447.22833</v>
      </c>
      <c r="N9" s="34">
        <f t="shared" si="2"/>
        <v>95.061222292993634</v>
      </c>
      <c r="O9" s="69">
        <v>14080.525250000001</v>
      </c>
      <c r="P9" s="34">
        <f t="shared" si="3"/>
        <v>128.12124886260236</v>
      </c>
      <c r="Q9" s="238">
        <f t="shared" si="6"/>
        <v>3090.5252500000006</v>
      </c>
      <c r="R9" s="34" t="s">
        <v>113</v>
      </c>
      <c r="S9" s="69">
        <v>13000</v>
      </c>
      <c r="T9" s="34">
        <f t="shared" si="5"/>
        <v>81.25</v>
      </c>
      <c r="U9" s="66"/>
    </row>
    <row r="10" spans="1:25" x14ac:dyDescent="0.2">
      <c r="A10" s="109"/>
      <c r="B10" s="29">
        <v>1211</v>
      </c>
      <c r="C10" s="109"/>
      <c r="D10" s="109"/>
      <c r="E10" s="29" t="s">
        <v>109</v>
      </c>
      <c r="F10" s="69">
        <v>39800</v>
      </c>
      <c r="G10" s="457">
        <v>-5580</v>
      </c>
      <c r="H10" s="69">
        <f t="shared" si="4"/>
        <v>34220</v>
      </c>
      <c r="I10" s="69">
        <v>9943.7719300000008</v>
      </c>
      <c r="J10" s="34">
        <f t="shared" si="0"/>
        <v>29.058363325540622</v>
      </c>
      <c r="K10" s="69">
        <v>17470.602780000001</v>
      </c>
      <c r="L10" s="34">
        <f t="shared" si="1"/>
        <v>51.053777849210988</v>
      </c>
      <c r="M10" s="69">
        <v>27693.76483</v>
      </c>
      <c r="N10" s="34">
        <f t="shared" si="2"/>
        <v>80.928593892460555</v>
      </c>
      <c r="O10" s="69">
        <v>38606.889730000003</v>
      </c>
      <c r="P10" s="34">
        <f t="shared" si="3"/>
        <v>112.81966607247224</v>
      </c>
      <c r="Q10" s="238">
        <f t="shared" si="6"/>
        <v>4386.8897300000026</v>
      </c>
      <c r="R10" s="34" t="s">
        <v>113</v>
      </c>
      <c r="S10" s="69">
        <v>40500</v>
      </c>
      <c r="T10" s="34">
        <f t="shared" si="5"/>
        <v>101.75879396984924</v>
      </c>
      <c r="U10" s="66"/>
    </row>
    <row r="11" spans="1:25" x14ac:dyDescent="0.2">
      <c r="A11" s="109"/>
      <c r="B11" s="29">
        <v>1111</v>
      </c>
      <c r="C11" s="109"/>
      <c r="D11" s="29">
        <v>2</v>
      </c>
      <c r="E11" s="29" t="s">
        <v>122</v>
      </c>
      <c r="F11" s="69">
        <v>2000</v>
      </c>
      <c r="G11" s="457">
        <v>-450</v>
      </c>
      <c r="H11" s="69">
        <f>SUM(F11:G11)</f>
        <v>1550</v>
      </c>
      <c r="I11" s="69">
        <v>622.70246999999995</v>
      </c>
      <c r="J11" s="34">
        <f t="shared" si="0"/>
        <v>40.174352903225802</v>
      </c>
      <c r="K11" s="69">
        <v>957.02518999999995</v>
      </c>
      <c r="L11" s="34">
        <f t="shared" si="1"/>
        <v>61.743560645161288</v>
      </c>
      <c r="M11" s="69">
        <v>1575.3113599999999</v>
      </c>
      <c r="N11" s="34">
        <f t="shared" si="2"/>
        <v>101.63299096774192</v>
      </c>
      <c r="O11" s="69">
        <v>2242.1272600000002</v>
      </c>
      <c r="P11" s="34">
        <f t="shared" si="3"/>
        <v>144.65337161290324</v>
      </c>
      <c r="Q11" s="238">
        <f t="shared" si="6"/>
        <v>692.12726000000021</v>
      </c>
      <c r="R11" s="218"/>
      <c r="S11" s="69">
        <v>1500</v>
      </c>
      <c r="T11" s="34">
        <f t="shared" si="5"/>
        <v>75</v>
      </c>
      <c r="U11" s="66"/>
      <c r="V11" s="113"/>
    </row>
    <row r="12" spans="1:25" x14ac:dyDescent="0.2">
      <c r="A12" s="109"/>
      <c r="B12" s="29">
        <v>1122</v>
      </c>
      <c r="C12" s="109"/>
      <c r="D12" s="109"/>
      <c r="E12" s="29" t="s">
        <v>112</v>
      </c>
      <c r="F12" s="69">
        <v>6525</v>
      </c>
      <c r="G12" s="69"/>
      <c r="H12" s="69">
        <f t="shared" si="4"/>
        <v>6525</v>
      </c>
      <c r="I12" s="69">
        <v>6524.98</v>
      </c>
      <c r="J12" s="34">
        <f t="shared" si="0"/>
        <v>99.999693486590033</v>
      </c>
      <c r="K12" s="69">
        <v>6524.98</v>
      </c>
      <c r="L12" s="34">
        <f t="shared" si="1"/>
        <v>99.999693486590033</v>
      </c>
      <c r="M12" s="69">
        <v>6524.98</v>
      </c>
      <c r="N12" s="34">
        <f t="shared" si="2"/>
        <v>99.999693486590033</v>
      </c>
      <c r="O12" s="69">
        <v>6524.98</v>
      </c>
      <c r="P12" s="34">
        <f t="shared" si="3"/>
        <v>99.999693486590033</v>
      </c>
      <c r="Q12" s="238">
        <f t="shared" si="6"/>
        <v>-2.0000000000436557E-2</v>
      </c>
      <c r="R12" s="112" t="s">
        <v>154</v>
      </c>
      <c r="S12" s="69">
        <v>3024</v>
      </c>
      <c r="T12" s="34">
        <f t="shared" si="5"/>
        <v>46.344827586206897</v>
      </c>
      <c r="U12" s="66"/>
      <c r="X12" s="117"/>
      <c r="Y12" s="146"/>
    </row>
    <row r="13" spans="1:25" x14ac:dyDescent="0.2">
      <c r="A13" s="96" t="s">
        <v>28</v>
      </c>
      <c r="B13" s="32"/>
      <c r="C13" s="96"/>
      <c r="D13" s="32"/>
      <c r="E13" s="32"/>
      <c r="F13" s="70"/>
      <c r="G13" s="70"/>
      <c r="H13" s="70"/>
      <c r="I13" s="70"/>
      <c r="J13" s="34"/>
      <c r="K13" s="70"/>
      <c r="L13" s="34"/>
      <c r="M13" s="70"/>
      <c r="N13" s="34"/>
      <c r="O13" s="70"/>
      <c r="P13" s="34"/>
      <c r="Q13" s="239"/>
      <c r="R13" s="323"/>
      <c r="S13" s="70"/>
      <c r="T13" s="34"/>
      <c r="U13" s="439"/>
    </row>
    <row r="14" spans="1:25" x14ac:dyDescent="0.2">
      <c r="A14" s="109"/>
      <c r="B14" s="109"/>
      <c r="C14" s="109"/>
      <c r="D14" s="109"/>
      <c r="E14" s="32" t="s">
        <v>148</v>
      </c>
      <c r="F14" s="70">
        <f>SUM(F15:F25)</f>
        <v>4835</v>
      </c>
      <c r="G14" s="70">
        <f>SUM(G15:G25)</f>
        <v>-800</v>
      </c>
      <c r="H14" s="70">
        <f>SUM(H15:H25)</f>
        <v>4035</v>
      </c>
      <c r="I14" s="70">
        <f>SUM(I15:I25)</f>
        <v>971.16000000000008</v>
      </c>
      <c r="J14" s="195">
        <f>I14/$H14*100</f>
        <v>24.068401486988851</v>
      </c>
      <c r="K14" s="70">
        <f>SUM(K15:K25)</f>
        <v>2015.415</v>
      </c>
      <c r="L14" s="195">
        <f t="shared" ref="L14:L26" si="7">K14/$H14*100</f>
        <v>49.948327137546464</v>
      </c>
      <c r="M14" s="70">
        <f>SUM(M15:M25)</f>
        <v>3002.53</v>
      </c>
      <c r="N14" s="195">
        <f t="shared" ref="N14:N26" si="8">M14/$H14*100</f>
        <v>74.412143742255282</v>
      </c>
      <c r="O14" s="70">
        <f>SUM(O15:O25)</f>
        <v>3710.1</v>
      </c>
      <c r="P14" s="195">
        <f t="shared" ref="P14:P26" si="9">O14/$H14*100</f>
        <v>91.94795539033457</v>
      </c>
      <c r="Q14" s="314">
        <f>SUM(Q15:Q25)</f>
        <v>-324.89999999999998</v>
      </c>
      <c r="R14" s="323"/>
      <c r="S14" s="70">
        <f>SUM(S15:S25)</f>
        <v>4535</v>
      </c>
      <c r="T14" s="195">
        <f t="shared" si="5"/>
        <v>93.795243019648396</v>
      </c>
    </row>
    <row r="15" spans="1:25" x14ac:dyDescent="0.2">
      <c r="A15" s="109"/>
      <c r="B15" s="29">
        <v>1361</v>
      </c>
      <c r="D15" s="112" t="s">
        <v>138</v>
      </c>
      <c r="E15" s="29" t="s">
        <v>29</v>
      </c>
      <c r="F15" s="69">
        <v>200</v>
      </c>
      <c r="G15" s="69"/>
      <c r="H15" s="69">
        <f t="shared" ref="H15:H23" si="10">SUM(F15:G15)</f>
        <v>200</v>
      </c>
      <c r="I15" s="69">
        <f>3.015+23.85+36</f>
        <v>62.865000000000002</v>
      </c>
      <c r="J15" s="34">
        <f t="shared" ref="J15:J36" si="11">I15/$H15*100</f>
        <v>31.432500000000001</v>
      </c>
      <c r="K15" s="69">
        <f>5.915+42.63+64</f>
        <v>112.545</v>
      </c>
      <c r="L15" s="34">
        <f t="shared" si="7"/>
        <v>56.272500000000001</v>
      </c>
      <c r="M15" s="69">
        <f>8.215+65.43+76</f>
        <v>149.64500000000001</v>
      </c>
      <c r="N15" s="34">
        <f t="shared" si="8"/>
        <v>74.822500000000005</v>
      </c>
      <c r="O15" s="69">
        <f>10.315+80.2+79</f>
        <v>169.51499999999999</v>
      </c>
      <c r="P15" s="34">
        <f t="shared" si="9"/>
        <v>84.757499999999993</v>
      </c>
      <c r="Q15" s="238">
        <f t="shared" ref="Q15:Q25" si="12">O15-H15</f>
        <v>-30.485000000000014</v>
      </c>
      <c r="R15" s="219" t="s">
        <v>362</v>
      </c>
      <c r="S15" s="69">
        <v>200</v>
      </c>
      <c r="T15" s="34">
        <f t="shared" si="5"/>
        <v>100</v>
      </c>
    </row>
    <row r="16" spans="1:25" x14ac:dyDescent="0.2">
      <c r="A16" s="109"/>
      <c r="B16" s="29">
        <v>1361</v>
      </c>
      <c r="C16" s="109"/>
      <c r="D16" s="29">
        <v>7</v>
      </c>
      <c r="E16" s="29" t="s">
        <v>162</v>
      </c>
      <c r="F16" s="69">
        <v>800</v>
      </c>
      <c r="G16" s="69"/>
      <c r="H16" s="69">
        <f t="shared" si="10"/>
        <v>800</v>
      </c>
      <c r="I16" s="69">
        <v>138.03</v>
      </c>
      <c r="J16" s="34">
        <f t="shared" si="11"/>
        <v>17.25375</v>
      </c>
      <c r="K16" s="69">
        <v>363.505</v>
      </c>
      <c r="L16" s="34">
        <f t="shared" si="7"/>
        <v>45.438124999999999</v>
      </c>
      <c r="M16" s="69">
        <v>498.85500000000002</v>
      </c>
      <c r="N16" s="34">
        <f t="shared" si="8"/>
        <v>62.356875000000002</v>
      </c>
      <c r="O16" s="69">
        <v>569.47500000000002</v>
      </c>
      <c r="P16" s="34">
        <f t="shared" si="9"/>
        <v>71.184375000000003</v>
      </c>
      <c r="Q16" s="238">
        <f t="shared" si="12"/>
        <v>-230.52499999999998</v>
      </c>
      <c r="R16" s="219"/>
      <c r="S16" s="69">
        <v>800</v>
      </c>
      <c r="T16" s="34">
        <f t="shared" si="5"/>
        <v>100</v>
      </c>
    </row>
    <row r="17" spans="1:20" x14ac:dyDescent="0.2">
      <c r="A17" s="109"/>
      <c r="B17" s="29">
        <v>1361</v>
      </c>
      <c r="C17" s="109"/>
      <c r="D17" s="29">
        <v>10.23</v>
      </c>
      <c r="E17" s="114" t="s">
        <v>164</v>
      </c>
      <c r="F17" s="69">
        <f>50+40</f>
        <v>90</v>
      </c>
      <c r="G17" s="69"/>
      <c r="H17" s="69">
        <f t="shared" si="10"/>
        <v>90</v>
      </c>
      <c r="I17" s="69">
        <f>25.1+0.83+28.2</f>
        <v>54.129999999999995</v>
      </c>
      <c r="J17" s="34">
        <f t="shared" si="11"/>
        <v>60.144444444444446</v>
      </c>
      <c r="K17" s="69">
        <f>36.5+0.83+64.5</f>
        <v>101.83</v>
      </c>
      <c r="L17" s="34">
        <f t="shared" si="7"/>
        <v>113.14444444444445</v>
      </c>
      <c r="M17" s="69">
        <f>38.975+0.83+100.7</f>
        <v>140.505</v>
      </c>
      <c r="N17" s="34">
        <f t="shared" si="8"/>
        <v>156.11666666666665</v>
      </c>
      <c r="O17" s="69">
        <f>43.975+0.83+129.8</f>
        <v>174.60500000000002</v>
      </c>
      <c r="P17" s="34">
        <f t="shared" si="9"/>
        <v>194.00555555555559</v>
      </c>
      <c r="Q17" s="238">
        <f t="shared" si="12"/>
        <v>84.605000000000018</v>
      </c>
      <c r="R17" s="219"/>
      <c r="S17" s="69">
        <f>40+70</f>
        <v>110</v>
      </c>
      <c r="T17" s="34">
        <f t="shared" si="5"/>
        <v>122.22222222222223</v>
      </c>
    </row>
    <row r="18" spans="1:20" x14ac:dyDescent="0.2">
      <c r="A18" s="109"/>
      <c r="B18" s="29">
        <v>1361</v>
      </c>
      <c r="C18" s="109"/>
      <c r="D18" s="29">
        <v>11</v>
      </c>
      <c r="E18" s="29" t="s">
        <v>30</v>
      </c>
      <c r="F18" s="69">
        <v>160</v>
      </c>
      <c r="G18" s="69"/>
      <c r="H18" s="69">
        <f t="shared" si="10"/>
        <v>160</v>
      </c>
      <c r="I18" s="69">
        <v>35.340000000000003</v>
      </c>
      <c r="J18" s="34">
        <f t="shared" si="11"/>
        <v>22.087500000000002</v>
      </c>
      <c r="K18" s="69">
        <v>69.319999999999993</v>
      </c>
      <c r="L18" s="34">
        <f t="shared" si="7"/>
        <v>43.324999999999996</v>
      </c>
      <c r="M18" s="69">
        <v>110.84</v>
      </c>
      <c r="N18" s="34">
        <f t="shared" si="8"/>
        <v>69.274999999999991</v>
      </c>
      <c r="O18" s="69">
        <v>145.68</v>
      </c>
      <c r="P18" s="34">
        <f t="shared" si="9"/>
        <v>91.050000000000011</v>
      </c>
      <c r="Q18" s="238">
        <f t="shared" si="12"/>
        <v>-14.319999999999993</v>
      </c>
      <c r="R18" s="219"/>
      <c r="S18" s="69">
        <v>150</v>
      </c>
      <c r="T18" s="34">
        <f t="shared" si="5"/>
        <v>93.75</v>
      </c>
    </row>
    <row r="19" spans="1:20" x14ac:dyDescent="0.2">
      <c r="A19" s="109"/>
      <c r="B19" s="29">
        <v>1361</v>
      </c>
      <c r="C19" s="109"/>
      <c r="D19" s="29">
        <v>24</v>
      </c>
      <c r="E19" s="29" t="s">
        <v>165</v>
      </c>
      <c r="F19" s="69">
        <v>30</v>
      </c>
      <c r="G19" s="69"/>
      <c r="H19" s="69">
        <f t="shared" si="10"/>
        <v>30</v>
      </c>
      <c r="I19" s="69">
        <v>3.3</v>
      </c>
      <c r="J19" s="34">
        <f t="shared" si="11"/>
        <v>11</v>
      </c>
      <c r="K19" s="69">
        <v>17</v>
      </c>
      <c r="L19" s="34">
        <f t="shared" si="7"/>
        <v>56.666666666666664</v>
      </c>
      <c r="M19" s="69">
        <v>29.5</v>
      </c>
      <c r="N19" s="34">
        <f t="shared" si="8"/>
        <v>98.333333333333329</v>
      </c>
      <c r="O19" s="69">
        <v>31.9</v>
      </c>
      <c r="P19" s="34">
        <f t="shared" si="9"/>
        <v>106.33333333333333</v>
      </c>
      <c r="Q19" s="238">
        <f t="shared" si="12"/>
        <v>1.8999999999999986</v>
      </c>
      <c r="R19" s="219"/>
      <c r="S19" s="69">
        <v>30</v>
      </c>
      <c r="T19" s="34">
        <f t="shared" si="5"/>
        <v>100</v>
      </c>
    </row>
    <row r="20" spans="1:20" x14ac:dyDescent="0.2">
      <c r="A20" s="109"/>
      <c r="B20" s="29">
        <v>1361</v>
      </c>
      <c r="C20" s="109"/>
      <c r="D20" s="29">
        <v>26</v>
      </c>
      <c r="E20" s="29" t="s">
        <v>166</v>
      </c>
      <c r="F20" s="69">
        <v>2500</v>
      </c>
      <c r="G20" s="457">
        <v>-350</v>
      </c>
      <c r="H20" s="69">
        <f t="shared" si="10"/>
        <v>2150</v>
      </c>
      <c r="I20" s="69">
        <v>503.45</v>
      </c>
      <c r="J20" s="34">
        <f t="shared" si="11"/>
        <v>23.416279069767441</v>
      </c>
      <c r="K20" s="69">
        <v>1066.97</v>
      </c>
      <c r="L20" s="34">
        <f t="shared" si="7"/>
        <v>49.626511627906979</v>
      </c>
      <c r="M20" s="69">
        <v>1604.5050000000001</v>
      </c>
      <c r="N20" s="34">
        <f t="shared" si="8"/>
        <v>74.628139534883729</v>
      </c>
      <c r="O20" s="69">
        <v>2056.81</v>
      </c>
      <c r="P20" s="34">
        <f t="shared" si="9"/>
        <v>95.665581395348838</v>
      </c>
      <c r="Q20" s="238">
        <f t="shared" si="12"/>
        <v>-93.190000000000055</v>
      </c>
      <c r="R20" s="219"/>
      <c r="S20" s="69">
        <v>2500</v>
      </c>
      <c r="T20" s="34">
        <f t="shared" si="5"/>
        <v>100</v>
      </c>
    </row>
    <row r="21" spans="1:20" x14ac:dyDescent="0.2">
      <c r="A21" s="109"/>
      <c r="B21" s="29">
        <v>1353</v>
      </c>
      <c r="C21" s="109"/>
      <c r="D21" s="29">
        <v>26</v>
      </c>
      <c r="E21" s="29" t="s">
        <v>193</v>
      </c>
      <c r="F21" s="69">
        <v>400</v>
      </c>
      <c r="G21" s="457">
        <v>-150</v>
      </c>
      <c r="H21" s="69">
        <f t="shared" si="10"/>
        <v>250</v>
      </c>
      <c r="I21" s="69">
        <v>61.1</v>
      </c>
      <c r="J21" s="34">
        <f t="shared" si="11"/>
        <v>24.44</v>
      </c>
      <c r="K21" s="69">
        <v>119</v>
      </c>
      <c r="L21" s="34">
        <f t="shared" si="7"/>
        <v>47.599999999999994</v>
      </c>
      <c r="M21" s="69">
        <v>220</v>
      </c>
      <c r="N21" s="34">
        <f t="shared" si="8"/>
        <v>88</v>
      </c>
      <c r="O21" s="69">
        <v>268.60000000000002</v>
      </c>
      <c r="P21" s="34">
        <f t="shared" si="9"/>
        <v>107.44</v>
      </c>
      <c r="Q21" s="238">
        <f t="shared" si="12"/>
        <v>18.600000000000023</v>
      </c>
      <c r="R21" s="219"/>
      <c r="S21" s="69">
        <v>400</v>
      </c>
      <c r="T21" s="34">
        <f t="shared" si="5"/>
        <v>100</v>
      </c>
    </row>
    <row r="22" spans="1:20" x14ac:dyDescent="0.2">
      <c r="A22" s="109"/>
      <c r="B22" s="29">
        <v>1361</v>
      </c>
      <c r="C22" s="109"/>
      <c r="D22" s="29">
        <v>32.33</v>
      </c>
      <c r="E22" s="29" t="s">
        <v>135</v>
      </c>
      <c r="F22" s="69">
        <f>570+50</f>
        <v>620</v>
      </c>
      <c r="G22" s="457">
        <v>-300</v>
      </c>
      <c r="H22" s="69">
        <f t="shared" si="10"/>
        <v>320</v>
      </c>
      <c r="I22" s="69">
        <f>88+15.7</f>
        <v>103.7</v>
      </c>
      <c r="J22" s="34">
        <f t="shared" si="11"/>
        <v>32.40625</v>
      </c>
      <c r="K22" s="69">
        <f>120.2+26.65</f>
        <v>146.85</v>
      </c>
      <c r="L22" s="34">
        <f t="shared" si="7"/>
        <v>45.890624999999993</v>
      </c>
      <c r="M22" s="69">
        <f>169.5+52</f>
        <v>221.5</v>
      </c>
      <c r="N22" s="34">
        <f t="shared" si="8"/>
        <v>69.21875</v>
      </c>
      <c r="O22" s="69">
        <f>193.6+62.6</f>
        <v>256.2</v>
      </c>
      <c r="P22" s="34">
        <f t="shared" si="9"/>
        <v>80.062499999999986</v>
      </c>
      <c r="Q22" s="238">
        <f t="shared" si="12"/>
        <v>-63.800000000000011</v>
      </c>
      <c r="R22" s="219"/>
      <c r="S22" s="69">
        <f>260+50</f>
        <v>310</v>
      </c>
      <c r="T22" s="34">
        <f t="shared" si="5"/>
        <v>50</v>
      </c>
    </row>
    <row r="23" spans="1:20" x14ac:dyDescent="0.2">
      <c r="A23" s="109"/>
      <c r="B23" s="29">
        <v>1361</v>
      </c>
      <c r="C23" s="109"/>
      <c r="D23" s="29">
        <v>35</v>
      </c>
      <c r="E23" s="29" t="s">
        <v>232</v>
      </c>
      <c r="F23" s="69">
        <v>35</v>
      </c>
      <c r="G23" s="69"/>
      <c r="H23" s="69">
        <f t="shared" si="10"/>
        <v>35</v>
      </c>
      <c r="I23" s="69">
        <v>9.1999999999999993</v>
      </c>
      <c r="J23" s="34">
        <f t="shared" si="11"/>
        <v>26.285714285714285</v>
      </c>
      <c r="K23" s="69">
        <v>13.95</v>
      </c>
      <c r="L23" s="34">
        <f t="shared" si="7"/>
        <v>39.857142857142861</v>
      </c>
      <c r="M23" s="69">
        <v>22.25</v>
      </c>
      <c r="N23" s="34">
        <f t="shared" si="8"/>
        <v>63.571428571428569</v>
      </c>
      <c r="O23" s="69">
        <v>29.42</v>
      </c>
      <c r="P23" s="34">
        <f t="shared" si="9"/>
        <v>84.057142857142864</v>
      </c>
      <c r="Q23" s="238">
        <f t="shared" si="12"/>
        <v>-5.5799999999999983</v>
      </c>
      <c r="R23" s="219"/>
      <c r="S23" s="69">
        <v>35</v>
      </c>
      <c r="T23" s="34">
        <f t="shared" si="5"/>
        <v>100</v>
      </c>
    </row>
    <row r="24" spans="1:20" x14ac:dyDescent="0.2">
      <c r="A24" s="109"/>
      <c r="B24" s="29">
        <v>1361</v>
      </c>
      <c r="C24" s="109"/>
      <c r="D24" s="29">
        <v>40</v>
      </c>
      <c r="E24" s="29" t="s">
        <v>31</v>
      </c>
      <c r="F24" s="69">
        <v>0</v>
      </c>
      <c r="G24" s="69"/>
      <c r="H24" s="69">
        <f>SUM(F24:G24)</f>
        <v>0</v>
      </c>
      <c r="I24" s="69"/>
      <c r="J24" s="34"/>
      <c r="K24" s="69">
        <v>4</v>
      </c>
      <c r="L24" s="34"/>
      <c r="M24" s="69">
        <v>4</v>
      </c>
      <c r="N24" s="34"/>
      <c r="O24" s="69">
        <v>6.5</v>
      </c>
      <c r="P24" s="34"/>
      <c r="Q24" s="238">
        <f t="shared" si="12"/>
        <v>6.5</v>
      </c>
      <c r="R24" s="219"/>
      <c r="S24" s="69">
        <v>0</v>
      </c>
      <c r="T24" s="34"/>
    </row>
    <row r="25" spans="1:20" x14ac:dyDescent="0.2">
      <c r="A25" s="109"/>
      <c r="B25" s="29">
        <v>1361</v>
      </c>
      <c r="C25" s="109"/>
      <c r="D25" s="112" t="s">
        <v>192</v>
      </c>
      <c r="E25" s="29" t="s">
        <v>101</v>
      </c>
      <c r="F25" s="69">
        <v>0</v>
      </c>
      <c r="G25" s="69"/>
      <c r="H25" s="69">
        <f>SUM(F25:G25)</f>
        <v>0</v>
      </c>
      <c r="I25" s="69">
        <v>4.4999999999999998E-2</v>
      </c>
      <c r="J25" s="34"/>
      <c r="K25" s="69">
        <v>0.44500000000000001</v>
      </c>
      <c r="L25" s="34"/>
      <c r="M25" s="69">
        <f>0.93</f>
        <v>0.93</v>
      </c>
      <c r="N25" s="34"/>
      <c r="O25" s="69">
        <v>1.395</v>
      </c>
      <c r="P25" s="34"/>
      <c r="Q25" s="238">
        <f t="shared" si="12"/>
        <v>1.395</v>
      </c>
      <c r="R25" s="219"/>
      <c r="S25" s="69"/>
      <c r="T25" s="34"/>
    </row>
    <row r="26" spans="1:20" x14ac:dyDescent="0.2">
      <c r="A26" s="109"/>
      <c r="B26" s="109"/>
      <c r="C26" s="109"/>
      <c r="D26" s="109"/>
      <c r="E26" s="32" t="s">
        <v>256</v>
      </c>
      <c r="F26" s="70">
        <f>SUM(F27:F28)</f>
        <v>3900</v>
      </c>
      <c r="G26" s="70">
        <f>SUM(G27:G28)</f>
        <v>-950</v>
      </c>
      <c r="H26" s="70">
        <f>SUM(H27:H28)</f>
        <v>2950</v>
      </c>
      <c r="I26" s="70">
        <f>SUM(I27:I28)</f>
        <v>1229.7204900000002</v>
      </c>
      <c r="J26" s="195">
        <f>I26/$H26*100</f>
        <v>41.685440338983057</v>
      </c>
      <c r="K26" s="70">
        <f>SUM(K27:K28)</f>
        <v>1821.21578</v>
      </c>
      <c r="L26" s="195">
        <f t="shared" si="7"/>
        <v>61.736128135593219</v>
      </c>
      <c r="M26" s="70">
        <f>SUM(M27:M28)</f>
        <v>2699.0995700000003</v>
      </c>
      <c r="N26" s="195">
        <f t="shared" si="8"/>
        <v>91.494900677966115</v>
      </c>
      <c r="O26" s="70">
        <f>SUM(O27:O28)</f>
        <v>3931.0302199999996</v>
      </c>
      <c r="P26" s="195">
        <f t="shared" si="9"/>
        <v>133.25526169491525</v>
      </c>
      <c r="Q26" s="314">
        <f>SUM(Q27:Q28)</f>
        <v>981.03021999999953</v>
      </c>
      <c r="R26" s="112"/>
      <c r="S26" s="70">
        <f>SUM(S27:S28)</f>
        <v>3250</v>
      </c>
      <c r="T26" s="195">
        <f t="shared" si="5"/>
        <v>83.333333333333343</v>
      </c>
    </row>
    <row r="27" spans="1:20" x14ac:dyDescent="0.2">
      <c r="A27" s="109"/>
      <c r="B27" s="29">
        <v>1332.1333999999999</v>
      </c>
      <c r="C27" s="109"/>
      <c r="D27" s="29">
        <v>23.12</v>
      </c>
      <c r="E27" s="29" t="s">
        <v>372</v>
      </c>
      <c r="F27" s="69"/>
      <c r="G27" s="69"/>
      <c r="H27" s="69">
        <f>SUM(F27:G27)</f>
        <v>0</v>
      </c>
      <c r="I27" s="69"/>
      <c r="J27" s="34"/>
      <c r="K27" s="69"/>
      <c r="L27" s="34"/>
      <c r="M27" s="69">
        <f>52.7986</f>
        <v>52.7986</v>
      </c>
      <c r="N27" s="34"/>
      <c r="O27" s="69">
        <f>52.7986+10</f>
        <v>62.7986</v>
      </c>
      <c r="P27" s="34"/>
      <c r="Q27" s="238">
        <f t="shared" ref="Q27:Q28" si="13">O27-H27</f>
        <v>62.7986</v>
      </c>
      <c r="R27" s="219"/>
      <c r="S27" s="69">
        <v>0</v>
      </c>
      <c r="T27" s="34"/>
    </row>
    <row r="28" spans="1:20" x14ac:dyDescent="0.2">
      <c r="A28" s="109"/>
      <c r="B28" s="29">
        <v>1381</v>
      </c>
      <c r="C28" s="109"/>
      <c r="D28" s="29">
        <v>401</v>
      </c>
      <c r="E28" s="29" t="s">
        <v>330</v>
      </c>
      <c r="F28" s="69">
        <v>3900</v>
      </c>
      <c r="G28" s="457">
        <v>-950</v>
      </c>
      <c r="H28" s="69">
        <f>SUM(F28:G28)</f>
        <v>2950</v>
      </c>
      <c r="I28" s="69">
        <f>145.7752+1083.94529</f>
        <v>1229.7204900000002</v>
      </c>
      <c r="J28" s="34">
        <f>I28/$H28*100</f>
        <v>41.685440338983057</v>
      </c>
      <c r="K28" s="69">
        <f>268.75388+1552.4619</f>
        <v>1821.21578</v>
      </c>
      <c r="L28" s="34">
        <f t="shared" ref="L28:L36" si="14">K28/$H28*100</f>
        <v>61.736128135593219</v>
      </c>
      <c r="M28" s="69">
        <f>374.73118+2271.56979</f>
        <v>2646.3009700000002</v>
      </c>
      <c r="N28" s="34">
        <f t="shared" ref="N28:N37" si="15">M28/$H28*100</f>
        <v>89.705117627118653</v>
      </c>
      <c r="O28" s="69">
        <f>532.46487+3335.76675</f>
        <v>3868.2316199999996</v>
      </c>
      <c r="P28" s="34">
        <f t="shared" ref="P28:P36" si="16">O28/$H28*100</f>
        <v>131.12649559322031</v>
      </c>
      <c r="Q28" s="238">
        <f t="shared" si="13"/>
        <v>918.23161999999957</v>
      </c>
      <c r="R28" s="219"/>
      <c r="S28" s="69">
        <v>3250</v>
      </c>
      <c r="T28" s="34">
        <f t="shared" si="5"/>
        <v>83.333333333333343</v>
      </c>
    </row>
    <row r="29" spans="1:20" x14ac:dyDescent="0.2">
      <c r="A29" s="109"/>
      <c r="B29" s="109"/>
      <c r="C29" s="109"/>
      <c r="D29" s="109"/>
      <c r="E29" s="32" t="s">
        <v>149</v>
      </c>
      <c r="F29" s="70">
        <f>SUM(F30:F34)</f>
        <v>3360</v>
      </c>
      <c r="G29" s="70">
        <f>SUM(G30:G34)</f>
        <v>0</v>
      </c>
      <c r="H29" s="70">
        <f>SUM(H30:H34)</f>
        <v>3360</v>
      </c>
      <c r="I29" s="70">
        <f>SUM(I30:I34)</f>
        <v>1493.6110699999999</v>
      </c>
      <c r="J29" s="195">
        <f t="shared" si="11"/>
        <v>44.452710416666662</v>
      </c>
      <c r="K29" s="70">
        <f>SUM(K30:K34)</f>
        <v>2697.5103500000005</v>
      </c>
      <c r="L29" s="195">
        <f t="shared" si="14"/>
        <v>80.2830461309524</v>
      </c>
      <c r="M29" s="70">
        <f>SUM(M30:M34)</f>
        <v>3070.3053799999998</v>
      </c>
      <c r="N29" s="195">
        <f t="shared" si="15"/>
        <v>91.378136309523811</v>
      </c>
      <c r="O29" s="70">
        <f>SUM(O30:O34)</f>
        <v>3505.0602899999999</v>
      </c>
      <c r="P29" s="195">
        <f t="shared" si="16"/>
        <v>104.31727053571429</v>
      </c>
      <c r="Q29" s="314">
        <f>SUM(Q30:Q34)</f>
        <v>145.06028999999992</v>
      </c>
      <c r="R29" s="323"/>
      <c r="S29" s="70">
        <f>SUM(S30:S34)</f>
        <v>3435</v>
      </c>
      <c r="T29" s="195">
        <f t="shared" si="5"/>
        <v>102.23214285714286</v>
      </c>
    </row>
    <row r="30" spans="1:20" x14ac:dyDescent="0.2">
      <c r="A30" s="109"/>
      <c r="B30" s="29">
        <v>1340</v>
      </c>
      <c r="C30" s="109"/>
      <c r="D30" s="29">
        <v>240</v>
      </c>
      <c r="E30" s="29" t="s">
        <v>103</v>
      </c>
      <c r="F30" s="69">
        <v>3100</v>
      </c>
      <c r="G30" s="69"/>
      <c r="H30" s="69">
        <f t="shared" ref="H30:H34" si="17">SUM(F30:G30)</f>
        <v>3100</v>
      </c>
      <c r="I30" s="69">
        <f>1409.75707+0.56</f>
        <v>1410.3170700000001</v>
      </c>
      <c r="J30" s="34">
        <f>I30/$H30*100</f>
        <v>45.49409903225807</v>
      </c>
      <c r="K30" s="69">
        <v>2533.85835</v>
      </c>
      <c r="L30" s="34">
        <f t="shared" si="14"/>
        <v>81.737366129032253</v>
      </c>
      <c r="M30" s="69">
        <v>2853.4353799999999</v>
      </c>
      <c r="N30" s="34">
        <f t="shared" si="15"/>
        <v>92.046302580645161</v>
      </c>
      <c r="O30" s="69">
        <v>3271.2792899999999</v>
      </c>
      <c r="P30" s="34">
        <f t="shared" si="16"/>
        <v>105.52513838709676</v>
      </c>
      <c r="Q30" s="238">
        <f t="shared" ref="Q30:Q34" si="18">O30-H30</f>
        <v>171.27928999999995</v>
      </c>
      <c r="R30" s="112" t="s">
        <v>262</v>
      </c>
      <c r="S30" s="69">
        <v>3200</v>
      </c>
      <c r="T30" s="34">
        <f t="shared" si="5"/>
        <v>103.2258064516129</v>
      </c>
    </row>
    <row r="31" spans="1:20" x14ac:dyDescent="0.2">
      <c r="A31" s="109"/>
      <c r="B31" s="29">
        <v>1341</v>
      </c>
      <c r="C31" s="109"/>
      <c r="D31" s="29">
        <v>5</v>
      </c>
      <c r="E31" s="29" t="s">
        <v>106</v>
      </c>
      <c r="F31" s="69">
        <v>95</v>
      </c>
      <c r="G31" s="69"/>
      <c r="H31" s="69">
        <f t="shared" si="17"/>
        <v>95</v>
      </c>
      <c r="I31" s="69">
        <v>61.436</v>
      </c>
      <c r="J31" s="34">
        <f>I31/$H31*100</f>
        <v>64.669473684210516</v>
      </c>
      <c r="K31" s="69">
        <v>87.221999999999994</v>
      </c>
      <c r="L31" s="34">
        <f t="shared" si="14"/>
        <v>91.812631578947361</v>
      </c>
      <c r="M31" s="69">
        <v>107.32</v>
      </c>
      <c r="N31" s="34">
        <f t="shared" si="15"/>
        <v>112.96842105263156</v>
      </c>
      <c r="O31" s="69">
        <v>116.087</v>
      </c>
      <c r="P31" s="34">
        <f t="shared" si="16"/>
        <v>122.19684210526316</v>
      </c>
      <c r="Q31" s="238">
        <f t="shared" si="18"/>
        <v>21.087000000000003</v>
      </c>
      <c r="R31" s="112"/>
      <c r="S31" s="69">
        <v>115</v>
      </c>
      <c r="T31" s="34">
        <f t="shared" si="5"/>
        <v>121.05263157894737</v>
      </c>
    </row>
    <row r="32" spans="1:20" x14ac:dyDescent="0.2">
      <c r="A32" s="109"/>
      <c r="B32" s="29">
        <v>1342</v>
      </c>
      <c r="C32" s="109"/>
      <c r="D32" s="29">
        <v>9</v>
      </c>
      <c r="E32" s="29" t="s">
        <v>359</v>
      </c>
      <c r="F32" s="69">
        <v>30</v>
      </c>
      <c r="G32" s="69"/>
      <c r="H32" s="69">
        <f t="shared" si="17"/>
        <v>30</v>
      </c>
      <c r="I32" s="69">
        <v>0</v>
      </c>
      <c r="J32" s="34"/>
      <c r="K32" s="69">
        <v>26.21</v>
      </c>
      <c r="L32" s="34">
        <f t="shared" si="14"/>
        <v>87.366666666666674</v>
      </c>
      <c r="M32" s="69">
        <v>28.94</v>
      </c>
      <c r="N32" s="34">
        <f t="shared" si="15"/>
        <v>96.466666666666669</v>
      </c>
      <c r="O32" s="69">
        <v>29.375</v>
      </c>
      <c r="P32" s="34">
        <f t="shared" si="16"/>
        <v>97.916666666666657</v>
      </c>
      <c r="Q32" s="238">
        <f t="shared" si="18"/>
        <v>-0.625</v>
      </c>
      <c r="R32" s="112"/>
      <c r="S32" s="69">
        <v>30</v>
      </c>
      <c r="T32" s="34">
        <f t="shared" si="5"/>
        <v>100</v>
      </c>
    </row>
    <row r="33" spans="1:20" x14ac:dyDescent="0.2">
      <c r="A33" s="109"/>
      <c r="B33" s="29">
        <v>1343</v>
      </c>
      <c r="C33" s="109"/>
      <c r="D33" s="29">
        <v>30</v>
      </c>
      <c r="E33" s="29" t="s">
        <v>107</v>
      </c>
      <c r="F33" s="69">
        <v>120</v>
      </c>
      <c r="G33" s="69"/>
      <c r="H33" s="69">
        <f t="shared" si="17"/>
        <v>120</v>
      </c>
      <c r="I33" s="69">
        <v>19.338000000000001</v>
      </c>
      <c r="J33" s="34">
        <f>I33/$H33*100</f>
        <v>16.115000000000002</v>
      </c>
      <c r="K33" s="69">
        <v>40.51</v>
      </c>
      <c r="L33" s="34">
        <f>K33/$H33*100</f>
        <v>33.758333333333326</v>
      </c>
      <c r="M33" s="69">
        <v>67.66</v>
      </c>
      <c r="N33" s="34">
        <f>M33/$H33*100</f>
        <v>56.383333333333333</v>
      </c>
      <c r="O33" s="69">
        <v>75.608999999999995</v>
      </c>
      <c r="P33" s="34">
        <f t="shared" si="16"/>
        <v>63.007499999999993</v>
      </c>
      <c r="Q33" s="238">
        <f t="shared" si="18"/>
        <v>-44.391000000000005</v>
      </c>
      <c r="R33" s="112" t="s">
        <v>468</v>
      </c>
      <c r="S33" s="69">
        <v>90</v>
      </c>
      <c r="T33" s="34">
        <f t="shared" si="5"/>
        <v>75</v>
      </c>
    </row>
    <row r="34" spans="1:20" ht="13.5" customHeight="1" x14ac:dyDescent="0.2">
      <c r="A34" s="109"/>
      <c r="B34" s="29">
        <v>1349</v>
      </c>
      <c r="C34" s="109"/>
      <c r="D34" s="29">
        <v>28.29</v>
      </c>
      <c r="E34" s="29" t="s">
        <v>308</v>
      </c>
      <c r="F34" s="69">
        <v>15</v>
      </c>
      <c r="G34" s="69"/>
      <c r="H34" s="69">
        <f t="shared" si="17"/>
        <v>15</v>
      </c>
      <c r="I34" s="69">
        <v>2.52</v>
      </c>
      <c r="J34" s="34">
        <f>I34/$H34*100</f>
        <v>16.8</v>
      </c>
      <c r="K34" s="69">
        <f>9.665+0.045</f>
        <v>9.7099999999999991</v>
      </c>
      <c r="L34" s="34">
        <f t="shared" si="14"/>
        <v>64.733333333333334</v>
      </c>
      <c r="M34" s="69">
        <f>12.905+0.045</f>
        <v>12.95</v>
      </c>
      <c r="N34" s="34">
        <f t="shared" si="15"/>
        <v>86.333333333333329</v>
      </c>
      <c r="O34" s="69">
        <f>12.665+0.045</f>
        <v>12.709999999999999</v>
      </c>
      <c r="P34" s="34">
        <f t="shared" si="16"/>
        <v>84.73333333333332</v>
      </c>
      <c r="Q34" s="238">
        <f t="shared" si="18"/>
        <v>-2.2900000000000009</v>
      </c>
      <c r="R34" s="112"/>
      <c r="S34" s="69">
        <v>0</v>
      </c>
      <c r="T34" s="34">
        <f t="shared" si="5"/>
        <v>0</v>
      </c>
    </row>
    <row r="35" spans="1:20" x14ac:dyDescent="0.2">
      <c r="A35" s="96" t="s">
        <v>32</v>
      </c>
      <c r="B35" s="32"/>
      <c r="C35" s="96"/>
      <c r="D35" s="32"/>
      <c r="E35" s="32"/>
      <c r="F35" s="70">
        <f>SUM(F36)</f>
        <v>4100</v>
      </c>
      <c r="G35" s="70">
        <f>SUM(G36)</f>
        <v>0</v>
      </c>
      <c r="H35" s="70">
        <f>SUM(H36:H36)</f>
        <v>4100</v>
      </c>
      <c r="I35" s="70">
        <f>SUM(I36)</f>
        <v>33.69867</v>
      </c>
      <c r="J35" s="195">
        <f t="shared" si="11"/>
        <v>0.82191878048780487</v>
      </c>
      <c r="K35" s="70">
        <f>SUM(K36)</f>
        <v>2821.7960200000002</v>
      </c>
      <c r="L35" s="195">
        <f t="shared" si="14"/>
        <v>68.824293170731707</v>
      </c>
      <c r="M35" s="70">
        <f>SUM(M36)</f>
        <v>2964.3321799999999</v>
      </c>
      <c r="N35" s="195">
        <f t="shared" si="15"/>
        <v>72.300784878048773</v>
      </c>
      <c r="O35" s="70">
        <f>SUM(O36)</f>
        <v>4241.7784199999996</v>
      </c>
      <c r="P35" s="195">
        <f t="shared" si="16"/>
        <v>103.45801024390242</v>
      </c>
      <c r="Q35" s="314">
        <f>SUM(Q36:Q36)</f>
        <v>141.77841999999964</v>
      </c>
      <c r="R35" s="220"/>
      <c r="S35" s="70">
        <f>SUM(S36)</f>
        <v>4300</v>
      </c>
      <c r="T35" s="195">
        <f t="shared" si="5"/>
        <v>104.8780487804878</v>
      </c>
    </row>
    <row r="36" spans="1:20" ht="13.5" thickBot="1" x14ac:dyDescent="0.25">
      <c r="A36" s="109"/>
      <c r="B36" s="29">
        <v>1511</v>
      </c>
      <c r="C36" s="109" t="s">
        <v>33</v>
      </c>
      <c r="D36" s="109"/>
      <c r="E36" s="29" t="s">
        <v>171</v>
      </c>
      <c r="F36" s="69">
        <v>4100</v>
      </c>
      <c r="G36" s="69"/>
      <c r="H36" s="69">
        <f>SUM(F36:G36)</f>
        <v>4100</v>
      </c>
      <c r="I36" s="69">
        <v>33.69867</v>
      </c>
      <c r="J36" s="34">
        <f t="shared" si="11"/>
        <v>0.82191878048780487</v>
      </c>
      <c r="K36" s="69">
        <v>2821.7960200000002</v>
      </c>
      <c r="L36" s="34">
        <f t="shared" si="14"/>
        <v>68.824293170731707</v>
      </c>
      <c r="M36" s="69">
        <v>2964.3321799999999</v>
      </c>
      <c r="N36" s="34">
        <f t="shared" si="15"/>
        <v>72.300784878048773</v>
      </c>
      <c r="O36" s="69">
        <v>4241.7784199999996</v>
      </c>
      <c r="P36" s="34">
        <f t="shared" si="16"/>
        <v>103.45801024390242</v>
      </c>
      <c r="Q36" s="238">
        <f>O36-H36</f>
        <v>141.77841999999964</v>
      </c>
      <c r="R36" s="112"/>
      <c r="S36" s="69">
        <v>4300</v>
      </c>
      <c r="T36" s="34">
        <f t="shared" si="5"/>
        <v>104.8780487804878</v>
      </c>
    </row>
    <row r="37" spans="1:20" ht="18" customHeight="1" thickBot="1" x14ac:dyDescent="0.3">
      <c r="A37" s="115" t="s">
        <v>34</v>
      </c>
      <c r="B37" s="116"/>
      <c r="C37" s="115"/>
      <c r="D37" s="116"/>
      <c r="E37" s="115"/>
      <c r="F37" s="71">
        <f>SUM(F5+F14+F26+F29+F35)</f>
        <v>102820</v>
      </c>
      <c r="G37" s="71">
        <f>SUM(G5+G14+G26+G29+G35)</f>
        <v>-20380</v>
      </c>
      <c r="H37" s="71">
        <f>SUM(H5+H14+H26+H29+H35)</f>
        <v>82440</v>
      </c>
      <c r="I37" s="71">
        <f>SUM(I5+I14+I26+I29+I35)</f>
        <v>30147.996449999999</v>
      </c>
      <c r="J37" s="36">
        <f>I37/$H37*100</f>
        <v>36.569622088791846</v>
      </c>
      <c r="K37" s="71">
        <f>SUM(K5+K14+K26+K29+K35)</f>
        <v>48621.8874</v>
      </c>
      <c r="L37" s="36">
        <f>K37/$H37*100</f>
        <v>58.978514556040764</v>
      </c>
      <c r="M37" s="71">
        <f>SUM(M5+M14+M26+M29+M35)</f>
        <v>72552.121960000004</v>
      </c>
      <c r="N37" s="36">
        <f t="shared" si="15"/>
        <v>88.00597035419699</v>
      </c>
      <c r="O37" s="71">
        <f>SUM(O5+O14+O26+O29+O35)</f>
        <v>97605.747689999989</v>
      </c>
      <c r="P37" s="71">
        <f>SUM(P5+P14+P26+P29+P35)</f>
        <v>553.89588702583421</v>
      </c>
      <c r="Q37" s="318">
        <f>SUM(Q5+Q14+Q26+Q29+Q35)</f>
        <v>15165.74769</v>
      </c>
      <c r="R37" s="71"/>
      <c r="S37" s="71">
        <f>SUM(S5+S14+S26+S29+S35)</f>
        <v>87644</v>
      </c>
      <c r="T37" s="476">
        <f>S37/$F37</f>
        <v>0.85240225637035594</v>
      </c>
    </row>
    <row r="38" spans="1:20" x14ac:dyDescent="0.2">
      <c r="A38" s="110"/>
      <c r="B38" s="77"/>
      <c r="C38" s="110"/>
      <c r="D38" s="77"/>
      <c r="E38" s="110" t="s">
        <v>35</v>
      </c>
      <c r="F38" s="76"/>
      <c r="G38" s="76"/>
      <c r="H38" s="76"/>
      <c r="I38" s="76"/>
      <c r="J38" s="37"/>
      <c r="K38" s="76"/>
      <c r="L38" s="37"/>
      <c r="M38" s="76"/>
      <c r="N38" s="37"/>
      <c r="O38" s="76"/>
      <c r="P38" s="37"/>
      <c r="Q38" s="319"/>
      <c r="R38" s="221"/>
      <c r="S38" s="76"/>
      <c r="T38" s="37"/>
    </row>
    <row r="39" spans="1:20" x14ac:dyDescent="0.2">
      <c r="A39" s="96" t="s">
        <v>36</v>
      </c>
      <c r="B39" s="32"/>
      <c r="C39" s="96"/>
      <c r="D39" s="32"/>
      <c r="E39" s="32"/>
      <c r="F39" s="70"/>
      <c r="G39" s="70"/>
      <c r="H39" s="70"/>
      <c r="I39" s="70"/>
      <c r="J39" s="34"/>
      <c r="K39" s="70"/>
      <c r="L39" s="34"/>
      <c r="M39" s="70"/>
      <c r="N39" s="34"/>
      <c r="O39" s="70"/>
      <c r="P39" s="34"/>
      <c r="Q39" s="320"/>
      <c r="R39" s="220"/>
      <c r="S39" s="70"/>
      <c r="T39" s="34"/>
    </row>
    <row r="40" spans="1:20" x14ac:dyDescent="0.2">
      <c r="A40" s="109"/>
      <c r="B40" s="32"/>
      <c r="C40" s="109"/>
      <c r="D40" s="32"/>
      <c r="E40" s="32" t="s">
        <v>147</v>
      </c>
      <c r="F40" s="70">
        <f>SUM(F41:F60)</f>
        <v>9065</v>
      </c>
      <c r="G40" s="70">
        <f>SUM(G41:G60)</f>
        <v>389.75</v>
      </c>
      <c r="H40" s="70">
        <f>SUM(H41:H60)</f>
        <v>9454.75</v>
      </c>
      <c r="I40" s="70">
        <f>SUM(I41:I60)</f>
        <v>1439.2373299999999</v>
      </c>
      <c r="J40" s="195">
        <f t="shared" ref="J40:J75" si="19">I40/$H40*100</f>
        <v>15.222373198656758</v>
      </c>
      <c r="K40" s="70">
        <f>SUM(K41:K60)</f>
        <v>3354.0665799999997</v>
      </c>
      <c r="L40" s="195">
        <f t="shared" ref="L40:L59" si="20">K40/$H40*100</f>
        <v>35.474936724926621</v>
      </c>
      <c r="M40" s="70">
        <f>SUM(M41:M60)</f>
        <v>7833.1756500000001</v>
      </c>
      <c r="N40" s="195">
        <f t="shared" ref="N40:N59" si="21">M40/$H40*100</f>
        <v>82.849103889579311</v>
      </c>
      <c r="O40" s="70">
        <f>SUM(O41:O60)</f>
        <v>9556.5564599999998</v>
      </c>
      <c r="P40" s="195">
        <f t="shared" ref="P40:P59" si="22">O40/$H40*100</f>
        <v>101.07677580052355</v>
      </c>
      <c r="Q40" s="314">
        <f>SUM(Q41:Q60)</f>
        <v>101.80646000000013</v>
      </c>
      <c r="R40" s="112"/>
      <c r="S40" s="70">
        <f>SUM(S41:S60)</f>
        <v>10899</v>
      </c>
      <c r="T40" s="195">
        <f t="shared" si="5"/>
        <v>120.23166023166023</v>
      </c>
    </row>
    <row r="41" spans="1:20" x14ac:dyDescent="0.2">
      <c r="A41" s="109"/>
      <c r="B41" s="29">
        <v>2111</v>
      </c>
      <c r="C41" s="109">
        <v>1031</v>
      </c>
      <c r="D41" s="29">
        <v>201</v>
      </c>
      <c r="E41" s="29" t="s">
        <v>94</v>
      </c>
      <c r="F41" s="69">
        <f>200+52</f>
        <v>252</v>
      </c>
      <c r="G41" s="457">
        <v>150</v>
      </c>
      <c r="H41" s="69">
        <f t="shared" ref="H41:H60" si="23">SUM(F41:G41)</f>
        <v>402</v>
      </c>
      <c r="I41" s="69">
        <v>4</v>
      </c>
      <c r="J41" s="34">
        <f t="shared" si="19"/>
        <v>0.99502487562189057</v>
      </c>
      <c r="K41" s="69">
        <v>152.6163</v>
      </c>
      <c r="L41" s="34">
        <f t="shared" si="20"/>
        <v>37.964253731343284</v>
      </c>
      <c r="M41" s="69">
        <v>384.91401999999999</v>
      </c>
      <c r="N41" s="34">
        <f t="shared" si="21"/>
        <v>95.749756218905475</v>
      </c>
      <c r="O41" s="69">
        <v>473.92061999999999</v>
      </c>
      <c r="P41" s="34">
        <f t="shared" si="22"/>
        <v>117.8907014925373</v>
      </c>
      <c r="Q41" s="238">
        <f t="shared" ref="Q41:Q60" si="24">O41-H41</f>
        <v>71.920619999999985</v>
      </c>
      <c r="R41" s="112"/>
      <c r="S41" s="69">
        <v>252</v>
      </c>
      <c r="T41" s="34">
        <f t="shared" si="5"/>
        <v>100</v>
      </c>
    </row>
    <row r="42" spans="1:20" x14ac:dyDescent="0.2">
      <c r="A42" s="109"/>
      <c r="B42" s="29">
        <v>2111</v>
      </c>
      <c r="C42" s="109">
        <v>2219</v>
      </c>
      <c r="D42" s="29">
        <v>43</v>
      </c>
      <c r="E42" s="29" t="s">
        <v>169</v>
      </c>
      <c r="F42" s="69">
        <v>1070</v>
      </c>
      <c r="G42" s="457">
        <v>-240</v>
      </c>
      <c r="H42" s="69">
        <f t="shared" si="23"/>
        <v>830</v>
      </c>
      <c r="I42" s="69">
        <v>265.58199999999999</v>
      </c>
      <c r="J42" s="34">
        <f t="shared" si="19"/>
        <v>31.997831325301203</v>
      </c>
      <c r="K42" s="69">
        <v>415.12099999999998</v>
      </c>
      <c r="L42" s="34">
        <f t="shared" si="20"/>
        <v>50.014578313253011</v>
      </c>
      <c r="M42" s="69">
        <v>703.73500000000001</v>
      </c>
      <c r="N42" s="34">
        <f t="shared" si="21"/>
        <v>84.787349397590361</v>
      </c>
      <c r="O42" s="69">
        <v>865.14599999999996</v>
      </c>
      <c r="P42" s="34">
        <f t="shared" si="22"/>
        <v>104.2344578313253</v>
      </c>
      <c r="Q42" s="238">
        <f t="shared" si="24"/>
        <v>35.145999999999958</v>
      </c>
      <c r="R42" s="112"/>
      <c r="S42" s="69">
        <v>1000</v>
      </c>
      <c r="T42" s="34">
        <f t="shared" si="5"/>
        <v>93.45794392523365</v>
      </c>
    </row>
    <row r="43" spans="1:20" x14ac:dyDescent="0.2">
      <c r="A43" s="109"/>
      <c r="B43" s="29">
        <v>2111</v>
      </c>
      <c r="C43" s="109">
        <v>3113</v>
      </c>
      <c r="D43" s="29">
        <v>302</v>
      </c>
      <c r="E43" s="29" t="s">
        <v>316</v>
      </c>
      <c r="F43" s="69">
        <v>260</v>
      </c>
      <c r="G43" s="69"/>
      <c r="H43" s="69">
        <f t="shared" si="23"/>
        <v>260</v>
      </c>
      <c r="I43" s="69">
        <v>68.223249999999993</v>
      </c>
      <c r="J43" s="34">
        <f t="shared" si="19"/>
        <v>26.239711538461535</v>
      </c>
      <c r="K43" s="69">
        <v>136.44649999999999</v>
      </c>
      <c r="L43" s="34">
        <f t="shared" si="20"/>
        <v>52.479423076923069</v>
      </c>
      <c r="M43" s="69">
        <v>204.66974999999999</v>
      </c>
      <c r="N43" s="34">
        <f t="shared" si="21"/>
        <v>78.719134615384618</v>
      </c>
      <c r="O43" s="69">
        <v>272.89299999999997</v>
      </c>
      <c r="P43" s="34">
        <f t="shared" si="22"/>
        <v>104.95884615384614</v>
      </c>
      <c r="Q43" s="238">
        <f t="shared" si="24"/>
        <v>12.892999999999972</v>
      </c>
      <c r="R43" s="112"/>
      <c r="S43" s="69">
        <v>272</v>
      </c>
      <c r="T43" s="34">
        <f t="shared" si="5"/>
        <v>104.61538461538463</v>
      </c>
    </row>
    <row r="44" spans="1:20" s="449" customFormat="1" x14ac:dyDescent="0.2">
      <c r="A44" s="109"/>
      <c r="B44" s="29">
        <v>2111</v>
      </c>
      <c r="C44" s="109">
        <v>3141</v>
      </c>
      <c r="D44" s="29">
        <v>309</v>
      </c>
      <c r="E44" s="29" t="s">
        <v>443</v>
      </c>
      <c r="F44" s="69"/>
      <c r="G44" s="69"/>
      <c r="H44" s="69"/>
      <c r="I44" s="69"/>
      <c r="J44" s="34"/>
      <c r="K44" s="69"/>
      <c r="L44" s="34"/>
      <c r="M44" s="69"/>
      <c r="N44" s="34"/>
      <c r="O44" s="69"/>
      <c r="P44" s="34"/>
      <c r="Q44" s="238">
        <f t="shared" si="24"/>
        <v>0</v>
      </c>
      <c r="R44" s="112"/>
      <c r="S44" s="69">
        <v>1160</v>
      </c>
      <c r="T44" s="34"/>
    </row>
    <row r="45" spans="1:20" x14ac:dyDescent="0.2">
      <c r="A45" s="109"/>
      <c r="B45" s="29">
        <v>2111</v>
      </c>
      <c r="C45" s="109">
        <v>3613</v>
      </c>
      <c r="D45" s="29">
        <v>316</v>
      </c>
      <c r="E45" s="29" t="s">
        <v>318</v>
      </c>
      <c r="F45" s="69">
        <v>150</v>
      </c>
      <c r="G45" s="69"/>
      <c r="H45" s="69">
        <f t="shared" si="23"/>
        <v>150</v>
      </c>
      <c r="I45" s="69">
        <v>26.821000000000002</v>
      </c>
      <c r="J45" s="34">
        <f t="shared" si="19"/>
        <v>17.880666666666666</v>
      </c>
      <c r="K45" s="69">
        <v>56.738999999999997</v>
      </c>
      <c r="L45" s="34">
        <f t="shared" si="20"/>
        <v>37.826000000000001</v>
      </c>
      <c r="M45" s="69">
        <v>82.304000000000002</v>
      </c>
      <c r="N45" s="34">
        <f t="shared" si="21"/>
        <v>54.869333333333337</v>
      </c>
      <c r="O45" s="69">
        <v>109.49120000000001</v>
      </c>
      <c r="P45" s="34">
        <f t="shared" si="22"/>
        <v>72.994133333333338</v>
      </c>
      <c r="Q45" s="238">
        <f t="shared" si="24"/>
        <v>-40.508799999999994</v>
      </c>
      <c r="R45" s="112"/>
      <c r="S45" s="69">
        <v>125</v>
      </c>
      <c r="T45" s="34">
        <f t="shared" si="5"/>
        <v>83.333333333333343</v>
      </c>
    </row>
    <row r="46" spans="1:20" x14ac:dyDescent="0.2">
      <c r="A46" s="109"/>
      <c r="B46" s="29">
        <v>2111</v>
      </c>
      <c r="C46" s="109">
        <v>3412</v>
      </c>
      <c r="D46" s="29">
        <v>216</v>
      </c>
      <c r="E46" s="29" t="s">
        <v>334</v>
      </c>
      <c r="F46" s="69">
        <v>115</v>
      </c>
      <c r="G46" s="69"/>
      <c r="H46" s="69">
        <f t="shared" si="23"/>
        <v>115</v>
      </c>
      <c r="I46" s="69">
        <v>30.245799999999999</v>
      </c>
      <c r="J46" s="34">
        <f t="shared" si="19"/>
        <v>26.300695652173911</v>
      </c>
      <c r="K46" s="69">
        <v>70.145799999999994</v>
      </c>
      <c r="L46" s="34">
        <f t="shared" si="20"/>
        <v>60.996347826086946</v>
      </c>
      <c r="M46" s="69">
        <v>98.0458</v>
      </c>
      <c r="N46" s="34">
        <f t="shared" si="21"/>
        <v>85.257217391304351</v>
      </c>
      <c r="O46" s="69">
        <v>125.94580000000001</v>
      </c>
      <c r="P46" s="34">
        <f t="shared" si="22"/>
        <v>109.51808695652174</v>
      </c>
      <c r="Q46" s="238">
        <f t="shared" si="24"/>
        <v>10.945800000000006</v>
      </c>
      <c r="R46" s="112"/>
      <c r="S46" s="69">
        <f>115+5</f>
        <v>120</v>
      </c>
      <c r="T46" s="34">
        <f t="shared" si="5"/>
        <v>104.34782608695652</v>
      </c>
    </row>
    <row r="47" spans="1:20" x14ac:dyDescent="0.2">
      <c r="A47" s="109"/>
      <c r="B47" s="29">
        <v>2111</v>
      </c>
      <c r="C47" s="109">
        <v>3314</v>
      </c>
      <c r="D47" s="29">
        <v>504</v>
      </c>
      <c r="E47" s="29" t="s">
        <v>168</v>
      </c>
      <c r="F47" s="69">
        <v>98</v>
      </c>
      <c r="G47" s="69"/>
      <c r="H47" s="69">
        <f t="shared" si="23"/>
        <v>98</v>
      </c>
      <c r="I47" s="69">
        <v>60.64</v>
      </c>
      <c r="J47" s="34">
        <f t="shared" si="19"/>
        <v>61.877551020408163</v>
      </c>
      <c r="K47" s="69">
        <v>68.319999999999993</v>
      </c>
      <c r="L47" s="34">
        <f t="shared" si="20"/>
        <v>69.714285714285708</v>
      </c>
      <c r="M47" s="69">
        <v>77.346999999999994</v>
      </c>
      <c r="N47" s="34">
        <f t="shared" si="21"/>
        <v>78.925510204081633</v>
      </c>
      <c r="O47" s="69">
        <v>83.605000000000004</v>
      </c>
      <c r="P47" s="34">
        <f t="shared" si="22"/>
        <v>85.311224489795919</v>
      </c>
      <c r="Q47" s="238">
        <f t="shared" si="24"/>
        <v>-14.394999999999996</v>
      </c>
      <c r="R47" s="112"/>
      <c r="S47" s="69">
        <v>100</v>
      </c>
      <c r="T47" s="34">
        <f t="shared" si="5"/>
        <v>102.04081632653062</v>
      </c>
    </row>
    <row r="48" spans="1:20" x14ac:dyDescent="0.2">
      <c r="A48" s="109"/>
      <c r="B48" s="29">
        <v>2111</v>
      </c>
      <c r="C48" s="356" t="s">
        <v>277</v>
      </c>
      <c r="D48" s="29">
        <v>41</v>
      </c>
      <c r="E48" s="29" t="s">
        <v>40</v>
      </c>
      <c r="F48" s="69">
        <v>80</v>
      </c>
      <c r="G48" s="69"/>
      <c r="H48" s="69">
        <f t="shared" si="23"/>
        <v>80</v>
      </c>
      <c r="I48" s="69">
        <v>18.285</v>
      </c>
      <c r="J48" s="34">
        <f t="shared" si="19"/>
        <v>22.856249999999999</v>
      </c>
      <c r="K48" s="69">
        <v>29.31</v>
      </c>
      <c r="L48" s="34">
        <f t="shared" si="20"/>
        <v>36.637500000000003</v>
      </c>
      <c r="M48" s="69">
        <v>38.880000000000003</v>
      </c>
      <c r="N48" s="34">
        <f t="shared" si="21"/>
        <v>48.6</v>
      </c>
      <c r="O48" s="69">
        <v>58.844999999999999</v>
      </c>
      <c r="P48" s="34">
        <f t="shared" si="22"/>
        <v>73.556250000000006</v>
      </c>
      <c r="Q48" s="238">
        <f t="shared" si="24"/>
        <v>-21.155000000000001</v>
      </c>
      <c r="R48" s="112"/>
      <c r="S48" s="69">
        <v>70</v>
      </c>
      <c r="T48" s="34">
        <f t="shared" si="5"/>
        <v>87.5</v>
      </c>
    </row>
    <row r="49" spans="1:21" x14ac:dyDescent="0.2">
      <c r="A49" s="109"/>
      <c r="B49" s="29">
        <v>2111</v>
      </c>
      <c r="C49" s="109">
        <v>3349</v>
      </c>
      <c r="D49" s="29">
        <v>42</v>
      </c>
      <c r="E49" s="29" t="s">
        <v>37</v>
      </c>
      <c r="F49" s="69">
        <v>100</v>
      </c>
      <c r="G49" s="69"/>
      <c r="H49" s="69">
        <f t="shared" si="23"/>
        <v>100</v>
      </c>
      <c r="I49" s="69">
        <v>32.481000000000002</v>
      </c>
      <c r="J49" s="34">
        <f t="shared" si="19"/>
        <v>32.481000000000002</v>
      </c>
      <c r="K49" s="69">
        <v>55.253</v>
      </c>
      <c r="L49" s="34">
        <f t="shared" si="20"/>
        <v>55.253</v>
      </c>
      <c r="M49" s="69">
        <v>76.132000000000005</v>
      </c>
      <c r="N49" s="34">
        <f t="shared" si="21"/>
        <v>76.132000000000005</v>
      </c>
      <c r="O49" s="69">
        <v>101.617</v>
      </c>
      <c r="P49" s="34">
        <f t="shared" si="22"/>
        <v>101.617</v>
      </c>
      <c r="Q49" s="238">
        <f t="shared" si="24"/>
        <v>1.6170000000000044</v>
      </c>
      <c r="R49" s="112"/>
      <c r="S49" s="69">
        <v>100</v>
      </c>
      <c r="T49" s="34">
        <f t="shared" si="5"/>
        <v>100</v>
      </c>
    </row>
    <row r="50" spans="1:21" x14ac:dyDescent="0.2">
      <c r="A50" s="109"/>
      <c r="B50" s="29">
        <v>2111</v>
      </c>
      <c r="C50" s="109">
        <v>3612</v>
      </c>
      <c r="D50" s="29" t="s">
        <v>292</v>
      </c>
      <c r="E50" s="29" t="s">
        <v>172</v>
      </c>
      <c r="F50" s="69">
        <v>1980</v>
      </c>
      <c r="G50" s="69"/>
      <c r="H50" s="69">
        <f t="shared" si="23"/>
        <v>1980</v>
      </c>
      <c r="I50" s="69">
        <f>107.15738-2.568+80.328</f>
        <v>184.91738000000001</v>
      </c>
      <c r="J50" s="34">
        <f t="shared" si="19"/>
        <v>9.3392616161616164</v>
      </c>
      <c r="K50" s="69">
        <f>460.49838+3.663+350.109</f>
        <v>814.27037999999993</v>
      </c>
      <c r="L50" s="34">
        <f t="shared" si="20"/>
        <v>41.124766666666659</v>
      </c>
      <c r="M50" s="69">
        <f>827.43538-5.1+585.337</f>
        <v>1407.67238</v>
      </c>
      <c r="N50" s="34">
        <f t="shared" si="21"/>
        <v>71.094564646464647</v>
      </c>
      <c r="O50" s="69">
        <f>1019.01838+3.767+761.641</f>
        <v>1784.4263799999999</v>
      </c>
      <c r="P50" s="34">
        <f t="shared" si="22"/>
        <v>90.122544444444443</v>
      </c>
      <c r="Q50" s="238">
        <f t="shared" si="24"/>
        <v>-195.57362000000012</v>
      </c>
      <c r="R50" s="126"/>
      <c r="S50" s="69">
        <v>1960</v>
      </c>
      <c r="T50" s="34">
        <f t="shared" si="5"/>
        <v>98.98989898989899</v>
      </c>
    </row>
    <row r="51" spans="1:21" x14ac:dyDescent="0.2">
      <c r="A51" s="109"/>
      <c r="B51" s="29">
        <v>2111</v>
      </c>
      <c r="C51" s="109">
        <v>3613</v>
      </c>
      <c r="D51" s="29">
        <v>703</v>
      </c>
      <c r="E51" s="29" t="s">
        <v>173</v>
      </c>
      <c r="F51" s="69">
        <v>300</v>
      </c>
      <c r="G51" s="69"/>
      <c r="H51" s="69">
        <f t="shared" si="23"/>
        <v>300</v>
      </c>
      <c r="I51" s="69">
        <v>70.290000000000006</v>
      </c>
      <c r="J51" s="34">
        <f t="shared" si="19"/>
        <v>23.43</v>
      </c>
      <c r="K51" s="69">
        <v>185.405</v>
      </c>
      <c r="L51" s="34">
        <f t="shared" si="20"/>
        <v>61.801666666666662</v>
      </c>
      <c r="M51" s="69">
        <v>281.02499999999998</v>
      </c>
      <c r="N51" s="34">
        <f t="shared" si="21"/>
        <v>93.674999999999997</v>
      </c>
      <c r="O51" s="69">
        <v>382.89100000000002</v>
      </c>
      <c r="P51" s="34">
        <f t="shared" si="22"/>
        <v>127.63033333333334</v>
      </c>
      <c r="Q51" s="238">
        <f t="shared" si="24"/>
        <v>82.89100000000002</v>
      </c>
      <c r="R51" s="222"/>
      <c r="S51" s="69">
        <v>300</v>
      </c>
      <c r="T51" s="34">
        <f t="shared" si="5"/>
        <v>100</v>
      </c>
    </row>
    <row r="52" spans="1:21" x14ac:dyDescent="0.2">
      <c r="A52" s="109"/>
      <c r="B52" s="29">
        <v>2111</v>
      </c>
      <c r="C52" s="109">
        <v>3632</v>
      </c>
      <c r="D52" s="29">
        <v>238</v>
      </c>
      <c r="E52" s="29" t="s">
        <v>38</v>
      </c>
      <c r="F52" s="69">
        <v>190</v>
      </c>
      <c r="G52" s="69"/>
      <c r="H52" s="69">
        <f t="shared" si="23"/>
        <v>190</v>
      </c>
      <c r="I52" s="69"/>
      <c r="J52" s="34">
        <f t="shared" si="19"/>
        <v>0</v>
      </c>
      <c r="K52" s="69">
        <v>22.8</v>
      </c>
      <c r="L52" s="34">
        <f t="shared" si="20"/>
        <v>12.000000000000002</v>
      </c>
      <c r="M52" s="69">
        <v>60</v>
      </c>
      <c r="N52" s="34">
        <f t="shared" si="21"/>
        <v>31.578947368421051</v>
      </c>
      <c r="O52" s="69">
        <v>151.18700000000001</v>
      </c>
      <c r="P52" s="34">
        <f t="shared" si="22"/>
        <v>79.572105263157894</v>
      </c>
      <c r="Q52" s="238">
        <f t="shared" si="24"/>
        <v>-38.812999999999988</v>
      </c>
      <c r="R52" s="112"/>
      <c r="S52" s="69">
        <v>390</v>
      </c>
      <c r="T52" s="34">
        <f t="shared" si="5"/>
        <v>205.26315789473685</v>
      </c>
    </row>
    <row r="53" spans="1:21" x14ac:dyDescent="0.2">
      <c r="A53" s="109"/>
      <c r="B53" s="29">
        <v>2111</v>
      </c>
      <c r="C53" s="109">
        <v>3639</v>
      </c>
      <c r="D53" s="29">
        <v>21.318999999999999</v>
      </c>
      <c r="E53" s="29" t="s">
        <v>257</v>
      </c>
      <c r="F53" s="69">
        <f>36+91</f>
        <v>127</v>
      </c>
      <c r="G53" s="69"/>
      <c r="H53" s="69">
        <f t="shared" si="23"/>
        <v>127</v>
      </c>
      <c r="I53" s="69">
        <f>30.48</f>
        <v>30.48</v>
      </c>
      <c r="J53" s="34">
        <f t="shared" si="19"/>
        <v>24</v>
      </c>
      <c r="K53" s="69">
        <f>81.812</f>
        <v>81.811999999999998</v>
      </c>
      <c r="L53" s="34">
        <f t="shared" si="20"/>
        <v>64.418897637795268</v>
      </c>
      <c r="M53" s="69">
        <f>96.939</f>
        <v>96.938999999999993</v>
      </c>
      <c r="N53" s="34">
        <f t="shared" si="21"/>
        <v>76.329921259842521</v>
      </c>
      <c r="O53" s="69">
        <f>101.916+11.99496</f>
        <v>113.91096</v>
      </c>
      <c r="P53" s="34">
        <f t="shared" si="22"/>
        <v>89.69366929133858</v>
      </c>
      <c r="Q53" s="238">
        <f t="shared" si="24"/>
        <v>-13.089039999999997</v>
      </c>
      <c r="R53" s="112"/>
      <c r="S53" s="69">
        <f>36+91</f>
        <v>127</v>
      </c>
      <c r="T53" s="34">
        <f t="shared" si="5"/>
        <v>100</v>
      </c>
    </row>
    <row r="54" spans="1:21" x14ac:dyDescent="0.2">
      <c r="A54" s="109"/>
      <c r="B54" s="29">
        <v>2111.2323999999999</v>
      </c>
      <c r="C54" s="109">
        <v>3639</v>
      </c>
      <c r="D54" s="29">
        <v>239.22300000000001</v>
      </c>
      <c r="E54" s="29" t="s">
        <v>439</v>
      </c>
      <c r="F54" s="69">
        <v>6</v>
      </c>
      <c r="G54" s="69"/>
      <c r="H54" s="69">
        <f t="shared" si="23"/>
        <v>6</v>
      </c>
      <c r="I54" s="69"/>
      <c r="J54" s="34">
        <f t="shared" si="19"/>
        <v>0</v>
      </c>
      <c r="K54" s="69"/>
      <c r="L54" s="34">
        <f t="shared" si="20"/>
        <v>0</v>
      </c>
      <c r="M54" s="69">
        <v>15</v>
      </c>
      <c r="N54" s="34">
        <f t="shared" si="21"/>
        <v>250</v>
      </c>
      <c r="O54" s="69">
        <v>20</v>
      </c>
      <c r="P54" s="34">
        <f t="shared" si="22"/>
        <v>333.33333333333337</v>
      </c>
      <c r="Q54" s="238">
        <f t="shared" si="24"/>
        <v>14</v>
      </c>
      <c r="R54" s="112"/>
      <c r="S54" s="69">
        <v>10</v>
      </c>
      <c r="T54" s="34">
        <f t="shared" si="5"/>
        <v>166.66666666666669</v>
      </c>
    </row>
    <row r="55" spans="1:21" x14ac:dyDescent="0.2">
      <c r="A55" s="109"/>
      <c r="B55" s="29">
        <v>2111</v>
      </c>
      <c r="C55" s="109">
        <v>3639</v>
      </c>
      <c r="D55" s="29">
        <v>243</v>
      </c>
      <c r="E55" s="29" t="s">
        <v>92</v>
      </c>
      <c r="F55" s="69">
        <v>45</v>
      </c>
      <c r="G55" s="459">
        <v>-20.25</v>
      </c>
      <c r="H55" s="69">
        <f t="shared" si="23"/>
        <v>24.75</v>
      </c>
      <c r="I55" s="69">
        <v>6.7</v>
      </c>
      <c r="J55" s="34">
        <f t="shared" si="19"/>
        <v>27.070707070707073</v>
      </c>
      <c r="K55" s="69">
        <v>10.234999999999999</v>
      </c>
      <c r="L55" s="34">
        <f t="shared" si="20"/>
        <v>41.353535353535356</v>
      </c>
      <c r="M55" s="69">
        <v>24.184999999999999</v>
      </c>
      <c r="N55" s="34">
        <f t="shared" si="21"/>
        <v>97.717171717171709</v>
      </c>
      <c r="O55" s="69">
        <v>30.78</v>
      </c>
      <c r="P55" s="34">
        <f t="shared" si="22"/>
        <v>124.36363636363636</v>
      </c>
      <c r="Q55" s="238">
        <f t="shared" si="24"/>
        <v>6.0300000000000011</v>
      </c>
      <c r="R55" s="112"/>
      <c r="S55" s="69">
        <v>30</v>
      </c>
      <c r="T55" s="34">
        <f t="shared" si="5"/>
        <v>66.666666666666657</v>
      </c>
    </row>
    <row r="56" spans="1:21" x14ac:dyDescent="0.2">
      <c r="A56" s="109"/>
      <c r="B56" s="29">
        <v>2111</v>
      </c>
      <c r="C56" s="109">
        <v>4351</v>
      </c>
      <c r="D56" s="29">
        <v>227</v>
      </c>
      <c r="E56" s="29" t="s">
        <v>145</v>
      </c>
      <c r="F56" s="69">
        <f>100+800+10+175</f>
        <v>1085</v>
      </c>
      <c r="G56" s="457"/>
      <c r="H56" s="69">
        <f t="shared" si="23"/>
        <v>1085</v>
      </c>
      <c r="I56" s="69">
        <f>184.588+25</f>
        <v>209.58799999999999</v>
      </c>
      <c r="J56" s="34">
        <f t="shared" si="19"/>
        <v>19.316866359447005</v>
      </c>
      <c r="K56" s="69">
        <f>393.715+50</f>
        <v>443.71499999999997</v>
      </c>
      <c r="L56" s="34">
        <f t="shared" si="20"/>
        <v>40.895391705069123</v>
      </c>
      <c r="M56" s="69">
        <f>621.796+75</f>
        <v>696.79600000000005</v>
      </c>
      <c r="N56" s="34">
        <f t="shared" si="21"/>
        <v>64.220829493087564</v>
      </c>
      <c r="O56" s="69">
        <f>952.286+90.28</f>
        <v>1042.566</v>
      </c>
      <c r="P56" s="34">
        <f t="shared" si="22"/>
        <v>96.08903225806452</v>
      </c>
      <c r="Q56" s="238">
        <f t="shared" si="24"/>
        <v>-42.433999999999969</v>
      </c>
      <c r="R56" s="114"/>
      <c r="S56" s="69">
        <f>110+770+250</f>
        <v>1130</v>
      </c>
      <c r="T56" s="34">
        <f t="shared" si="5"/>
        <v>104.14746543778801</v>
      </c>
    </row>
    <row r="57" spans="1:21" x14ac:dyDescent="0.2">
      <c r="A57" s="109"/>
      <c r="B57" s="29">
        <v>2111</v>
      </c>
      <c r="C57" s="109">
        <v>6171</v>
      </c>
      <c r="D57" s="29">
        <v>911</v>
      </c>
      <c r="E57" s="29" t="s">
        <v>174</v>
      </c>
      <c r="F57" s="69">
        <f>130+70</f>
        <v>200</v>
      </c>
      <c r="G57" s="457"/>
      <c r="H57" s="69">
        <f t="shared" si="23"/>
        <v>200</v>
      </c>
      <c r="I57" s="69">
        <f>74+0.16+1.98+1.4+48.892+0.116</f>
        <v>126.54800000000002</v>
      </c>
      <c r="J57" s="34">
        <f t="shared" si="19"/>
        <v>63.274000000000008</v>
      </c>
      <c r="K57" s="456">
        <f>125+0.16+10.858+1.98+1.4+4+73.892+0.209</f>
        <v>217.499</v>
      </c>
      <c r="L57" s="34">
        <f t="shared" si="20"/>
        <v>108.74949999999998</v>
      </c>
      <c r="M57" s="456">
        <f>144+0.16+13.664+10.858+2.19+3.4+4+60.228+2+0.209</f>
        <v>240.709</v>
      </c>
      <c r="N57" s="34">
        <f t="shared" si="21"/>
        <v>120.3545</v>
      </c>
      <c r="O57" s="69">
        <f>141+0.4+13.664+23.183+2.23+9.4+4+61.2873+1.5+0.224</f>
        <v>256.88829999999996</v>
      </c>
      <c r="P57" s="34">
        <f t="shared" si="22"/>
        <v>128.44414999999998</v>
      </c>
      <c r="Q57" s="238">
        <f t="shared" si="24"/>
        <v>56.888299999999958</v>
      </c>
      <c r="R57" s="112"/>
      <c r="S57" s="69">
        <f>180+30</f>
        <v>210</v>
      </c>
      <c r="T57" s="34">
        <f t="shared" si="5"/>
        <v>105</v>
      </c>
    </row>
    <row r="58" spans="1:21" x14ac:dyDescent="0.2">
      <c r="A58" s="109"/>
      <c r="B58" s="29">
        <v>2119</v>
      </c>
      <c r="C58" s="109">
        <v>2121</v>
      </c>
      <c r="D58" s="29">
        <v>20</v>
      </c>
      <c r="E58" s="29" t="s">
        <v>233</v>
      </c>
      <c r="F58" s="69">
        <v>30</v>
      </c>
      <c r="G58" s="457">
        <v>200</v>
      </c>
      <c r="H58" s="69">
        <f t="shared" si="23"/>
        <v>230</v>
      </c>
      <c r="I58" s="69">
        <v>1.21</v>
      </c>
      <c r="J58" s="34">
        <f t="shared" si="19"/>
        <v>0.52608695652173909</v>
      </c>
      <c r="K58" s="69">
        <v>35.005299999999998</v>
      </c>
      <c r="L58" s="34">
        <f t="shared" si="20"/>
        <v>15.219695652173911</v>
      </c>
      <c r="M58" s="69">
        <v>400.44830000000002</v>
      </c>
      <c r="N58" s="34">
        <f t="shared" si="21"/>
        <v>174.10795652173914</v>
      </c>
      <c r="O58" s="69">
        <v>404.07830000000001</v>
      </c>
      <c r="P58" s="34">
        <f t="shared" si="22"/>
        <v>175.68621739130435</v>
      </c>
      <c r="Q58" s="238">
        <f t="shared" si="24"/>
        <v>174.07830000000001</v>
      </c>
      <c r="R58" s="112"/>
      <c r="S58" s="69">
        <f>50+50</f>
        <v>100</v>
      </c>
      <c r="T58" s="34">
        <f t="shared" si="5"/>
        <v>333.33333333333337</v>
      </c>
    </row>
    <row r="59" spans="1:21" x14ac:dyDescent="0.2">
      <c r="A59" s="109"/>
      <c r="B59" s="29">
        <v>2122</v>
      </c>
      <c r="C59" s="109"/>
      <c r="D59" s="29"/>
      <c r="E59" s="29" t="s">
        <v>242</v>
      </c>
      <c r="F59" s="69">
        <f>231+661+657+462+66</f>
        <v>2077</v>
      </c>
      <c r="G59" s="69"/>
      <c r="H59" s="69">
        <f t="shared" si="23"/>
        <v>2077</v>
      </c>
      <c r="I59" s="69">
        <v>0</v>
      </c>
      <c r="J59" s="34">
        <f t="shared" si="19"/>
        <v>0</v>
      </c>
      <c r="K59" s="69"/>
      <c r="L59" s="34">
        <f t="shared" si="20"/>
        <v>0</v>
      </c>
      <c r="M59" s="69">
        <f>231.228+660.227+461.655+66.257+656.027</f>
        <v>2075.3940000000002</v>
      </c>
      <c r="N59" s="34">
        <f t="shared" si="21"/>
        <v>99.922676937891197</v>
      </c>
      <c r="O59" s="69">
        <f>231.228+660.227+461.655+66.257+656.027</f>
        <v>2075.3940000000002</v>
      </c>
      <c r="P59" s="390">
        <f t="shared" si="22"/>
        <v>99.922676937891197</v>
      </c>
      <c r="Q59" s="238">
        <f t="shared" si="24"/>
        <v>-1.6059999999997672</v>
      </c>
      <c r="R59" s="126"/>
      <c r="S59" s="69">
        <f>231+661+655+540+66</f>
        <v>2153</v>
      </c>
      <c r="T59" s="390">
        <f t="shared" si="5"/>
        <v>103.65912373615791</v>
      </c>
    </row>
    <row r="60" spans="1:21" x14ac:dyDescent="0.2">
      <c r="A60" s="109"/>
      <c r="B60" s="29">
        <v>2324</v>
      </c>
      <c r="C60" s="109">
        <v>3725</v>
      </c>
      <c r="D60" s="29">
        <v>240</v>
      </c>
      <c r="E60" s="29" t="s">
        <v>119</v>
      </c>
      <c r="F60" s="69">
        <f>800+100</f>
        <v>900</v>
      </c>
      <c r="G60" s="69">
        <v>300</v>
      </c>
      <c r="H60" s="69">
        <f t="shared" si="23"/>
        <v>1200</v>
      </c>
      <c r="I60" s="69">
        <f>57.943+3+242.2829</f>
        <v>303.22590000000002</v>
      </c>
      <c r="J60" s="34">
        <f t="shared" si="19"/>
        <v>25.268825</v>
      </c>
      <c r="K60" s="69">
        <f>70.165+489.2083</f>
        <v>559.37329999999997</v>
      </c>
      <c r="L60" s="34">
        <f>K60/$H60*100</f>
        <v>46.614441666666664</v>
      </c>
      <c r="M60" s="69">
        <f>93.595+775.3844</f>
        <v>868.97940000000006</v>
      </c>
      <c r="N60" s="34">
        <f>M60/$H60*100</f>
        <v>72.414950000000005</v>
      </c>
      <c r="O60" s="69">
        <f>119.163+22.78+1031.0279+30</f>
        <v>1202.9709</v>
      </c>
      <c r="P60" s="34">
        <f>O60/$H60*100</f>
        <v>100.24757500000001</v>
      </c>
      <c r="Q60" s="238">
        <f t="shared" si="24"/>
        <v>2.9709000000000287</v>
      </c>
      <c r="R60" s="323"/>
      <c r="S60" s="69">
        <f>890+110+290</f>
        <v>1290</v>
      </c>
      <c r="T60" s="34">
        <f t="shared" si="5"/>
        <v>143.33333333333334</v>
      </c>
    </row>
    <row r="61" spans="1:21" ht="15" customHeight="1" x14ac:dyDescent="0.2">
      <c r="A61" s="109"/>
      <c r="B61" s="109"/>
      <c r="C61" s="109"/>
      <c r="D61" s="109"/>
      <c r="E61" s="32" t="s">
        <v>41</v>
      </c>
      <c r="F61" s="70">
        <f>SUM(F62:F71)</f>
        <v>14245</v>
      </c>
      <c r="G61" s="70">
        <f>SUM(G62:G71)</f>
        <v>0</v>
      </c>
      <c r="H61" s="70">
        <f>SUM(H62:H71)</f>
        <v>14245</v>
      </c>
      <c r="I61" s="70">
        <f>SUM(I62:I71)</f>
        <v>3443.0610099999999</v>
      </c>
      <c r="J61" s="195">
        <f t="shared" si="19"/>
        <v>24.170312460512459</v>
      </c>
      <c r="K61" s="70">
        <f>SUM(K62:K71)</f>
        <v>6786.7690700000003</v>
      </c>
      <c r="L61" s="195">
        <f t="shared" ref="L61:L91" si="25">K61/$H61*100</f>
        <v>47.643166514566516</v>
      </c>
      <c r="M61" s="70">
        <f>SUM(M62:M71)</f>
        <v>11034.631239999999</v>
      </c>
      <c r="N61" s="195">
        <f t="shared" ref="N61:N92" si="26">M61/$H61*100</f>
        <v>77.463188767988754</v>
      </c>
      <c r="O61" s="70">
        <f>SUM(O62:O71)</f>
        <v>14358.08669</v>
      </c>
      <c r="P61" s="195">
        <f t="shared" ref="P61:P92" si="27">O61/$H61*100</f>
        <v>100.79386935766937</v>
      </c>
      <c r="Q61" s="314">
        <f>SUM(Q62:Q71)</f>
        <v>113.086690000001</v>
      </c>
      <c r="R61" s="112"/>
      <c r="S61" s="70">
        <f>SUM(S62:S71)</f>
        <v>14183</v>
      </c>
      <c r="T61" s="195">
        <f t="shared" si="5"/>
        <v>99.564759564759569</v>
      </c>
    </row>
    <row r="62" spans="1:21" x14ac:dyDescent="0.2">
      <c r="A62" s="109"/>
      <c r="B62" s="29">
        <v>2131</v>
      </c>
      <c r="C62" s="109">
        <v>1012</v>
      </c>
      <c r="D62" s="29">
        <v>38</v>
      </c>
      <c r="E62" s="29" t="s">
        <v>185</v>
      </c>
      <c r="F62" s="69">
        <v>494</v>
      </c>
      <c r="G62" s="69"/>
      <c r="H62" s="69">
        <f t="shared" ref="H62:H76" si="28">SUM(F62:G62)</f>
        <v>494</v>
      </c>
      <c r="I62" s="69">
        <f>169.84813+2.375</f>
        <v>172.22313</v>
      </c>
      <c r="J62" s="34">
        <f t="shared" si="19"/>
        <v>34.862981781376519</v>
      </c>
      <c r="K62" s="69">
        <v>376.89328</v>
      </c>
      <c r="L62" s="34">
        <f t="shared" si="25"/>
        <v>76.294186234817815</v>
      </c>
      <c r="M62" s="69">
        <v>433.00576999999998</v>
      </c>
      <c r="N62" s="34">
        <f t="shared" si="26"/>
        <v>87.652989878542513</v>
      </c>
      <c r="O62" s="69">
        <v>489.01226000000003</v>
      </c>
      <c r="P62" s="34">
        <f t="shared" si="27"/>
        <v>98.990336032388669</v>
      </c>
      <c r="Q62" s="238">
        <f t="shared" ref="Q62:Q76" si="29">O62-H62</f>
        <v>-4.9877399999999739</v>
      </c>
      <c r="R62" s="112" t="s">
        <v>373</v>
      </c>
      <c r="S62" s="69">
        <v>492</v>
      </c>
      <c r="T62" s="34">
        <f t="shared" si="5"/>
        <v>99.595141700404852</v>
      </c>
      <c r="U62" s="113"/>
    </row>
    <row r="63" spans="1:21" x14ac:dyDescent="0.2">
      <c r="A63" s="109"/>
      <c r="B63" s="29">
        <v>2132</v>
      </c>
      <c r="C63" s="109">
        <v>2121</v>
      </c>
      <c r="D63" s="29">
        <v>237</v>
      </c>
      <c r="E63" s="29" t="s">
        <v>186</v>
      </c>
      <c r="F63" s="69">
        <f>1350+50</f>
        <v>1400</v>
      </c>
      <c r="G63" s="69"/>
      <c r="H63" s="69">
        <f t="shared" si="28"/>
        <v>1400</v>
      </c>
      <c r="I63" s="69">
        <v>371.38911000000002</v>
      </c>
      <c r="J63" s="34">
        <f t="shared" si="19"/>
        <v>26.527793571428571</v>
      </c>
      <c r="K63" s="69">
        <f>23.77721+674.96941</f>
        <v>698.74662000000001</v>
      </c>
      <c r="L63" s="34">
        <f t="shared" ref="L63:L73" si="30">K63/$H63*100</f>
        <v>49.910472857142857</v>
      </c>
      <c r="M63" s="69">
        <f>28.14221+1051.88166</f>
        <v>1080.02387</v>
      </c>
      <c r="N63" s="34">
        <f t="shared" ref="N63:N73" si="31">M63/$H63*100</f>
        <v>77.14456214285714</v>
      </c>
      <c r="O63" s="69">
        <f>32.67321+1503.65817</f>
        <v>1536.3313799999999</v>
      </c>
      <c r="P63" s="34">
        <f t="shared" si="27"/>
        <v>109.7379557142857</v>
      </c>
      <c r="Q63" s="238">
        <f t="shared" si="29"/>
        <v>136.33137999999985</v>
      </c>
      <c r="R63" s="223"/>
      <c r="S63" s="69">
        <f>1350+40</f>
        <v>1390</v>
      </c>
      <c r="T63" s="34">
        <f t="shared" si="5"/>
        <v>99.285714285714292</v>
      </c>
    </row>
    <row r="64" spans="1:21" x14ac:dyDescent="0.2">
      <c r="A64" s="109"/>
      <c r="B64" s="29">
        <v>2132</v>
      </c>
      <c r="C64" s="109">
        <v>3113</v>
      </c>
      <c r="D64" s="29">
        <v>302</v>
      </c>
      <c r="E64" s="29" t="s">
        <v>315</v>
      </c>
      <c r="F64" s="69">
        <v>195</v>
      </c>
      <c r="G64" s="69"/>
      <c r="H64" s="69">
        <f t="shared" si="28"/>
        <v>195</v>
      </c>
      <c r="I64" s="69">
        <v>48.887500000000003</v>
      </c>
      <c r="J64" s="34">
        <f t="shared" si="19"/>
        <v>25.070512820512825</v>
      </c>
      <c r="K64" s="69">
        <v>97.775000000000006</v>
      </c>
      <c r="L64" s="34">
        <f t="shared" si="30"/>
        <v>50.141025641025649</v>
      </c>
      <c r="M64" s="69">
        <v>146.66249999999999</v>
      </c>
      <c r="N64" s="34">
        <f t="shared" si="31"/>
        <v>75.211538461538467</v>
      </c>
      <c r="O64" s="69">
        <v>195.55</v>
      </c>
      <c r="P64" s="34">
        <f t="shared" si="27"/>
        <v>100.2820512820513</v>
      </c>
      <c r="Q64" s="238">
        <f t="shared" si="29"/>
        <v>0.55000000000001137</v>
      </c>
      <c r="R64" s="223"/>
      <c r="S64" s="69">
        <v>195</v>
      </c>
      <c r="T64" s="34">
        <f t="shared" si="5"/>
        <v>100</v>
      </c>
    </row>
    <row r="65" spans="1:21" x14ac:dyDescent="0.2">
      <c r="A65" s="109"/>
      <c r="B65" s="29">
        <v>2132</v>
      </c>
      <c r="C65" s="109">
        <v>3613</v>
      </c>
      <c r="D65" s="29">
        <v>316</v>
      </c>
      <c r="E65" s="29" t="s">
        <v>317</v>
      </c>
      <c r="F65" s="69">
        <v>273</v>
      </c>
      <c r="G65" s="69"/>
      <c r="H65" s="69">
        <f t="shared" si="28"/>
        <v>273</v>
      </c>
      <c r="I65" s="69">
        <v>70.344999999999999</v>
      </c>
      <c r="J65" s="34">
        <f t="shared" si="19"/>
        <v>25.767399267399266</v>
      </c>
      <c r="K65" s="69">
        <v>140.69</v>
      </c>
      <c r="L65" s="34">
        <f t="shared" si="30"/>
        <v>51.534798534798533</v>
      </c>
      <c r="M65" s="69">
        <v>211.035</v>
      </c>
      <c r="N65" s="34">
        <f t="shared" si="31"/>
        <v>77.30219780219781</v>
      </c>
      <c r="O65" s="69">
        <v>281.38049999999998</v>
      </c>
      <c r="P65" s="34">
        <f t="shared" si="27"/>
        <v>103.06978021978021</v>
      </c>
      <c r="Q65" s="238">
        <f t="shared" si="29"/>
        <v>8.3804999999999836</v>
      </c>
      <c r="R65" s="223"/>
      <c r="S65" s="69">
        <v>281</v>
      </c>
      <c r="T65" s="34">
        <f t="shared" si="5"/>
        <v>102.93040293040292</v>
      </c>
    </row>
    <row r="66" spans="1:21" x14ac:dyDescent="0.2">
      <c r="A66" s="109"/>
      <c r="B66" s="29">
        <v>2132</v>
      </c>
      <c r="C66" s="109">
        <v>3612</v>
      </c>
      <c r="D66" s="29" t="s">
        <v>285</v>
      </c>
      <c r="E66" s="29" t="s">
        <v>144</v>
      </c>
      <c r="F66" s="69">
        <v>8523</v>
      </c>
      <c r="G66" s="69"/>
      <c r="H66" s="69">
        <f t="shared" si="28"/>
        <v>8523</v>
      </c>
      <c r="I66" s="69">
        <f>619.75862+0.098+438.604+1.5858+1057.944+0.053</f>
        <v>2118.04342</v>
      </c>
      <c r="J66" s="34">
        <f t="shared" si="19"/>
        <v>24.850914232077905</v>
      </c>
      <c r="K66" s="69">
        <f>1232.10162+0.098+864.45+1.5858+2129.07+0.295</f>
        <v>4227.6004200000007</v>
      </c>
      <c r="L66" s="34">
        <f t="shared" si="30"/>
        <v>49.602257655755025</v>
      </c>
      <c r="M66" s="69">
        <f>1854.36462+0.098+1306.405+1.5858+3277.901+2.031</f>
        <v>6442.3854199999996</v>
      </c>
      <c r="N66" s="34">
        <f t="shared" si="31"/>
        <v>75.588236771089996</v>
      </c>
      <c r="O66" s="69">
        <f>2457.41562+0.098+1763.234+1.9138+4357.255+2.097</f>
        <v>8582.0134200000011</v>
      </c>
      <c r="P66" s="34">
        <f t="shared" si="27"/>
        <v>100.69240197113693</v>
      </c>
      <c r="Q66" s="238">
        <f t="shared" si="29"/>
        <v>59.013420000001133</v>
      </c>
      <c r="R66" s="112"/>
      <c r="S66" s="69">
        <v>8509</v>
      </c>
      <c r="T66" s="34">
        <f t="shared" si="5"/>
        <v>99.835738589698465</v>
      </c>
    </row>
    <row r="67" spans="1:21" x14ac:dyDescent="0.2">
      <c r="A67" s="109"/>
      <c r="B67" s="29">
        <v>2132</v>
      </c>
      <c r="C67" s="109">
        <v>3613</v>
      </c>
      <c r="D67" s="29">
        <v>703</v>
      </c>
      <c r="E67" s="29" t="s">
        <v>42</v>
      </c>
      <c r="F67" s="69">
        <v>750</v>
      </c>
      <c r="G67" s="69"/>
      <c r="H67" s="69">
        <f t="shared" si="28"/>
        <v>750</v>
      </c>
      <c r="I67" s="69">
        <v>172.19499999999999</v>
      </c>
      <c r="J67" s="34">
        <f t="shared" si="19"/>
        <v>22.959333333333333</v>
      </c>
      <c r="K67" s="69">
        <v>357.98500000000001</v>
      </c>
      <c r="L67" s="34">
        <f t="shared" si="30"/>
        <v>47.731333333333339</v>
      </c>
      <c r="M67" s="69">
        <f>510.793+0.051</f>
        <v>510.84399999999999</v>
      </c>
      <c r="N67" s="34">
        <f t="shared" si="31"/>
        <v>68.112533333333332</v>
      </c>
      <c r="O67" s="69">
        <f>653.742+0.051</f>
        <v>653.79300000000001</v>
      </c>
      <c r="P67" s="34">
        <f t="shared" ref="P67:P73" si="32">O67/$H67*100</f>
        <v>87.17240000000001</v>
      </c>
      <c r="Q67" s="238">
        <f t="shared" si="29"/>
        <v>-96.206999999999994</v>
      </c>
      <c r="R67" s="112"/>
      <c r="S67" s="69">
        <v>609</v>
      </c>
      <c r="T67" s="34">
        <f t="shared" si="5"/>
        <v>81.2</v>
      </c>
    </row>
    <row r="68" spans="1:21" ht="13.5" customHeight="1" x14ac:dyDescent="0.2">
      <c r="A68" s="109"/>
      <c r="B68" s="29">
        <v>2132</v>
      </c>
      <c r="C68" s="109">
        <v>3634</v>
      </c>
      <c r="D68" s="29">
        <v>21</v>
      </c>
      <c r="E68" s="29" t="s">
        <v>43</v>
      </c>
      <c r="F68" s="69">
        <v>970</v>
      </c>
      <c r="G68" s="69"/>
      <c r="H68" s="69">
        <f t="shared" si="28"/>
        <v>970</v>
      </c>
      <c r="I68" s="69">
        <v>242.60489999999999</v>
      </c>
      <c r="J68" s="34">
        <f t="shared" si="19"/>
        <v>25.01081443298969</v>
      </c>
      <c r="K68" s="69">
        <v>485.20979999999997</v>
      </c>
      <c r="L68" s="34">
        <f t="shared" si="30"/>
        <v>50.02162886597938</v>
      </c>
      <c r="M68" s="69">
        <v>727.81470000000002</v>
      </c>
      <c r="N68" s="34">
        <f t="shared" si="31"/>
        <v>75.032443298969071</v>
      </c>
      <c r="O68" s="69">
        <v>970.42</v>
      </c>
      <c r="P68" s="34">
        <f t="shared" si="32"/>
        <v>100.04329896907215</v>
      </c>
      <c r="Q68" s="238">
        <f t="shared" si="29"/>
        <v>0.41999999999995907</v>
      </c>
      <c r="R68" s="112"/>
      <c r="S68" s="69">
        <v>999</v>
      </c>
      <c r="T68" s="34">
        <f t="shared" si="5"/>
        <v>102.98969072164948</v>
      </c>
    </row>
    <row r="69" spans="1:21" x14ac:dyDescent="0.2">
      <c r="A69" s="109"/>
      <c r="B69" s="29">
        <v>2132</v>
      </c>
      <c r="C69" s="109">
        <v>3639</v>
      </c>
      <c r="D69" s="29">
        <v>21</v>
      </c>
      <c r="E69" s="29" t="s">
        <v>170</v>
      </c>
      <c r="F69" s="69">
        <f>62+275+123</f>
        <v>460</v>
      </c>
      <c r="G69" s="69"/>
      <c r="H69" s="69">
        <f t="shared" si="28"/>
        <v>460</v>
      </c>
      <c r="I69" s="69">
        <v>182.73495</v>
      </c>
      <c r="J69" s="34">
        <f t="shared" si="19"/>
        <v>39.724989130434786</v>
      </c>
      <c r="K69" s="69">
        <v>272.59294999999997</v>
      </c>
      <c r="L69" s="34">
        <f t="shared" si="30"/>
        <v>59.259336956521736</v>
      </c>
      <c r="M69" s="69">
        <v>371.03897999999998</v>
      </c>
      <c r="N69" s="34">
        <f t="shared" si="31"/>
        <v>80.660647826086944</v>
      </c>
      <c r="O69" s="69">
        <v>469.15813000000003</v>
      </c>
      <c r="P69" s="34">
        <f t="shared" si="32"/>
        <v>101.99089782608696</v>
      </c>
      <c r="Q69" s="238">
        <f t="shared" si="29"/>
        <v>9.1581300000000283</v>
      </c>
      <c r="R69" s="112"/>
      <c r="S69" s="69">
        <v>500</v>
      </c>
      <c r="T69" s="34">
        <f t="shared" si="5"/>
        <v>108.69565217391303</v>
      </c>
    </row>
    <row r="70" spans="1:21" x14ac:dyDescent="0.2">
      <c r="A70" s="109"/>
      <c r="B70" s="29">
        <v>2132</v>
      </c>
      <c r="C70" s="109">
        <v>3639</v>
      </c>
      <c r="D70" s="29">
        <v>319</v>
      </c>
      <c r="E70" s="29" t="s">
        <v>259</v>
      </c>
      <c r="F70" s="69">
        <v>274</v>
      </c>
      <c r="G70" s="69"/>
      <c r="H70" s="69">
        <f t="shared" si="28"/>
        <v>274</v>
      </c>
      <c r="I70" s="69">
        <v>64.638000000000005</v>
      </c>
      <c r="J70" s="34">
        <f t="shared" si="19"/>
        <v>23.590510948905109</v>
      </c>
      <c r="K70" s="69">
        <v>129.27600000000001</v>
      </c>
      <c r="L70" s="34">
        <f t="shared" si="30"/>
        <v>47.181021897810218</v>
      </c>
      <c r="M70" s="69">
        <v>205.821</v>
      </c>
      <c r="N70" s="34">
        <f t="shared" si="31"/>
        <v>75.117153284671531</v>
      </c>
      <c r="O70" s="69">
        <v>274.428</v>
      </c>
      <c r="P70" s="34">
        <f t="shared" si="32"/>
        <v>100.15620437956206</v>
      </c>
      <c r="Q70" s="238">
        <f t="shared" si="29"/>
        <v>0.42799999999999727</v>
      </c>
      <c r="R70" s="112"/>
      <c r="S70" s="69">
        <v>275</v>
      </c>
      <c r="T70" s="34">
        <f t="shared" ref="T70:T141" si="33">S70/$F70*100</f>
        <v>100.36496350364963</v>
      </c>
    </row>
    <row r="71" spans="1:21" x14ac:dyDescent="0.2">
      <c r="A71" s="109"/>
      <c r="B71" s="29">
        <v>2132</v>
      </c>
      <c r="C71" s="109">
        <v>4355</v>
      </c>
      <c r="D71" s="29">
        <v>311</v>
      </c>
      <c r="E71" s="29" t="s">
        <v>264</v>
      </c>
      <c r="F71" s="69">
        <v>906</v>
      </c>
      <c r="G71" s="69"/>
      <c r="H71" s="69">
        <f t="shared" si="28"/>
        <v>906</v>
      </c>
      <c r="I71" s="69">
        <v>0</v>
      </c>
      <c r="J71" s="34">
        <f t="shared" si="19"/>
        <v>0</v>
      </c>
      <c r="K71" s="69"/>
      <c r="L71" s="34">
        <f t="shared" si="30"/>
        <v>0</v>
      </c>
      <c r="M71" s="69">
        <v>906</v>
      </c>
      <c r="N71" s="34">
        <f t="shared" si="31"/>
        <v>100</v>
      </c>
      <c r="O71" s="69">
        <v>906</v>
      </c>
      <c r="P71" s="34">
        <f t="shared" si="32"/>
        <v>100</v>
      </c>
      <c r="Q71" s="238">
        <f t="shared" si="29"/>
        <v>0</v>
      </c>
      <c r="R71" s="112"/>
      <c r="S71" s="69">
        <v>933</v>
      </c>
      <c r="T71" s="34">
        <f t="shared" si="33"/>
        <v>102.98013245033113</v>
      </c>
      <c r="U71" s="117"/>
    </row>
    <row r="72" spans="1:21" ht="14.25" customHeight="1" x14ac:dyDescent="0.2">
      <c r="A72" s="109"/>
      <c r="B72" s="109"/>
      <c r="C72" s="109"/>
      <c r="D72" s="109"/>
      <c r="E72" s="32" t="s">
        <v>89</v>
      </c>
      <c r="F72" s="70">
        <f>SUM(F73:F76)</f>
        <v>26</v>
      </c>
      <c r="G72" s="70">
        <f>SUM(G73:G76)</f>
        <v>0</v>
      </c>
      <c r="H72" s="70">
        <f>SUM(H73:H76)</f>
        <v>26</v>
      </c>
      <c r="I72" s="70">
        <f>SUM(I73:I76)</f>
        <v>7.3236100000000004</v>
      </c>
      <c r="J72" s="195">
        <f t="shared" si="19"/>
        <v>28.167730769230769</v>
      </c>
      <c r="K72" s="70">
        <f>SUM(K73:K76)</f>
        <v>13.226739999999999</v>
      </c>
      <c r="L72" s="195">
        <f t="shared" si="25"/>
        <v>50.872076923076925</v>
      </c>
      <c r="M72" s="70">
        <f>SUM(M73:M76)</f>
        <v>17.953340000000001</v>
      </c>
      <c r="N72" s="195">
        <f t="shared" si="31"/>
        <v>69.051307692307688</v>
      </c>
      <c r="O72" s="70">
        <f>SUM(O73:O76)</f>
        <v>26.86046</v>
      </c>
      <c r="P72" s="195">
        <f t="shared" si="27"/>
        <v>103.30946153846155</v>
      </c>
      <c r="Q72" s="238">
        <f t="shared" si="29"/>
        <v>0.86045999999999978</v>
      </c>
      <c r="R72" s="224"/>
      <c r="S72" s="70">
        <f>SUM(S73:S76)</f>
        <v>16</v>
      </c>
      <c r="T72" s="195">
        <f t="shared" si="33"/>
        <v>61.53846153846154</v>
      </c>
    </row>
    <row r="73" spans="1:21" x14ac:dyDescent="0.2">
      <c r="A73" s="109"/>
      <c r="B73" s="29">
        <v>2141</v>
      </c>
      <c r="C73" s="109">
        <v>6310</v>
      </c>
      <c r="D73" s="29">
        <v>314</v>
      </c>
      <c r="E73" s="29" t="s">
        <v>270</v>
      </c>
      <c r="F73" s="69">
        <v>10</v>
      </c>
      <c r="G73" s="69"/>
      <c r="H73" s="69">
        <f t="shared" si="28"/>
        <v>10</v>
      </c>
      <c r="I73" s="69">
        <f>2.09498+0.15422+0.21607</f>
        <v>2.4652700000000003</v>
      </c>
      <c r="J73" s="34">
        <f t="shared" si="19"/>
        <v>24.652700000000003</v>
      </c>
      <c r="K73" s="69">
        <f>4.43432+0.31591+0.43217</f>
        <v>5.1823999999999995</v>
      </c>
      <c r="L73" s="34">
        <f t="shared" si="30"/>
        <v>51.823999999999991</v>
      </c>
      <c r="M73" s="69">
        <f>6.42602+0.45965+0.65066</f>
        <v>7.5363300000000004</v>
      </c>
      <c r="N73" s="34">
        <f t="shared" si="31"/>
        <v>75.363299999999995</v>
      </c>
      <c r="O73" s="69">
        <f>8.18794+0.60297+0.8869</f>
        <v>9.6778100000000009</v>
      </c>
      <c r="P73" s="34">
        <f t="shared" si="32"/>
        <v>96.778100000000009</v>
      </c>
      <c r="Q73" s="238">
        <f t="shared" si="29"/>
        <v>-0.32218999999999909</v>
      </c>
      <c r="R73" s="112"/>
      <c r="S73" s="69">
        <v>10</v>
      </c>
      <c r="T73" s="34">
        <f t="shared" si="33"/>
        <v>100</v>
      </c>
    </row>
    <row r="74" spans="1:21" x14ac:dyDescent="0.2">
      <c r="A74" s="109"/>
      <c r="B74" s="29">
        <v>2143</v>
      </c>
      <c r="C74" s="109"/>
      <c r="D74" s="29"/>
      <c r="E74" s="29" t="s">
        <v>278</v>
      </c>
      <c r="F74" s="69">
        <v>0</v>
      </c>
      <c r="G74" s="69"/>
      <c r="H74" s="69">
        <f t="shared" si="28"/>
        <v>0</v>
      </c>
      <c r="I74" s="69">
        <v>0.28133999999999998</v>
      </c>
      <c r="J74" s="34"/>
      <c r="K74" s="69">
        <v>0.28133999999999998</v>
      </c>
      <c r="L74" s="34"/>
      <c r="M74" s="69">
        <v>0.41900999999999999</v>
      </c>
      <c r="N74" s="34"/>
      <c r="O74" s="69">
        <v>0.43164999999999998</v>
      </c>
      <c r="P74" s="34"/>
      <c r="Q74" s="238">
        <f t="shared" si="29"/>
        <v>0.43164999999999998</v>
      </c>
      <c r="R74" s="112"/>
      <c r="S74" s="69"/>
      <c r="T74" s="34"/>
    </row>
    <row r="75" spans="1:21" x14ac:dyDescent="0.2">
      <c r="A75" s="109"/>
      <c r="B75" s="29">
        <v>2141</v>
      </c>
      <c r="C75" s="109">
        <v>6310</v>
      </c>
      <c r="D75" s="29">
        <v>245</v>
      </c>
      <c r="E75" s="29" t="s">
        <v>175</v>
      </c>
      <c r="F75" s="69">
        <v>11</v>
      </c>
      <c r="G75" s="69"/>
      <c r="H75" s="69">
        <f t="shared" si="28"/>
        <v>11</v>
      </c>
      <c r="I75" s="69">
        <v>4.577</v>
      </c>
      <c r="J75" s="34">
        <f t="shared" si="19"/>
        <v>41.609090909090909</v>
      </c>
      <c r="K75" s="69">
        <v>7.7629999999999999</v>
      </c>
      <c r="L75" s="34">
        <f t="shared" si="25"/>
        <v>70.572727272727278</v>
      </c>
      <c r="M75" s="69">
        <v>9.9979999999999993</v>
      </c>
      <c r="N75" s="34">
        <f t="shared" si="26"/>
        <v>90.890909090909091</v>
      </c>
      <c r="O75" s="69">
        <v>11.159000000000001</v>
      </c>
      <c r="P75" s="34">
        <f t="shared" si="27"/>
        <v>101.44545454545455</v>
      </c>
      <c r="Q75" s="238">
        <f t="shared" si="29"/>
        <v>0.1590000000000007</v>
      </c>
      <c r="R75" s="112"/>
      <c r="S75" s="69">
        <v>1</v>
      </c>
      <c r="T75" s="34">
        <f t="shared" si="33"/>
        <v>9.0909090909090917</v>
      </c>
    </row>
    <row r="76" spans="1:21" ht="13.5" customHeight="1" x14ac:dyDescent="0.2">
      <c r="A76" s="109"/>
      <c r="B76" s="29">
        <v>2141</v>
      </c>
      <c r="C76" s="109">
        <v>6310</v>
      </c>
      <c r="D76" s="29">
        <v>318</v>
      </c>
      <c r="E76" s="29" t="s">
        <v>348</v>
      </c>
      <c r="F76" s="69">
        <v>5</v>
      </c>
      <c r="G76" s="69"/>
      <c r="H76" s="69">
        <f t="shared" si="28"/>
        <v>5</v>
      </c>
      <c r="I76" s="69">
        <v>0</v>
      </c>
      <c r="J76" s="34">
        <f t="shared" ref="J76:J91" si="34">I76/$H76*100</f>
        <v>0</v>
      </c>
      <c r="K76" s="69"/>
      <c r="L76" s="34">
        <f t="shared" si="25"/>
        <v>0</v>
      </c>
      <c r="M76" s="69"/>
      <c r="N76" s="34">
        <f t="shared" si="26"/>
        <v>0</v>
      </c>
      <c r="O76" s="69">
        <v>5.5919999999999996</v>
      </c>
      <c r="P76" s="34">
        <f t="shared" si="27"/>
        <v>111.83999999999999</v>
      </c>
      <c r="Q76" s="238">
        <f t="shared" si="29"/>
        <v>0.59199999999999964</v>
      </c>
      <c r="R76" s="112"/>
      <c r="S76" s="69">
        <v>5</v>
      </c>
      <c r="T76" s="34">
        <f t="shared" si="33"/>
        <v>100</v>
      </c>
    </row>
    <row r="77" spans="1:21" x14ac:dyDescent="0.2">
      <c r="A77" s="96" t="s">
        <v>134</v>
      </c>
      <c r="B77" s="32"/>
      <c r="C77" s="96"/>
      <c r="D77" s="32"/>
      <c r="E77" s="32"/>
      <c r="F77" s="70">
        <f>SUM(F78:F84)</f>
        <v>1300</v>
      </c>
      <c r="G77" s="70">
        <f>SUM(G78:G84)</f>
        <v>0</v>
      </c>
      <c r="H77" s="70">
        <f>SUM(H78:H84)</f>
        <v>1300</v>
      </c>
      <c r="I77" s="70">
        <f>SUM(I78:I84)</f>
        <v>257.24061</v>
      </c>
      <c r="J77" s="195">
        <f t="shared" si="34"/>
        <v>19.78773923076923</v>
      </c>
      <c r="K77" s="70">
        <f>SUM(K78:K84)</f>
        <v>583.32176000000004</v>
      </c>
      <c r="L77" s="195">
        <f t="shared" si="25"/>
        <v>44.870904615384617</v>
      </c>
      <c r="M77" s="70">
        <f>SUM(M78:M84)</f>
        <v>904.6961</v>
      </c>
      <c r="N77" s="195">
        <f t="shared" si="26"/>
        <v>69.592007692307689</v>
      </c>
      <c r="O77" s="70">
        <f>SUM(O78:O84)</f>
        <v>1174.21083</v>
      </c>
      <c r="P77" s="195">
        <f t="shared" si="27"/>
        <v>90.323909999999998</v>
      </c>
      <c r="Q77" s="314">
        <f>SUM(Q78:Q84)</f>
        <v>-125.78916999999996</v>
      </c>
      <c r="R77" s="220"/>
      <c r="S77" s="70">
        <f>SUM(S78:S84)</f>
        <v>1248</v>
      </c>
      <c r="T77" s="195">
        <f t="shared" si="33"/>
        <v>96</v>
      </c>
      <c r="U77" s="113"/>
    </row>
    <row r="78" spans="1:21" x14ac:dyDescent="0.2">
      <c r="A78" s="109"/>
      <c r="B78" s="29">
        <v>2212</v>
      </c>
      <c r="C78" s="109">
        <v>6171</v>
      </c>
      <c r="D78" s="29">
        <v>11</v>
      </c>
      <c r="E78" s="29" t="s">
        <v>139</v>
      </c>
      <c r="F78" s="69">
        <v>5</v>
      </c>
      <c r="G78" s="69"/>
      <c r="H78" s="69">
        <f t="shared" ref="H78:H93" si="35">SUM(F78:G78)</f>
        <v>5</v>
      </c>
      <c r="I78" s="69">
        <v>0.5</v>
      </c>
      <c r="J78" s="34">
        <f t="shared" si="34"/>
        <v>10</v>
      </c>
      <c r="K78" s="69">
        <v>0.5</v>
      </c>
      <c r="L78" s="34">
        <f t="shared" si="25"/>
        <v>10</v>
      </c>
      <c r="M78" s="69">
        <v>0.8</v>
      </c>
      <c r="N78" s="34">
        <f t="shared" si="26"/>
        <v>16</v>
      </c>
      <c r="O78" s="69">
        <v>1.3</v>
      </c>
      <c r="P78" s="34">
        <f t="shared" si="27"/>
        <v>26</v>
      </c>
      <c r="Q78" s="238">
        <f t="shared" ref="Q78:Q84" si="36">O78-H78</f>
        <v>-3.7</v>
      </c>
      <c r="R78" s="220"/>
      <c r="S78" s="69">
        <v>3</v>
      </c>
      <c r="T78" s="34">
        <f t="shared" si="33"/>
        <v>60</v>
      </c>
    </row>
    <row r="79" spans="1:21" x14ac:dyDescent="0.2">
      <c r="B79" s="29">
        <v>2212</v>
      </c>
      <c r="C79" s="109">
        <v>6171</v>
      </c>
      <c r="D79" s="29">
        <v>14.33</v>
      </c>
      <c r="E79" s="29" t="s">
        <v>241</v>
      </c>
      <c r="F79" s="69">
        <v>65</v>
      </c>
      <c r="G79" s="69"/>
      <c r="H79" s="69">
        <f t="shared" si="35"/>
        <v>65</v>
      </c>
      <c r="I79" s="69">
        <f>21.706+0.5+0.4</f>
        <v>22.605999999999998</v>
      </c>
      <c r="J79" s="34">
        <f t="shared" si="34"/>
        <v>34.778461538461535</v>
      </c>
      <c r="K79" s="69">
        <f>69.309+0.9+1.4</f>
        <v>71.609000000000009</v>
      </c>
      <c r="L79" s="34">
        <f t="shared" si="25"/>
        <v>110.16769230769232</v>
      </c>
      <c r="M79" s="69">
        <f>86.549+1+3.7</f>
        <v>91.249000000000009</v>
      </c>
      <c r="N79" s="34">
        <f t="shared" si="26"/>
        <v>140.38307692307694</v>
      </c>
      <c r="O79" s="69">
        <f>95.349+1.2+4.5</f>
        <v>101.04900000000001</v>
      </c>
      <c r="P79" s="34">
        <f t="shared" si="27"/>
        <v>155.46</v>
      </c>
      <c r="Q79" s="238">
        <f t="shared" si="36"/>
        <v>36.049000000000007</v>
      </c>
      <c r="R79" s="112"/>
      <c r="S79" s="69">
        <v>65</v>
      </c>
      <c r="T79" s="34">
        <f t="shared" si="33"/>
        <v>100</v>
      </c>
    </row>
    <row r="80" spans="1:21" x14ac:dyDescent="0.2">
      <c r="A80" s="97"/>
      <c r="B80" s="29">
        <v>2212</v>
      </c>
      <c r="C80" s="109">
        <v>2169</v>
      </c>
      <c r="D80" s="29">
        <v>15</v>
      </c>
      <c r="E80" s="29" t="s">
        <v>161</v>
      </c>
      <c r="F80" s="69">
        <v>50</v>
      </c>
      <c r="G80" s="69"/>
      <c r="H80" s="69">
        <f t="shared" si="35"/>
        <v>50</v>
      </c>
      <c r="I80" s="69">
        <v>48</v>
      </c>
      <c r="J80" s="34">
        <f t="shared" si="34"/>
        <v>96</v>
      </c>
      <c r="K80" s="69">
        <v>57</v>
      </c>
      <c r="L80" s="34">
        <f t="shared" si="25"/>
        <v>113.99999999999999</v>
      </c>
      <c r="M80" s="69">
        <v>60</v>
      </c>
      <c r="N80" s="34">
        <f t="shared" si="26"/>
        <v>120</v>
      </c>
      <c r="O80" s="69">
        <v>63</v>
      </c>
      <c r="P80" s="34">
        <f t="shared" si="27"/>
        <v>126</v>
      </c>
      <c r="Q80" s="238">
        <f t="shared" si="36"/>
        <v>13</v>
      </c>
      <c r="R80" s="365"/>
      <c r="S80" s="69">
        <v>50</v>
      </c>
      <c r="T80" s="34">
        <f t="shared" si="33"/>
        <v>100</v>
      </c>
    </row>
    <row r="81" spans="1:21" x14ac:dyDescent="0.2">
      <c r="A81" s="109"/>
      <c r="B81" s="29">
        <v>2212</v>
      </c>
      <c r="C81" s="213" t="s">
        <v>182</v>
      </c>
      <c r="D81" s="29">
        <v>17</v>
      </c>
      <c r="E81" s="29" t="s">
        <v>137</v>
      </c>
      <c r="F81" s="69">
        <v>30</v>
      </c>
      <c r="G81" s="69"/>
      <c r="H81" s="69">
        <f t="shared" si="35"/>
        <v>30</v>
      </c>
      <c r="I81" s="69">
        <v>0.66</v>
      </c>
      <c r="J81" s="34">
        <f t="shared" si="34"/>
        <v>2.2000000000000002</v>
      </c>
      <c r="K81" s="69">
        <v>3.66</v>
      </c>
      <c r="L81" s="34">
        <f t="shared" si="25"/>
        <v>12.200000000000001</v>
      </c>
      <c r="M81" s="69">
        <v>4.26</v>
      </c>
      <c r="N81" s="34">
        <f t="shared" si="26"/>
        <v>14.2</v>
      </c>
      <c r="O81" s="69">
        <v>16.260000000000002</v>
      </c>
      <c r="P81" s="34">
        <f t="shared" si="27"/>
        <v>54.2</v>
      </c>
      <c r="Q81" s="238">
        <f t="shared" si="36"/>
        <v>-13.739999999999998</v>
      </c>
      <c r="R81" s="112"/>
      <c r="S81" s="69">
        <v>30</v>
      </c>
      <c r="T81" s="34">
        <f t="shared" si="33"/>
        <v>100</v>
      </c>
    </row>
    <row r="82" spans="1:21" x14ac:dyDescent="0.2">
      <c r="A82" s="109"/>
      <c r="B82" s="29">
        <v>2212</v>
      </c>
      <c r="C82" s="109">
        <v>6171</v>
      </c>
      <c r="D82" s="29">
        <v>25.26</v>
      </c>
      <c r="E82" s="29" t="s">
        <v>136</v>
      </c>
      <c r="F82" s="69">
        <v>1000</v>
      </c>
      <c r="G82" s="69"/>
      <c r="H82" s="69">
        <f t="shared" si="35"/>
        <v>1000</v>
      </c>
      <c r="I82" s="69">
        <v>167.17461</v>
      </c>
      <c r="J82" s="34">
        <f t="shared" si="34"/>
        <v>16.717461</v>
      </c>
      <c r="K82" s="69">
        <v>418.25276000000002</v>
      </c>
      <c r="L82" s="34">
        <f t="shared" si="25"/>
        <v>41.825276000000002</v>
      </c>
      <c r="M82" s="69">
        <f>683.0871+2.7</f>
        <v>685.78710000000001</v>
      </c>
      <c r="N82" s="34">
        <f t="shared" si="26"/>
        <v>68.578710000000001</v>
      </c>
      <c r="O82" s="69">
        <f>923.80183+2.7</f>
        <v>926.50183000000004</v>
      </c>
      <c r="P82" s="34">
        <f t="shared" si="27"/>
        <v>92.650183000000013</v>
      </c>
      <c r="Q82" s="238">
        <f t="shared" si="36"/>
        <v>-73.498169999999959</v>
      </c>
      <c r="R82" s="112"/>
      <c r="S82" s="69">
        <v>1000</v>
      </c>
      <c r="T82" s="34">
        <f t="shared" si="33"/>
        <v>100</v>
      </c>
      <c r="U82" s="113"/>
    </row>
    <row r="83" spans="1:21" x14ac:dyDescent="0.2">
      <c r="A83" s="109"/>
      <c r="B83" s="29">
        <v>2212</v>
      </c>
      <c r="C83" s="109">
        <v>6171</v>
      </c>
      <c r="D83" s="29">
        <v>30.13</v>
      </c>
      <c r="E83" s="29" t="s">
        <v>302</v>
      </c>
      <c r="F83" s="69">
        <v>0</v>
      </c>
      <c r="G83" s="69"/>
      <c r="H83" s="69">
        <f t="shared" si="35"/>
        <v>0</v>
      </c>
      <c r="I83" s="69">
        <v>0.1</v>
      </c>
      <c r="J83" s="34"/>
      <c r="K83" s="69">
        <f>0.4</f>
        <v>0.4</v>
      </c>
      <c r="L83" s="34"/>
      <c r="M83" s="69">
        <v>0.7</v>
      </c>
      <c r="N83" s="34"/>
      <c r="O83" s="69">
        <v>1</v>
      </c>
      <c r="P83" s="34"/>
      <c r="Q83" s="238">
        <f t="shared" si="36"/>
        <v>1</v>
      </c>
      <c r="R83" s="112"/>
      <c r="S83" s="69"/>
      <c r="T83" s="34"/>
    </row>
    <row r="84" spans="1:21" x14ac:dyDescent="0.2">
      <c r="A84" s="109"/>
      <c r="B84" s="29">
        <v>2212</v>
      </c>
      <c r="C84" s="109">
        <v>5311</v>
      </c>
      <c r="D84" s="29">
        <v>16</v>
      </c>
      <c r="E84" s="29" t="s">
        <v>44</v>
      </c>
      <c r="F84" s="69">
        <v>150</v>
      </c>
      <c r="G84" s="69"/>
      <c r="H84" s="69">
        <f t="shared" si="35"/>
        <v>150</v>
      </c>
      <c r="I84" s="69">
        <v>18.2</v>
      </c>
      <c r="J84" s="34">
        <f t="shared" si="34"/>
        <v>12.133333333333333</v>
      </c>
      <c r="K84" s="69">
        <v>31.9</v>
      </c>
      <c r="L84" s="34">
        <f t="shared" si="25"/>
        <v>21.266666666666666</v>
      </c>
      <c r="M84" s="69">
        <v>61.9</v>
      </c>
      <c r="N84" s="34">
        <f t="shared" si="26"/>
        <v>41.266666666666666</v>
      </c>
      <c r="O84" s="69">
        <v>65.099999999999994</v>
      </c>
      <c r="P84" s="34">
        <f t="shared" si="27"/>
        <v>43.399999999999991</v>
      </c>
      <c r="Q84" s="238">
        <f t="shared" si="36"/>
        <v>-84.9</v>
      </c>
      <c r="R84" s="112"/>
      <c r="S84" s="69">
        <v>100</v>
      </c>
      <c r="T84" s="34">
        <f t="shared" si="33"/>
        <v>66.666666666666657</v>
      </c>
    </row>
    <row r="85" spans="1:21" x14ac:dyDescent="0.2">
      <c r="A85" s="96" t="s">
        <v>133</v>
      </c>
      <c r="B85" s="29"/>
      <c r="C85" s="109"/>
      <c r="D85" s="29"/>
      <c r="E85" s="29"/>
      <c r="F85" s="70">
        <f>SUM(F86:F93)</f>
        <v>1869</v>
      </c>
      <c r="G85" s="70">
        <f>SUM(G86:G93)</f>
        <v>1416.9823999999999</v>
      </c>
      <c r="H85" s="70">
        <f>SUM(H86:H93)</f>
        <v>3285.9823999999999</v>
      </c>
      <c r="I85" s="70">
        <f>SUM(I86:I93)</f>
        <v>807.11400000000003</v>
      </c>
      <c r="J85" s="195">
        <f t="shared" si="34"/>
        <v>24.562334843911522</v>
      </c>
      <c r="K85" s="70">
        <f>SUM(K86:K93)</f>
        <v>2030.1940000000002</v>
      </c>
      <c r="L85" s="195">
        <f t="shared" si="25"/>
        <v>61.783471512202873</v>
      </c>
      <c r="M85" s="70">
        <f>SUM(M86:M93)</f>
        <v>3239.9555</v>
      </c>
      <c r="N85" s="195">
        <f t="shared" si="26"/>
        <v>98.599295601826725</v>
      </c>
      <c r="O85" s="70">
        <f>SUM(O86:O93)</f>
        <v>3329.8753999999999</v>
      </c>
      <c r="P85" s="195">
        <f t="shared" si="27"/>
        <v>101.33576491462644</v>
      </c>
      <c r="Q85" s="314">
        <f>SUM(Q86:Q93)</f>
        <v>43.892999999999958</v>
      </c>
      <c r="R85" s="323"/>
      <c r="S85" s="70">
        <f>SUM(S86:S93)</f>
        <v>428</v>
      </c>
      <c r="T85" s="195">
        <f t="shared" si="33"/>
        <v>22.899946495452113</v>
      </c>
    </row>
    <row r="86" spans="1:21" x14ac:dyDescent="0.2">
      <c r="A86" s="109"/>
      <c r="B86" s="29">
        <v>2321</v>
      </c>
      <c r="C86" s="109">
        <v>2199</v>
      </c>
      <c r="D86" s="29"/>
      <c r="E86" s="29" t="s">
        <v>261</v>
      </c>
      <c r="F86" s="69"/>
      <c r="G86" s="69">
        <f>50+1115+75</f>
        <v>1240</v>
      </c>
      <c r="H86" s="69">
        <f t="shared" si="35"/>
        <v>1240</v>
      </c>
      <c r="I86" s="69"/>
      <c r="J86" s="34"/>
      <c r="K86" s="69">
        <f>3+1115+45+50</f>
        <v>1213</v>
      </c>
      <c r="L86" s="34">
        <f t="shared" si="25"/>
        <v>97.822580645161295</v>
      </c>
      <c r="M86" s="69">
        <f>3+1115+75+50</f>
        <v>1243</v>
      </c>
      <c r="N86" s="34">
        <f t="shared" si="26"/>
        <v>100.24193548387098</v>
      </c>
      <c r="O86" s="69">
        <f>50+1115+75</f>
        <v>1240</v>
      </c>
      <c r="P86" s="34">
        <f t="shared" si="27"/>
        <v>100</v>
      </c>
      <c r="Q86" s="238">
        <f t="shared" ref="Q86:Q93" si="37">O86-H86</f>
        <v>0</v>
      </c>
      <c r="R86" s="112"/>
      <c r="S86" s="69"/>
      <c r="T86" s="34"/>
    </row>
    <row r="87" spans="1:21" s="449" customFormat="1" x14ac:dyDescent="0.2">
      <c r="A87" s="109"/>
      <c r="B87" s="29">
        <v>2321</v>
      </c>
      <c r="C87" s="109">
        <v>2212</v>
      </c>
      <c r="D87" s="29">
        <v>204</v>
      </c>
      <c r="E87" s="29" t="s">
        <v>419</v>
      </c>
      <c r="F87" s="69"/>
      <c r="G87" s="69">
        <v>120</v>
      </c>
      <c r="H87" s="69">
        <f t="shared" si="35"/>
        <v>120</v>
      </c>
      <c r="I87" s="69"/>
      <c r="J87" s="34"/>
      <c r="K87" s="69"/>
      <c r="L87" s="34"/>
      <c r="M87" s="69">
        <v>120</v>
      </c>
      <c r="N87" s="34">
        <f t="shared" si="26"/>
        <v>100</v>
      </c>
      <c r="O87" s="69">
        <v>120</v>
      </c>
      <c r="P87" s="34">
        <f t="shared" si="27"/>
        <v>100</v>
      </c>
      <c r="Q87" s="238">
        <f t="shared" si="37"/>
        <v>0</v>
      </c>
      <c r="R87" s="112"/>
      <c r="S87" s="69"/>
      <c r="T87" s="34"/>
    </row>
    <row r="88" spans="1:21" x14ac:dyDescent="0.2">
      <c r="A88" s="109"/>
      <c r="B88" s="29">
        <v>2229</v>
      </c>
      <c r="C88" s="109">
        <v>4355</v>
      </c>
      <c r="D88" s="29"/>
      <c r="E88" s="29" t="s">
        <v>456</v>
      </c>
      <c r="F88" s="69">
        <v>769</v>
      </c>
      <c r="G88" s="69">
        <v>73.382400000000004</v>
      </c>
      <c r="H88" s="69">
        <f t="shared" si="35"/>
        <v>842.38239999999996</v>
      </c>
      <c r="I88" s="69">
        <v>769.21400000000006</v>
      </c>
      <c r="J88" s="34">
        <f t="shared" si="34"/>
        <v>91.314111026061326</v>
      </c>
      <c r="K88" s="69">
        <v>769.21400000000006</v>
      </c>
      <c r="L88" s="34">
        <f t="shared" si="25"/>
        <v>91.314111026061326</v>
      </c>
      <c r="M88" s="69">
        <v>769.21400000000006</v>
      </c>
      <c r="N88" s="34">
        <f t="shared" si="26"/>
        <v>91.314111026061326</v>
      </c>
      <c r="O88" s="69">
        <f>73.3824+769.214</f>
        <v>842.59640000000002</v>
      </c>
      <c r="P88" s="34">
        <f t="shared" si="27"/>
        <v>100.0254041394977</v>
      </c>
      <c r="Q88" s="238">
        <f t="shared" si="37"/>
        <v>0.21400000000005548</v>
      </c>
      <c r="R88" s="112"/>
      <c r="S88" s="69"/>
      <c r="T88" s="34">
        <f t="shared" si="33"/>
        <v>0</v>
      </c>
    </row>
    <row r="89" spans="1:21" s="449" customFormat="1" x14ac:dyDescent="0.2">
      <c r="A89" s="109"/>
      <c r="B89" s="29">
        <v>2324</v>
      </c>
      <c r="C89" s="109">
        <v>3421</v>
      </c>
      <c r="D89" s="29">
        <v>105</v>
      </c>
      <c r="E89" s="29" t="s">
        <v>403</v>
      </c>
      <c r="F89" s="69"/>
      <c r="G89" s="69"/>
      <c r="H89" s="69"/>
      <c r="I89" s="69">
        <v>37.9</v>
      </c>
      <c r="J89" s="34"/>
      <c r="K89" s="69">
        <v>37.9</v>
      </c>
      <c r="L89" s="34"/>
      <c r="M89" s="69">
        <v>37.9</v>
      </c>
      <c r="N89" s="34"/>
      <c r="O89" s="69">
        <v>40.549999999999997</v>
      </c>
      <c r="P89" s="34"/>
      <c r="Q89" s="238">
        <f t="shared" si="37"/>
        <v>40.549999999999997</v>
      </c>
      <c r="R89" s="112"/>
      <c r="S89" s="69"/>
      <c r="T89" s="34"/>
    </row>
    <row r="90" spans="1:21" s="449" customFormat="1" x14ac:dyDescent="0.2">
      <c r="A90" s="109"/>
      <c r="B90" s="29"/>
      <c r="C90" s="109"/>
      <c r="D90" s="29"/>
      <c r="E90" s="29" t="s">
        <v>467</v>
      </c>
      <c r="F90" s="69"/>
      <c r="G90" s="69"/>
      <c r="H90" s="69"/>
      <c r="I90" s="69"/>
      <c r="J90" s="34"/>
      <c r="K90" s="69"/>
      <c r="L90" s="34"/>
      <c r="M90" s="69"/>
      <c r="N90" s="34"/>
      <c r="O90" s="69"/>
      <c r="P90" s="34"/>
      <c r="Q90" s="238"/>
      <c r="R90" s="112"/>
      <c r="S90" s="69">
        <v>28</v>
      </c>
      <c r="T90" s="34"/>
    </row>
    <row r="91" spans="1:21" x14ac:dyDescent="0.2">
      <c r="A91" s="109"/>
      <c r="B91" s="29"/>
      <c r="C91" s="109">
        <v>3613</v>
      </c>
      <c r="D91" s="29">
        <v>305</v>
      </c>
      <c r="E91" s="29" t="s">
        <v>338</v>
      </c>
      <c r="F91" s="69">
        <v>1100</v>
      </c>
      <c r="G91" s="457">
        <v>-50</v>
      </c>
      <c r="H91" s="69">
        <f t="shared" si="35"/>
        <v>1050</v>
      </c>
      <c r="I91" s="69">
        <v>0</v>
      </c>
      <c r="J91" s="34">
        <f t="shared" si="34"/>
        <v>0</v>
      </c>
      <c r="K91" s="69">
        <v>0</v>
      </c>
      <c r="L91" s="34">
        <f t="shared" si="25"/>
        <v>0</v>
      </c>
      <c r="M91" s="69">
        <v>1053.1289999999999</v>
      </c>
      <c r="N91" s="34">
        <f t="shared" si="26"/>
        <v>100.298</v>
      </c>
      <c r="O91" s="69">
        <v>1053.1289999999999</v>
      </c>
      <c r="P91" s="34">
        <f t="shared" si="27"/>
        <v>100.298</v>
      </c>
      <c r="Q91" s="238">
        <f t="shared" si="37"/>
        <v>3.1289999999999054</v>
      </c>
      <c r="R91" s="112"/>
      <c r="S91" s="69">
        <v>400</v>
      </c>
      <c r="T91" s="34">
        <f t="shared" si="33"/>
        <v>36.363636363636367</v>
      </c>
    </row>
    <row r="92" spans="1:21" x14ac:dyDescent="0.2">
      <c r="A92" s="109"/>
      <c r="B92" s="29">
        <v>2324</v>
      </c>
      <c r="C92" s="109">
        <v>5512</v>
      </c>
      <c r="D92" s="29">
        <v>223</v>
      </c>
      <c r="E92" s="29" t="s">
        <v>299</v>
      </c>
      <c r="F92" s="69"/>
      <c r="G92" s="69">
        <v>33.6</v>
      </c>
      <c r="H92" s="69">
        <f t="shared" si="35"/>
        <v>33.6</v>
      </c>
      <c r="I92" s="69"/>
      <c r="J92" s="34"/>
      <c r="K92" s="69">
        <f>11.2</f>
        <v>11.2</v>
      </c>
      <c r="L92" s="34"/>
      <c r="M92" s="69">
        <f>33.6</f>
        <v>33.6</v>
      </c>
      <c r="N92" s="34">
        <f t="shared" si="26"/>
        <v>100</v>
      </c>
      <c r="O92" s="69">
        <f>33.6</f>
        <v>33.6</v>
      </c>
      <c r="P92" s="34">
        <f t="shared" si="27"/>
        <v>100</v>
      </c>
      <c r="Q92" s="238">
        <f t="shared" si="37"/>
        <v>0</v>
      </c>
      <c r="R92" s="112"/>
      <c r="S92" s="69"/>
      <c r="T92" s="34"/>
    </row>
    <row r="93" spans="1:21" x14ac:dyDescent="0.2">
      <c r="A93" s="109"/>
      <c r="B93" s="29">
        <v>2328</v>
      </c>
      <c r="C93" s="109"/>
      <c r="D93" s="29"/>
      <c r="E93" s="29" t="s">
        <v>331</v>
      </c>
      <c r="F93" s="69"/>
      <c r="G93" s="69"/>
      <c r="H93" s="69">
        <f t="shared" si="35"/>
        <v>0</v>
      </c>
      <c r="I93" s="69"/>
      <c r="J93" s="34"/>
      <c r="K93" s="69">
        <v>-1.1200000000000001</v>
      </c>
      <c r="L93" s="34"/>
      <c r="M93" s="69">
        <f>-16.8875</f>
        <v>-16.887499999999999</v>
      </c>
      <c r="N93" s="34"/>
      <c r="O93" s="69"/>
      <c r="P93" s="34"/>
      <c r="Q93" s="238">
        <f t="shared" si="37"/>
        <v>0</v>
      </c>
      <c r="R93" s="112"/>
      <c r="S93" s="69"/>
      <c r="T93" s="34"/>
    </row>
    <row r="94" spans="1:21" x14ac:dyDescent="0.2">
      <c r="A94" s="96" t="s">
        <v>132</v>
      </c>
      <c r="B94" s="29"/>
      <c r="C94" s="109"/>
      <c r="D94" s="29"/>
      <c r="E94" s="29"/>
      <c r="F94" s="70">
        <f>SUM(F95:F95)</f>
        <v>0</v>
      </c>
      <c r="G94" s="70">
        <f>SUM(G95:G95)</f>
        <v>0</v>
      </c>
      <c r="H94" s="70">
        <f>SUM(H95:H95)</f>
        <v>0</v>
      </c>
      <c r="I94" s="70">
        <f>SUM(I95:I95)</f>
        <v>0</v>
      </c>
      <c r="J94" s="31"/>
      <c r="K94" s="70">
        <f>SUM(K95:K95)</f>
        <v>0</v>
      </c>
      <c r="L94" s="31"/>
      <c r="M94" s="70">
        <f>SUM(M95:M95)</f>
        <v>0</v>
      </c>
      <c r="N94" s="195"/>
      <c r="O94" s="70">
        <f>SUM(O95:O95)</f>
        <v>0</v>
      </c>
      <c r="P94" s="195"/>
      <c r="Q94" s="314">
        <f>SUM(Q95:Q95)</f>
        <v>0</v>
      </c>
      <c r="R94" s="219"/>
      <c r="S94" s="70">
        <f>SUM(S95:S95)</f>
        <v>0</v>
      </c>
      <c r="T94" s="195"/>
    </row>
    <row r="95" spans="1:21" ht="13.5" thickBot="1" x14ac:dyDescent="0.25">
      <c r="A95" s="109"/>
      <c r="B95" s="29"/>
      <c r="C95" s="109"/>
      <c r="D95" s="29"/>
      <c r="E95" s="29"/>
      <c r="F95" s="69"/>
      <c r="G95" s="69"/>
      <c r="H95" s="69">
        <f>SUM(F95:G95)</f>
        <v>0</v>
      </c>
      <c r="I95" s="69"/>
      <c r="J95" s="34"/>
      <c r="K95" s="69"/>
      <c r="L95" s="34"/>
      <c r="M95" s="69"/>
      <c r="N95" s="34"/>
      <c r="O95" s="69"/>
      <c r="P95" s="34"/>
      <c r="Q95" s="238">
        <f>O95-H95</f>
        <v>0</v>
      </c>
      <c r="R95" s="442"/>
      <c r="S95" s="69"/>
      <c r="T95" s="34"/>
    </row>
    <row r="96" spans="1:21" ht="16.5" thickBot="1" x14ac:dyDescent="0.3">
      <c r="A96" s="115" t="s">
        <v>45</v>
      </c>
      <c r="B96" s="118"/>
      <c r="C96" s="119"/>
      <c r="D96" s="118"/>
      <c r="E96" s="118"/>
      <c r="F96" s="71">
        <f>SUM(F40+F61+F72+F77+F85+F94)</f>
        <v>26505</v>
      </c>
      <c r="G96" s="71">
        <f>SUM(G40+G61+G72+G77+G85+G94)</f>
        <v>1806.7323999999999</v>
      </c>
      <c r="H96" s="71">
        <f>SUM(H40+H61+H72+H77+H85+H94)</f>
        <v>28311.732400000001</v>
      </c>
      <c r="I96" s="71">
        <f>SUM(I40+I61+I72+I77+I85+I94)</f>
        <v>5953.9765599999992</v>
      </c>
      <c r="J96" s="36">
        <f>I96/$H96*100</f>
        <v>21.030067944552904</v>
      </c>
      <c r="K96" s="71">
        <f>SUM(K40+K61+K72+K77+K85+K94)</f>
        <v>12767.578150000001</v>
      </c>
      <c r="L96" s="36">
        <f>K96/$H96*100</f>
        <v>45.096421404435148</v>
      </c>
      <c r="M96" s="71">
        <f>SUM(M40+M61+M72+M77+M85+M94)</f>
        <v>23030.411830000001</v>
      </c>
      <c r="N96" s="36">
        <f>M96/$H96*100</f>
        <v>81.345823366146249</v>
      </c>
      <c r="O96" s="71">
        <f>SUM(O40+O61+O72+O77+O85+O94)</f>
        <v>28445.589840000001</v>
      </c>
      <c r="P96" s="36">
        <f>O96/$H96*100</f>
        <v>100.47279847841455</v>
      </c>
      <c r="Q96" s="318">
        <f>SUM(Q40+Q61+Q72+Q77+Q85+Q94)</f>
        <v>133.85744000000113</v>
      </c>
      <c r="R96" s="225"/>
      <c r="S96" s="71">
        <f>SUM(S40+S61+S72+S77+S85+S94)</f>
        <v>26774</v>
      </c>
      <c r="T96" s="36">
        <f t="shared" si="33"/>
        <v>101.01490284851916</v>
      </c>
    </row>
    <row r="97" spans="1:31" x14ac:dyDescent="0.2">
      <c r="A97" s="110" t="s">
        <v>150</v>
      </c>
      <c r="B97" s="77"/>
      <c r="C97" s="110"/>
      <c r="D97" s="77"/>
      <c r="E97" s="110" t="s">
        <v>46</v>
      </c>
      <c r="F97" s="76"/>
      <c r="G97" s="76"/>
      <c r="H97" s="76"/>
      <c r="I97" s="76"/>
      <c r="J97" s="30"/>
      <c r="K97" s="76"/>
      <c r="L97" s="30"/>
      <c r="M97" s="76"/>
      <c r="N97" s="30"/>
      <c r="O97" s="76"/>
      <c r="P97" s="30"/>
      <c r="Q97" s="30"/>
      <c r="R97" s="221"/>
      <c r="S97" s="76"/>
      <c r="T97" s="30"/>
    </row>
    <row r="98" spans="1:31" x14ac:dyDescent="0.2">
      <c r="A98" s="96" t="s">
        <v>47</v>
      </c>
      <c r="B98" s="32"/>
      <c r="C98" s="96"/>
      <c r="D98" s="32"/>
      <c r="E98" s="32"/>
      <c r="F98" s="70"/>
      <c r="G98" s="70"/>
      <c r="H98" s="70"/>
      <c r="I98" s="70"/>
      <c r="J98" s="31"/>
      <c r="K98" s="70"/>
      <c r="L98" s="31"/>
      <c r="M98" s="70"/>
      <c r="N98" s="31"/>
      <c r="O98" s="70"/>
      <c r="P98" s="31"/>
      <c r="Q98" s="285"/>
      <c r="R98" s="220"/>
      <c r="S98" s="70"/>
      <c r="T98" s="31"/>
    </row>
    <row r="99" spans="1:31" x14ac:dyDescent="0.2">
      <c r="A99" s="109"/>
      <c r="B99" s="29">
        <v>3111</v>
      </c>
      <c r="C99" s="109">
        <v>2121</v>
      </c>
      <c r="D99" s="29">
        <v>20</v>
      </c>
      <c r="E99" s="29" t="s">
        <v>176</v>
      </c>
      <c r="F99" s="69">
        <v>50</v>
      </c>
      <c r="G99" s="69"/>
      <c r="H99" s="69">
        <f>SUM(F99:G99)</f>
        <v>50</v>
      </c>
      <c r="I99" s="69"/>
      <c r="J99" s="34">
        <f>I99/$H99*100</f>
        <v>0</v>
      </c>
      <c r="K99" s="69">
        <v>6.8259999999999996</v>
      </c>
      <c r="L99" s="34">
        <f>K99/$H99*100</f>
        <v>13.652000000000001</v>
      </c>
      <c r="M99" s="69">
        <v>9.3610000000000007</v>
      </c>
      <c r="N99" s="405">
        <f>M99/$H99*100</f>
        <v>18.722000000000001</v>
      </c>
      <c r="O99" s="69">
        <v>56.253999999999998</v>
      </c>
      <c r="P99" s="34">
        <f>O99/$H99*100</f>
        <v>112.50799999999998</v>
      </c>
      <c r="Q99" s="238">
        <f t="shared" ref="Q99:Q102" si="38">O99-H99</f>
        <v>6.2539999999999978</v>
      </c>
      <c r="R99" s="112"/>
      <c r="S99" s="69">
        <f>850+50</f>
        <v>900</v>
      </c>
      <c r="T99" s="34">
        <f t="shared" si="33"/>
        <v>1800</v>
      </c>
    </row>
    <row r="100" spans="1:31" x14ac:dyDescent="0.2">
      <c r="A100" s="109"/>
      <c r="B100" s="29">
        <v>3111</v>
      </c>
      <c r="C100" s="109">
        <v>3612</v>
      </c>
      <c r="D100" s="29">
        <v>326</v>
      </c>
      <c r="E100" s="29" t="s">
        <v>314</v>
      </c>
      <c r="F100" s="69">
        <f>1239+1558</f>
        <v>2797</v>
      </c>
      <c r="G100" s="457">
        <v>830</v>
      </c>
      <c r="H100" s="69">
        <f>SUM(F100:G100)</f>
        <v>3627</v>
      </c>
      <c r="I100" s="69">
        <f>50+1558.561</f>
        <v>1608.5609999999999</v>
      </c>
      <c r="J100" s="34">
        <f>I100/$H100*100</f>
        <v>44.349627791563272</v>
      </c>
      <c r="K100" s="69">
        <v>1558.5609999999999</v>
      </c>
      <c r="L100" s="34">
        <f>K100/$H100*100</f>
        <v>42.971078025916732</v>
      </c>
      <c r="M100" s="69">
        <v>3669.672</v>
      </c>
      <c r="N100" s="405">
        <f>M100/$H100*100</f>
        <v>101.17650951199337</v>
      </c>
      <c r="O100" s="69">
        <v>3669.672</v>
      </c>
      <c r="P100" s="34">
        <f>O100/$H100*100</f>
        <v>101.17650951199337</v>
      </c>
      <c r="Q100" s="238">
        <f t="shared" si="38"/>
        <v>42.672000000000025</v>
      </c>
      <c r="R100" s="112" t="s">
        <v>469</v>
      </c>
      <c r="S100" s="69">
        <v>0</v>
      </c>
      <c r="T100" s="34">
        <f t="shared" si="33"/>
        <v>0</v>
      </c>
      <c r="AE100" s="113"/>
    </row>
    <row r="101" spans="1:31" x14ac:dyDescent="0.2">
      <c r="A101" s="109"/>
      <c r="B101" s="29">
        <v>3112</v>
      </c>
      <c r="C101" s="109">
        <v>3612</v>
      </c>
      <c r="D101" s="29">
        <v>45</v>
      </c>
      <c r="E101" s="29" t="s">
        <v>177</v>
      </c>
      <c r="F101" s="69">
        <v>4000</v>
      </c>
      <c r="G101" s="457">
        <f>4071+723-4000</f>
        <v>794</v>
      </c>
      <c r="H101" s="69">
        <f>SUM(F101:G101)</f>
        <v>4794</v>
      </c>
      <c r="I101" s="69">
        <v>1750</v>
      </c>
      <c r="J101" s="34">
        <f>I101/$H101*100</f>
        <v>36.503963287442637</v>
      </c>
      <c r="K101" s="69">
        <f>4070+1</f>
        <v>4071</v>
      </c>
      <c r="L101" s="34">
        <f>K101/$H101*100</f>
        <v>84.918648310387994</v>
      </c>
      <c r="M101" s="69">
        <v>6503.45</v>
      </c>
      <c r="N101" s="405">
        <f>M101/$H101*100</f>
        <v>135.65811430955361</v>
      </c>
      <c r="O101" s="69">
        <v>9539.7000000000007</v>
      </c>
      <c r="P101" s="34">
        <f>O101/$H101*100</f>
        <v>198.9924906132666</v>
      </c>
      <c r="Q101" s="238">
        <f t="shared" si="38"/>
        <v>4745.7000000000007</v>
      </c>
      <c r="R101" s="112"/>
      <c r="S101" s="69">
        <f>6815+5000-6815</f>
        <v>5000</v>
      </c>
      <c r="T101" s="34">
        <f t="shared" si="33"/>
        <v>125</v>
      </c>
    </row>
    <row r="102" spans="1:31" ht="13.5" thickBot="1" x14ac:dyDescent="0.25">
      <c r="A102" s="109"/>
      <c r="B102" s="29">
        <v>3112</v>
      </c>
      <c r="C102" s="109">
        <v>3612</v>
      </c>
      <c r="D102" s="29">
        <v>245</v>
      </c>
      <c r="E102" s="29" t="s">
        <v>178</v>
      </c>
      <c r="F102" s="69">
        <v>268</v>
      </c>
      <c r="G102" s="69"/>
      <c r="H102" s="69">
        <f>SUM(F102:G102)</f>
        <v>268</v>
      </c>
      <c r="I102" s="69">
        <v>98.097999999999999</v>
      </c>
      <c r="J102" s="34">
        <f>I102/$H102*100</f>
        <v>36.603731343283577</v>
      </c>
      <c r="K102" s="69">
        <v>171.04499999999999</v>
      </c>
      <c r="L102" s="34">
        <f>K102/$H102*100</f>
        <v>63.822761194029844</v>
      </c>
      <c r="M102" s="69">
        <v>222.56399999999999</v>
      </c>
      <c r="N102" s="34">
        <f>M102/$H102*100</f>
        <v>83.046268656716421</v>
      </c>
      <c r="O102" s="69">
        <v>288.411</v>
      </c>
      <c r="P102" s="34">
        <f>O102/$H102*100</f>
        <v>107.61604477611941</v>
      </c>
      <c r="Q102" s="238">
        <f t="shared" si="38"/>
        <v>20.411000000000001</v>
      </c>
      <c r="R102" s="112" t="s">
        <v>442</v>
      </c>
      <c r="S102" s="69">
        <v>49</v>
      </c>
      <c r="T102" s="34">
        <f t="shared" si="33"/>
        <v>18.28358208955224</v>
      </c>
    </row>
    <row r="103" spans="1:31" ht="15.75" customHeight="1" thickBot="1" x14ac:dyDescent="0.3">
      <c r="A103" s="115" t="s">
        <v>48</v>
      </c>
      <c r="B103" s="118"/>
      <c r="C103" s="119"/>
      <c r="D103" s="118"/>
      <c r="E103" s="118"/>
      <c r="F103" s="71">
        <f>SUM(F99:F102)</f>
        <v>7115</v>
      </c>
      <c r="G103" s="71">
        <f>SUM(G99:G102)</f>
        <v>1624</v>
      </c>
      <c r="H103" s="71">
        <f>SUM(H99:H102)</f>
        <v>8739</v>
      </c>
      <c r="I103" s="71">
        <f>SUM(I99:I102)</f>
        <v>3456.6589999999997</v>
      </c>
      <c r="J103" s="36">
        <f>I103/$H103*100</f>
        <v>39.554399816912692</v>
      </c>
      <c r="K103" s="71">
        <f>SUM(K99:K102)</f>
        <v>5807.4319999999998</v>
      </c>
      <c r="L103" s="36">
        <f>K103/$H103*100</f>
        <v>66.454193843689197</v>
      </c>
      <c r="M103" s="71">
        <f>SUM(M99:M102)</f>
        <v>10405.047</v>
      </c>
      <c r="N103" s="36">
        <f>M103/$H103*100</f>
        <v>119.06450394782013</v>
      </c>
      <c r="O103" s="71">
        <f>SUM(O99:O102)</f>
        <v>13554.037</v>
      </c>
      <c r="P103" s="36">
        <f>O103/$H103*100</f>
        <v>155.09826067055727</v>
      </c>
      <c r="Q103" s="315">
        <f>SUM(Q99:Q102)</f>
        <v>4815.0370000000012</v>
      </c>
      <c r="R103" s="421"/>
      <c r="S103" s="71">
        <f>SUM(S99:S102)</f>
        <v>5949</v>
      </c>
      <c r="T103" s="36">
        <f t="shared" si="33"/>
        <v>83.612087139845386</v>
      </c>
    </row>
    <row r="104" spans="1:31" x14ac:dyDescent="0.2">
      <c r="A104" s="110" t="s">
        <v>49</v>
      </c>
      <c r="B104" s="78"/>
      <c r="C104" s="120"/>
      <c r="D104" s="78"/>
      <c r="E104" s="110" t="s">
        <v>50</v>
      </c>
      <c r="F104" s="72"/>
      <c r="G104" s="72"/>
      <c r="H104" s="76"/>
      <c r="I104" s="72"/>
      <c r="J104" s="37"/>
      <c r="K104" s="72"/>
      <c r="L104" s="37"/>
      <c r="M104" s="72"/>
      <c r="N104" s="37"/>
      <c r="O104" s="72"/>
      <c r="P104" s="37"/>
      <c r="Q104" s="37"/>
      <c r="R104" s="226"/>
      <c r="S104" s="72"/>
      <c r="T104" s="37"/>
    </row>
    <row r="105" spans="1:31" x14ac:dyDescent="0.2">
      <c r="A105" s="96" t="s">
        <v>51</v>
      </c>
      <c r="B105" s="32"/>
      <c r="C105" s="96" t="s">
        <v>300</v>
      </c>
      <c r="D105" s="32" t="s">
        <v>141</v>
      </c>
      <c r="E105" s="32"/>
      <c r="F105" s="70">
        <f>SUM(F106:F140)</f>
        <v>35444</v>
      </c>
      <c r="G105" s="70">
        <f>SUM(G106:G140)</f>
        <v>17849.543659999999</v>
      </c>
      <c r="H105" s="70">
        <f>SUM(H106:H140)</f>
        <v>53293.54366000001</v>
      </c>
      <c r="I105" s="70">
        <f>SUM(I106:I140)</f>
        <v>9278.6214499999987</v>
      </c>
      <c r="J105" s="31">
        <f>I105/$H105*100</f>
        <v>17.410404361915528</v>
      </c>
      <c r="K105" s="70">
        <f>SUM(K106:K140)</f>
        <v>28085.188450000001</v>
      </c>
      <c r="L105" s="31">
        <f>K105/$H105*100</f>
        <v>52.699044802080998</v>
      </c>
      <c r="M105" s="70">
        <f>SUM(M106:M140)</f>
        <v>45200.896180000003</v>
      </c>
      <c r="N105" s="31">
        <f>M105/$H105*100</f>
        <v>84.814957076922582</v>
      </c>
      <c r="O105" s="70">
        <f>SUM(O106:O140)</f>
        <v>53279.617830000017</v>
      </c>
      <c r="P105" s="31">
        <f>O105/$H105*100</f>
        <v>99.973869573979101</v>
      </c>
      <c r="Q105" s="314">
        <f>SUM(Q106:Q140)</f>
        <v>-13.925830000000007</v>
      </c>
      <c r="R105" s="227"/>
      <c r="S105" s="70">
        <f>SUM(S106:S140)</f>
        <v>36767</v>
      </c>
      <c r="T105" s="31">
        <f t="shared" si="33"/>
        <v>103.73264868524996</v>
      </c>
    </row>
    <row r="106" spans="1:31" x14ac:dyDescent="0.2">
      <c r="A106" s="109"/>
      <c r="B106" s="29">
        <v>4112</v>
      </c>
      <c r="C106" s="29"/>
      <c r="D106" s="29"/>
      <c r="E106" s="29" t="s">
        <v>179</v>
      </c>
      <c r="F106" s="34">
        <v>23138.1</v>
      </c>
      <c r="G106" s="69"/>
      <c r="H106" s="69">
        <f t="shared" ref="H106:H142" si="39">SUM(F106:G106)</f>
        <v>23138.1</v>
      </c>
      <c r="I106" s="69">
        <v>5784.5249999999996</v>
      </c>
      <c r="J106" s="34">
        <f>I106/$H106*100</f>
        <v>25</v>
      </c>
      <c r="K106" s="69">
        <v>11569.05</v>
      </c>
      <c r="L106" s="34">
        <f>K106/$H106*100</f>
        <v>50</v>
      </c>
      <c r="M106" s="69">
        <v>17353.575000000001</v>
      </c>
      <c r="N106" s="34">
        <f>M106/$H106*100</f>
        <v>75.000000000000014</v>
      </c>
      <c r="O106" s="69">
        <v>23138.1</v>
      </c>
      <c r="P106" s="34">
        <f>O106/$H106*100</f>
        <v>100</v>
      </c>
      <c r="Q106" s="238">
        <f t="shared" ref="Q106:Q146" si="40">O106-H106</f>
        <v>0</v>
      </c>
      <c r="R106" s="126"/>
      <c r="S106" s="34">
        <v>22602.799999999999</v>
      </c>
      <c r="T106" s="34">
        <f t="shared" si="33"/>
        <v>97.686499755813998</v>
      </c>
      <c r="W106" s="113"/>
    </row>
    <row r="107" spans="1:31" s="449" customFormat="1" x14ac:dyDescent="0.2">
      <c r="A107" s="109"/>
      <c r="B107" s="29"/>
      <c r="C107" s="29"/>
      <c r="D107" s="29"/>
      <c r="E107" s="196" t="s">
        <v>410</v>
      </c>
      <c r="F107" s="34"/>
      <c r="G107" s="459">
        <v>6751.25</v>
      </c>
      <c r="H107" s="69">
        <f t="shared" si="39"/>
        <v>6751.25</v>
      </c>
      <c r="I107" s="69"/>
      <c r="J107" s="34"/>
      <c r="K107" s="69"/>
      <c r="L107" s="34"/>
      <c r="M107" s="69">
        <v>6751.25</v>
      </c>
      <c r="N107" s="34">
        <f t="shared" ref="N107:N135" si="41">M107/$H107*100</f>
        <v>100</v>
      </c>
      <c r="O107" s="69">
        <v>6751.25</v>
      </c>
      <c r="P107" s="34">
        <f t="shared" ref="P107:P138" si="42">O107/$H107*100</f>
        <v>100</v>
      </c>
      <c r="Q107" s="238">
        <f t="shared" si="40"/>
        <v>0</v>
      </c>
      <c r="R107" s="126"/>
      <c r="S107" s="69">
        <v>0</v>
      </c>
      <c r="T107" s="34"/>
      <c r="W107" s="113"/>
    </row>
    <row r="108" spans="1:31" s="449" customFormat="1" x14ac:dyDescent="0.2">
      <c r="A108" s="109"/>
      <c r="B108" s="29">
        <v>4111</v>
      </c>
      <c r="C108" s="29">
        <v>110</v>
      </c>
      <c r="D108" s="29"/>
      <c r="E108" s="196" t="s">
        <v>416</v>
      </c>
      <c r="F108" s="34"/>
      <c r="G108" s="69">
        <v>174</v>
      </c>
      <c r="H108" s="69">
        <f t="shared" si="39"/>
        <v>174</v>
      </c>
      <c r="I108" s="69"/>
      <c r="J108" s="34"/>
      <c r="K108" s="69"/>
      <c r="L108" s="34"/>
      <c r="M108" s="69">
        <v>174</v>
      </c>
      <c r="N108" s="34">
        <f t="shared" si="41"/>
        <v>100</v>
      </c>
      <c r="O108" s="69">
        <v>174</v>
      </c>
      <c r="P108" s="34">
        <f t="shared" si="42"/>
        <v>100</v>
      </c>
      <c r="Q108" s="238">
        <f t="shared" si="40"/>
        <v>0</v>
      </c>
      <c r="R108" s="126"/>
      <c r="S108" s="69"/>
      <c r="T108" s="34"/>
      <c r="W108" s="113"/>
    </row>
    <row r="109" spans="1:31" s="449" customFormat="1" x14ac:dyDescent="0.2">
      <c r="A109" s="109"/>
      <c r="B109" s="29">
        <v>4113</v>
      </c>
      <c r="C109" s="29">
        <v>242</v>
      </c>
      <c r="D109" s="29"/>
      <c r="E109" s="196" t="s">
        <v>418</v>
      </c>
      <c r="F109" s="34"/>
      <c r="G109" s="69">
        <v>83.129000000000005</v>
      </c>
      <c r="H109" s="69">
        <f t="shared" si="39"/>
        <v>83.129000000000005</v>
      </c>
      <c r="I109" s="69"/>
      <c r="J109" s="34"/>
      <c r="K109" s="69"/>
      <c r="L109" s="34"/>
      <c r="M109" s="69">
        <v>83.129000000000005</v>
      </c>
      <c r="N109" s="34">
        <f t="shared" si="41"/>
        <v>100</v>
      </c>
      <c r="O109" s="69">
        <v>83.129000000000005</v>
      </c>
      <c r="P109" s="34">
        <f t="shared" si="42"/>
        <v>100</v>
      </c>
      <c r="Q109" s="238">
        <f t="shared" si="40"/>
        <v>0</v>
      </c>
      <c r="R109" s="126"/>
      <c r="S109" s="69"/>
      <c r="T109" s="34"/>
      <c r="W109" s="113"/>
    </row>
    <row r="110" spans="1:31" x14ac:dyDescent="0.2">
      <c r="A110" s="109"/>
      <c r="B110" s="29">
        <v>4116</v>
      </c>
      <c r="C110" s="29">
        <v>314</v>
      </c>
      <c r="D110" s="236" t="s">
        <v>276</v>
      </c>
      <c r="E110" s="370" t="s">
        <v>311</v>
      </c>
      <c r="F110" s="69">
        <v>3500</v>
      </c>
      <c r="G110" s="69">
        <f>296.287+313</f>
        <v>609.28700000000003</v>
      </c>
      <c r="H110" s="69">
        <f t="shared" si="39"/>
        <v>4109.2870000000003</v>
      </c>
      <c r="I110" s="69">
        <v>0</v>
      </c>
      <c r="J110" s="34">
        <f t="shared" ref="J110:L139" si="43">I110/$H110*100</f>
        <v>0</v>
      </c>
      <c r="K110" s="69">
        <v>1841.6</v>
      </c>
      <c r="L110" s="34">
        <f t="shared" si="43"/>
        <v>44.815560460975341</v>
      </c>
      <c r="M110" s="69">
        <v>4109.2870000000003</v>
      </c>
      <c r="N110" s="34">
        <f t="shared" si="41"/>
        <v>100</v>
      </c>
      <c r="O110" s="69">
        <v>4109.2870000000003</v>
      </c>
      <c r="P110" s="34">
        <f t="shared" si="42"/>
        <v>100</v>
      </c>
      <c r="Q110" s="238">
        <f t="shared" si="40"/>
        <v>0</v>
      </c>
      <c r="R110" s="387"/>
      <c r="S110" s="69">
        <v>3500</v>
      </c>
      <c r="T110" s="34">
        <f t="shared" si="33"/>
        <v>100</v>
      </c>
    </row>
    <row r="111" spans="1:31" x14ac:dyDescent="0.2">
      <c r="A111" s="109"/>
      <c r="B111" s="29">
        <v>4116</v>
      </c>
      <c r="C111" s="29">
        <v>314</v>
      </c>
      <c r="D111" s="236" t="s">
        <v>333</v>
      </c>
      <c r="E111" s="370" t="s">
        <v>287</v>
      </c>
      <c r="F111" s="69">
        <v>530</v>
      </c>
      <c r="G111" s="457">
        <v>-42</v>
      </c>
      <c r="H111" s="69">
        <f t="shared" si="39"/>
        <v>488</v>
      </c>
      <c r="I111" s="69">
        <v>0</v>
      </c>
      <c r="J111" s="34">
        <f t="shared" si="43"/>
        <v>0</v>
      </c>
      <c r="K111" s="69">
        <v>487.98099999999999</v>
      </c>
      <c r="L111" s="34">
        <f t="shared" si="43"/>
        <v>99.996106557377047</v>
      </c>
      <c r="M111" s="69">
        <v>487.98099999999999</v>
      </c>
      <c r="N111" s="34">
        <f t="shared" si="41"/>
        <v>99.996106557377047</v>
      </c>
      <c r="O111" s="69">
        <v>487.98099999999999</v>
      </c>
      <c r="P111" s="34">
        <f t="shared" si="42"/>
        <v>99.996106557377047</v>
      </c>
      <c r="Q111" s="238">
        <f t="shared" si="40"/>
        <v>-1.9000000000005457E-2</v>
      </c>
      <c r="R111" s="126"/>
      <c r="S111" s="69">
        <v>400</v>
      </c>
      <c r="T111" s="34">
        <f t="shared" si="33"/>
        <v>75.471698113207552</v>
      </c>
      <c r="AB111" s="113"/>
    </row>
    <row r="112" spans="1:31" s="449" customFormat="1" x14ac:dyDescent="0.2">
      <c r="A112" s="109"/>
      <c r="B112" s="29" t="s">
        <v>463</v>
      </c>
      <c r="C112" s="29">
        <v>229.31399999999999</v>
      </c>
      <c r="D112" s="236"/>
      <c r="E112" s="370" t="s">
        <v>452</v>
      </c>
      <c r="F112" s="69"/>
      <c r="G112" s="457">
        <f>32.84+49.715</f>
        <v>82.555000000000007</v>
      </c>
      <c r="H112" s="69">
        <f t="shared" si="39"/>
        <v>82.555000000000007</v>
      </c>
      <c r="I112" s="69"/>
      <c r="J112" s="34"/>
      <c r="K112" s="69"/>
      <c r="L112" s="34"/>
      <c r="M112" s="69"/>
      <c r="N112" s="34"/>
      <c r="O112" s="69">
        <f>32.84+49.715</f>
        <v>82.555000000000007</v>
      </c>
      <c r="P112" s="34">
        <f t="shared" si="42"/>
        <v>100</v>
      </c>
      <c r="Q112" s="238">
        <f t="shared" si="40"/>
        <v>0</v>
      </c>
      <c r="R112" s="126"/>
      <c r="S112" s="69"/>
      <c r="T112" s="34"/>
      <c r="AB112" s="113"/>
    </row>
    <row r="113" spans="1:28" x14ac:dyDescent="0.2">
      <c r="A113" s="109"/>
      <c r="B113" s="29">
        <v>4116</v>
      </c>
      <c r="C113" s="29">
        <v>15479</v>
      </c>
      <c r="D113" s="29"/>
      <c r="E113" s="375" t="s">
        <v>361</v>
      </c>
      <c r="F113" s="69">
        <v>903</v>
      </c>
      <c r="G113" s="457">
        <v>-341</v>
      </c>
      <c r="H113" s="69">
        <f t="shared" si="39"/>
        <v>562</v>
      </c>
      <c r="I113" s="69">
        <v>0</v>
      </c>
      <c r="J113" s="34">
        <f t="shared" si="43"/>
        <v>0</v>
      </c>
      <c r="K113" s="69">
        <v>0</v>
      </c>
      <c r="L113" s="34">
        <f t="shared" si="43"/>
        <v>0</v>
      </c>
      <c r="M113" s="69">
        <v>562.12687000000005</v>
      </c>
      <c r="N113" s="34">
        <f t="shared" si="41"/>
        <v>100.02257473309611</v>
      </c>
      <c r="O113" s="69">
        <v>562.12687000000005</v>
      </c>
      <c r="P113" s="34">
        <f t="shared" si="42"/>
        <v>100.02257473309611</v>
      </c>
      <c r="Q113" s="238">
        <f t="shared" si="40"/>
        <v>0.12687000000005355</v>
      </c>
      <c r="R113" s="126"/>
      <c r="S113" s="69">
        <v>340</v>
      </c>
      <c r="T113" s="34">
        <f t="shared" si="33"/>
        <v>37.652270210409746</v>
      </c>
      <c r="AB113" s="113"/>
    </row>
    <row r="114" spans="1:28" x14ac:dyDescent="0.2">
      <c r="A114" s="109"/>
      <c r="B114" s="29">
        <v>4116</v>
      </c>
      <c r="C114" s="29">
        <v>103.102</v>
      </c>
      <c r="D114" s="29"/>
      <c r="E114" s="196" t="s">
        <v>312</v>
      </c>
      <c r="F114" s="69">
        <v>800</v>
      </c>
      <c r="G114" s="457">
        <v>-75</v>
      </c>
      <c r="H114" s="69">
        <f t="shared" si="39"/>
        <v>725</v>
      </c>
      <c r="I114" s="69">
        <v>0</v>
      </c>
      <c r="J114" s="34">
        <f t="shared" si="43"/>
        <v>0</v>
      </c>
      <c r="K114" s="69">
        <v>725</v>
      </c>
      <c r="L114" s="34">
        <f t="shared" si="43"/>
        <v>100</v>
      </c>
      <c r="M114" s="69">
        <v>725</v>
      </c>
      <c r="N114" s="34">
        <f t="shared" si="41"/>
        <v>100</v>
      </c>
      <c r="O114" s="69">
        <v>725</v>
      </c>
      <c r="P114" s="34">
        <f t="shared" si="42"/>
        <v>100</v>
      </c>
      <c r="Q114" s="238">
        <f t="shared" si="40"/>
        <v>0</v>
      </c>
      <c r="R114" s="126"/>
      <c r="S114" s="69">
        <v>800</v>
      </c>
      <c r="T114" s="34">
        <f t="shared" si="33"/>
        <v>100</v>
      </c>
      <c r="AB114" s="113"/>
    </row>
    <row r="115" spans="1:28" x14ac:dyDescent="0.2">
      <c r="A115" s="109"/>
      <c r="B115" s="29">
        <v>4116</v>
      </c>
      <c r="C115" s="29">
        <v>226</v>
      </c>
      <c r="D115" s="29"/>
      <c r="E115" s="375" t="s">
        <v>369</v>
      </c>
      <c r="F115" s="69">
        <v>384</v>
      </c>
      <c r="G115" s="69"/>
      <c r="H115" s="69">
        <f t="shared" si="39"/>
        <v>384</v>
      </c>
      <c r="I115" s="69">
        <v>384.32344999999998</v>
      </c>
      <c r="J115" s="34">
        <f t="shared" si="43"/>
        <v>100.08423177083333</v>
      </c>
      <c r="K115" s="69">
        <v>384.32344999999998</v>
      </c>
      <c r="L115" s="34">
        <f t="shared" si="43"/>
        <v>100.08423177083333</v>
      </c>
      <c r="M115" s="69">
        <v>384.32344999999998</v>
      </c>
      <c r="N115" s="34">
        <f t="shared" si="41"/>
        <v>100.08423177083333</v>
      </c>
      <c r="O115" s="69">
        <v>384.32344999999998</v>
      </c>
      <c r="P115" s="34">
        <f t="shared" si="42"/>
        <v>100.08423177083333</v>
      </c>
      <c r="Q115" s="238">
        <f t="shared" si="40"/>
        <v>0.32344999999997981</v>
      </c>
      <c r="R115" s="126"/>
      <c r="S115" s="69"/>
      <c r="T115" s="34">
        <f t="shared" si="33"/>
        <v>0</v>
      </c>
      <c r="AB115" s="113"/>
    </row>
    <row r="116" spans="1:28" s="449" customFormat="1" x14ac:dyDescent="0.2">
      <c r="A116" s="109"/>
      <c r="B116" s="29">
        <v>4116</v>
      </c>
      <c r="C116" s="29"/>
      <c r="D116" s="29"/>
      <c r="E116" s="375" t="s">
        <v>445</v>
      </c>
      <c r="F116" s="69"/>
      <c r="G116" s="69"/>
      <c r="H116" s="69"/>
      <c r="I116" s="69"/>
      <c r="J116" s="34"/>
      <c r="K116" s="69"/>
      <c r="L116" s="34"/>
      <c r="M116" s="69"/>
      <c r="N116" s="34"/>
      <c r="O116" s="69"/>
      <c r="P116" s="34"/>
      <c r="Q116" s="238">
        <f t="shared" si="40"/>
        <v>0</v>
      </c>
      <c r="R116" s="126"/>
      <c r="S116" s="69">
        <v>609</v>
      </c>
      <c r="T116" s="34"/>
      <c r="AB116" s="113"/>
    </row>
    <row r="117" spans="1:28" s="449" customFormat="1" x14ac:dyDescent="0.2">
      <c r="A117" s="109"/>
      <c r="B117" s="29">
        <v>4116</v>
      </c>
      <c r="C117" s="29"/>
      <c r="D117" s="29"/>
      <c r="E117" s="413" t="s">
        <v>464</v>
      </c>
      <c r="F117" s="69"/>
      <c r="G117" s="69"/>
      <c r="H117" s="69"/>
      <c r="I117" s="69"/>
      <c r="J117" s="34"/>
      <c r="K117" s="69"/>
      <c r="L117" s="34"/>
      <c r="M117" s="69"/>
      <c r="N117" s="34"/>
      <c r="O117" s="69"/>
      <c r="P117" s="34"/>
      <c r="Q117" s="238"/>
      <c r="R117" s="126"/>
      <c r="S117" s="69">
        <v>2735</v>
      </c>
      <c r="T117" s="34"/>
      <c r="AB117" s="113"/>
    </row>
    <row r="118" spans="1:28" s="449" customFormat="1" x14ac:dyDescent="0.2">
      <c r="A118" s="109"/>
      <c r="B118" s="29">
        <v>4116</v>
      </c>
      <c r="C118" s="29">
        <v>223</v>
      </c>
      <c r="D118" s="29"/>
      <c r="E118" s="196" t="s">
        <v>405</v>
      </c>
      <c r="F118" s="69"/>
      <c r="G118" s="69">
        <f>150+42.963</f>
        <v>192.96299999999999</v>
      </c>
      <c r="H118" s="69">
        <f t="shared" si="39"/>
        <v>192.96299999999999</v>
      </c>
      <c r="I118" s="69"/>
      <c r="J118" s="34"/>
      <c r="K118" s="69">
        <v>150</v>
      </c>
      <c r="L118" s="34">
        <f t="shared" si="43"/>
        <v>77.735109839710205</v>
      </c>
      <c r="M118" s="69">
        <v>150</v>
      </c>
      <c r="N118" s="34">
        <f t="shared" si="41"/>
        <v>77.735109839710205</v>
      </c>
      <c r="O118" s="69">
        <v>192.96299999999999</v>
      </c>
      <c r="P118" s="34">
        <f t="shared" si="42"/>
        <v>100</v>
      </c>
      <c r="Q118" s="238">
        <f t="shared" si="40"/>
        <v>0</v>
      </c>
      <c r="R118" s="126"/>
      <c r="S118" s="69"/>
      <c r="T118" s="34"/>
      <c r="AB118" s="113"/>
    </row>
    <row r="119" spans="1:28" s="449" customFormat="1" x14ac:dyDescent="0.2">
      <c r="A119" s="109"/>
      <c r="B119" s="29">
        <v>4116</v>
      </c>
      <c r="C119" s="29">
        <v>201</v>
      </c>
      <c r="D119" s="29"/>
      <c r="E119" s="196" t="s">
        <v>457</v>
      </c>
      <c r="F119" s="69"/>
      <c r="G119" s="69">
        <f>297.804+51.83+235.131</f>
        <v>584.76499999999999</v>
      </c>
      <c r="H119" s="69">
        <f t="shared" si="39"/>
        <v>584.76499999999999</v>
      </c>
      <c r="I119" s="69"/>
      <c r="J119" s="34"/>
      <c r="K119" s="69">
        <f>297.804</f>
        <v>297.80399999999997</v>
      </c>
      <c r="L119" s="34">
        <f t="shared" si="43"/>
        <v>50.927124571409024</v>
      </c>
      <c r="M119" s="69">
        <v>297.80399999999997</v>
      </c>
      <c r="N119" s="34">
        <f t="shared" si="41"/>
        <v>50.927124571409024</v>
      </c>
      <c r="O119" s="69">
        <f>51.83+532.935</f>
        <v>584.76499999999999</v>
      </c>
      <c r="P119" s="34">
        <f t="shared" si="42"/>
        <v>100</v>
      </c>
      <c r="Q119" s="238">
        <f t="shared" si="40"/>
        <v>0</v>
      </c>
      <c r="R119" s="126"/>
      <c r="S119" s="69"/>
      <c r="T119" s="34"/>
      <c r="AB119" s="113"/>
    </row>
    <row r="120" spans="1:28" s="449" customFormat="1" x14ac:dyDescent="0.2">
      <c r="A120" s="109"/>
      <c r="B120" s="29">
        <v>4116</v>
      </c>
      <c r="C120" s="29">
        <v>301</v>
      </c>
      <c r="D120" s="29"/>
      <c r="E120" s="196" t="s">
        <v>455</v>
      </c>
      <c r="F120" s="69"/>
      <c r="G120" s="69">
        <v>508.23899999999998</v>
      </c>
      <c r="H120" s="69">
        <f t="shared" si="39"/>
        <v>508.23899999999998</v>
      </c>
      <c r="I120" s="69"/>
      <c r="J120" s="34"/>
      <c r="K120" s="69"/>
      <c r="L120" s="34"/>
      <c r="M120" s="69"/>
      <c r="N120" s="34"/>
      <c r="O120" s="69">
        <v>508.23899999999998</v>
      </c>
      <c r="P120" s="34">
        <f t="shared" si="42"/>
        <v>100</v>
      </c>
      <c r="Q120" s="238">
        <f t="shared" si="40"/>
        <v>0</v>
      </c>
      <c r="R120" s="126"/>
      <c r="S120" s="69"/>
      <c r="T120" s="34"/>
      <c r="AB120" s="113"/>
    </row>
    <row r="121" spans="1:28" s="449" customFormat="1" x14ac:dyDescent="0.2">
      <c r="A121" s="109"/>
      <c r="B121" s="29">
        <v>4116</v>
      </c>
      <c r="C121" s="29">
        <v>312</v>
      </c>
      <c r="D121" s="29"/>
      <c r="E121" s="196" t="s">
        <v>412</v>
      </c>
      <c r="F121" s="69"/>
      <c r="G121" s="69">
        <f>21.47169+21.17657</f>
        <v>42.648260000000001</v>
      </c>
      <c r="H121" s="69">
        <f t="shared" si="39"/>
        <v>42.648260000000001</v>
      </c>
      <c r="I121" s="69"/>
      <c r="J121" s="34"/>
      <c r="K121" s="69"/>
      <c r="L121" s="34"/>
      <c r="M121" s="69">
        <v>21.471689999999999</v>
      </c>
      <c r="N121" s="34">
        <f t="shared" si="41"/>
        <v>50.345993013548494</v>
      </c>
      <c r="O121" s="69">
        <v>42.648260000000001</v>
      </c>
      <c r="P121" s="34">
        <f t="shared" si="42"/>
        <v>100</v>
      </c>
      <c r="Q121" s="238">
        <f t="shared" si="40"/>
        <v>0</v>
      </c>
      <c r="R121" s="126"/>
      <c r="S121" s="69"/>
      <c r="T121" s="34"/>
    </row>
    <row r="122" spans="1:28" s="449" customFormat="1" x14ac:dyDescent="0.2">
      <c r="A122" s="109"/>
      <c r="B122" s="29">
        <v>4116</v>
      </c>
      <c r="C122" s="29">
        <v>504</v>
      </c>
      <c r="D122" s="29"/>
      <c r="E122" s="196" t="s">
        <v>413</v>
      </c>
      <c r="F122" s="69"/>
      <c r="G122" s="69">
        <v>14</v>
      </c>
      <c r="H122" s="69">
        <f t="shared" si="39"/>
        <v>14</v>
      </c>
      <c r="I122" s="69"/>
      <c r="J122" s="34"/>
      <c r="K122" s="69"/>
      <c r="L122" s="34"/>
      <c r="M122" s="69">
        <v>14</v>
      </c>
      <c r="N122" s="34">
        <f t="shared" si="41"/>
        <v>100</v>
      </c>
      <c r="O122" s="69">
        <v>14</v>
      </c>
      <c r="P122" s="34">
        <f t="shared" si="42"/>
        <v>100</v>
      </c>
      <c r="Q122" s="238">
        <f t="shared" si="40"/>
        <v>0</v>
      </c>
      <c r="R122" s="126"/>
      <c r="S122" s="69"/>
      <c r="T122" s="34"/>
    </row>
    <row r="123" spans="1:28" s="449" customFormat="1" x14ac:dyDescent="0.2">
      <c r="A123" s="109"/>
      <c r="B123" s="29">
        <v>4116</v>
      </c>
      <c r="C123" s="29">
        <v>227</v>
      </c>
      <c r="D123" s="29"/>
      <c r="E123" s="196" t="s">
        <v>422</v>
      </c>
      <c r="F123" s="69"/>
      <c r="G123" s="69">
        <f>233.428+37</f>
        <v>270.428</v>
      </c>
      <c r="H123" s="69">
        <f t="shared" si="39"/>
        <v>270.428</v>
      </c>
      <c r="I123" s="69"/>
      <c r="J123" s="34"/>
      <c r="K123" s="69"/>
      <c r="L123" s="34"/>
      <c r="M123" s="69">
        <v>233.428</v>
      </c>
      <c r="N123" s="34">
        <f t="shared" si="41"/>
        <v>86.31798482405668</v>
      </c>
      <c r="O123" s="69">
        <v>270.428</v>
      </c>
      <c r="P123" s="34">
        <f t="shared" si="42"/>
        <v>100</v>
      </c>
      <c r="Q123" s="238">
        <f t="shared" si="40"/>
        <v>0</v>
      </c>
      <c r="R123" s="126"/>
      <c r="S123" s="69"/>
      <c r="T123" s="34"/>
    </row>
    <row r="124" spans="1:28" s="449" customFormat="1" x14ac:dyDescent="0.2">
      <c r="A124" s="109"/>
      <c r="B124" s="29">
        <v>4116</v>
      </c>
      <c r="C124" s="29">
        <v>307</v>
      </c>
      <c r="D124" s="29"/>
      <c r="E124" s="196" t="s">
        <v>421</v>
      </c>
      <c r="F124" s="69"/>
      <c r="G124" s="69">
        <f>579+113</f>
        <v>692</v>
      </c>
      <c r="H124" s="69">
        <f t="shared" si="39"/>
        <v>692</v>
      </c>
      <c r="I124" s="69"/>
      <c r="J124" s="34"/>
      <c r="K124" s="69"/>
      <c r="L124" s="34"/>
      <c r="M124" s="69">
        <v>579</v>
      </c>
      <c r="N124" s="34">
        <f t="shared" si="41"/>
        <v>83.670520231213871</v>
      </c>
      <c r="O124" s="69">
        <v>692</v>
      </c>
      <c r="P124" s="34">
        <f t="shared" si="42"/>
        <v>100</v>
      </c>
      <c r="Q124" s="238">
        <f t="shared" si="40"/>
        <v>0</v>
      </c>
      <c r="R124" s="126"/>
      <c r="S124" s="69"/>
      <c r="T124" s="34"/>
    </row>
    <row r="125" spans="1:28" x14ac:dyDescent="0.2">
      <c r="A125" s="109"/>
      <c r="B125" s="29">
        <v>4121</v>
      </c>
      <c r="C125" s="29"/>
      <c r="D125" s="29" t="s">
        <v>269</v>
      </c>
      <c r="E125" s="196" t="s">
        <v>251</v>
      </c>
      <c r="F125" s="34">
        <f>500+40+0.9-50</f>
        <v>490.9</v>
      </c>
      <c r="G125" s="69"/>
      <c r="H125" s="69">
        <f t="shared" si="39"/>
        <v>490.9</v>
      </c>
      <c r="I125" s="69">
        <f>4.5+10.5+7.5+1.5+12+4.5+3+4.5+3+1.5+9+9+6+1.5</f>
        <v>78</v>
      </c>
      <c r="J125" s="34">
        <f t="shared" si="43"/>
        <v>15.889183133020982</v>
      </c>
      <c r="K125" s="69">
        <f>18+60</f>
        <v>78</v>
      </c>
      <c r="L125" s="34">
        <f t="shared" si="43"/>
        <v>15.889183133020982</v>
      </c>
      <c r="M125" s="69">
        <f>30+464</f>
        <v>494</v>
      </c>
      <c r="N125" s="34">
        <f t="shared" si="41"/>
        <v>100.63149317579956</v>
      </c>
      <c r="O125" s="69">
        <f>30+464</f>
        <v>494</v>
      </c>
      <c r="P125" s="34">
        <f t="shared" si="42"/>
        <v>100.63149317579956</v>
      </c>
      <c r="Q125" s="238">
        <f t="shared" si="40"/>
        <v>3.1000000000000227</v>
      </c>
      <c r="R125" s="126"/>
      <c r="S125" s="34">
        <f>40+451.2</f>
        <v>491.2</v>
      </c>
      <c r="T125" s="34">
        <f t="shared" si="33"/>
        <v>100.06111224281931</v>
      </c>
      <c r="V125" s="113"/>
      <c r="W125" s="113"/>
      <c r="X125" s="113"/>
    </row>
    <row r="126" spans="1:28" x14ac:dyDescent="0.2">
      <c r="A126" s="109"/>
      <c r="B126" s="29">
        <v>4121</v>
      </c>
      <c r="C126" s="29">
        <v>321</v>
      </c>
      <c r="D126" s="29">
        <v>321</v>
      </c>
      <c r="E126" s="196" t="s">
        <v>183</v>
      </c>
      <c r="F126" s="69">
        <f>60+65</f>
        <v>125</v>
      </c>
      <c r="G126" s="69"/>
      <c r="H126" s="69">
        <f t="shared" si="39"/>
        <v>125</v>
      </c>
      <c r="I126" s="69">
        <f>13.84+21.3</f>
        <v>35.14</v>
      </c>
      <c r="J126" s="34">
        <f t="shared" si="43"/>
        <v>28.111999999999998</v>
      </c>
      <c r="K126" s="69">
        <v>61.515000000000001</v>
      </c>
      <c r="L126" s="34">
        <f t="shared" si="43"/>
        <v>49.212000000000003</v>
      </c>
      <c r="M126" s="69">
        <v>87.784999999999997</v>
      </c>
      <c r="N126" s="34">
        <f t="shared" si="41"/>
        <v>70.228000000000009</v>
      </c>
      <c r="O126" s="69">
        <v>106.55500000000001</v>
      </c>
      <c r="P126" s="34">
        <f t="shared" si="42"/>
        <v>85.244000000000014</v>
      </c>
      <c r="Q126" s="238">
        <f t="shared" si="40"/>
        <v>-18.444999999999993</v>
      </c>
      <c r="R126" s="126" t="s">
        <v>0</v>
      </c>
      <c r="S126" s="69">
        <f>60+65</f>
        <v>125</v>
      </c>
      <c r="T126" s="34">
        <f t="shared" si="33"/>
        <v>100</v>
      </c>
    </row>
    <row r="127" spans="1:28" x14ac:dyDescent="0.2">
      <c r="A127" s="109"/>
      <c r="B127" s="29">
        <v>4121</v>
      </c>
      <c r="C127" s="29">
        <v>225</v>
      </c>
      <c r="D127" s="29"/>
      <c r="E127" s="196" t="s">
        <v>354</v>
      </c>
      <c r="F127" s="69">
        <v>1481</v>
      </c>
      <c r="G127" s="69"/>
      <c r="H127" s="69">
        <f>SUM(F127:G127)</f>
        <v>1481</v>
      </c>
      <c r="I127" s="69">
        <f>148.05+237.6+22.41+171+32.76+54.99+96.21+85.68</f>
        <v>848.7</v>
      </c>
      <c r="J127" s="34">
        <f>I127/$H127*100</f>
        <v>57.305874409182991</v>
      </c>
      <c r="K127" s="69">
        <v>1481.85</v>
      </c>
      <c r="L127" s="34">
        <f t="shared" si="43"/>
        <v>100.05739365293719</v>
      </c>
      <c r="M127" s="69">
        <v>1481.85</v>
      </c>
      <c r="N127" s="34">
        <f t="shared" si="41"/>
        <v>100.05739365293719</v>
      </c>
      <c r="O127" s="69">
        <v>1481.85</v>
      </c>
      <c r="P127" s="34">
        <f t="shared" si="42"/>
        <v>100.05739365293719</v>
      </c>
      <c r="Q127" s="238">
        <f t="shared" si="40"/>
        <v>0.84999999999990905</v>
      </c>
      <c r="R127" s="126" t="s">
        <v>465</v>
      </c>
      <c r="S127" s="69">
        <v>1132</v>
      </c>
      <c r="T127" s="34">
        <f t="shared" si="33"/>
        <v>76.43484132343012</v>
      </c>
    </row>
    <row r="128" spans="1:28" x14ac:dyDescent="0.2">
      <c r="A128" s="109"/>
      <c r="B128" s="29">
        <v>4121</v>
      </c>
      <c r="C128" s="29">
        <v>227</v>
      </c>
      <c r="D128" s="29"/>
      <c r="E128" s="196" t="s">
        <v>356</v>
      </c>
      <c r="F128" s="69">
        <v>408</v>
      </c>
      <c r="G128" s="69"/>
      <c r="H128" s="69">
        <f>SUM(F128:G128)</f>
        <v>408</v>
      </c>
      <c r="I128" s="69">
        <f>11.301+11.028+21.92+16.52+27.729+24.21+48.515+87.273+43.205</f>
        <v>291.70100000000002</v>
      </c>
      <c r="J128" s="34">
        <f>I128/$H128*100</f>
        <v>71.495343137254906</v>
      </c>
      <c r="K128" s="69">
        <v>407.99900000000002</v>
      </c>
      <c r="L128" s="34">
        <f t="shared" si="43"/>
        <v>99.999754901960785</v>
      </c>
      <c r="M128" s="69">
        <v>407.99900000000002</v>
      </c>
      <c r="N128" s="34">
        <f t="shared" si="41"/>
        <v>99.999754901960785</v>
      </c>
      <c r="O128" s="69">
        <v>407.99900000000002</v>
      </c>
      <c r="P128" s="34">
        <f t="shared" si="42"/>
        <v>99.999754901960785</v>
      </c>
      <c r="Q128" s="238">
        <f t="shared" si="40"/>
        <v>-9.9999999997635314E-4</v>
      </c>
      <c r="R128" s="126"/>
      <c r="S128" s="69">
        <v>450</v>
      </c>
      <c r="T128" s="34">
        <f t="shared" si="33"/>
        <v>110.29411764705883</v>
      </c>
    </row>
    <row r="129" spans="1:23" x14ac:dyDescent="0.2">
      <c r="A129" s="109"/>
      <c r="B129" s="29">
        <v>4122</v>
      </c>
      <c r="C129" s="29">
        <v>46</v>
      </c>
      <c r="D129" s="29"/>
      <c r="E129" s="196" t="s">
        <v>370</v>
      </c>
      <c r="F129" s="69">
        <v>120</v>
      </c>
      <c r="G129" s="457">
        <v>-120</v>
      </c>
      <c r="H129" s="69">
        <f t="shared" si="39"/>
        <v>0</v>
      </c>
      <c r="I129" s="69">
        <v>0</v>
      </c>
      <c r="J129" s="34" t="e">
        <f t="shared" si="43"/>
        <v>#DIV/0!</v>
      </c>
      <c r="K129" s="69">
        <v>0</v>
      </c>
      <c r="L129" s="34"/>
      <c r="M129" s="69">
        <v>0</v>
      </c>
      <c r="N129" s="34"/>
      <c r="O129" s="69">
        <v>0</v>
      </c>
      <c r="P129" s="34" t="e">
        <f t="shared" si="42"/>
        <v>#DIV/0!</v>
      </c>
      <c r="Q129" s="238">
        <f t="shared" si="40"/>
        <v>0</v>
      </c>
      <c r="R129" s="126"/>
      <c r="S129" s="69"/>
      <c r="T129" s="34"/>
    </row>
    <row r="130" spans="1:23" s="449" customFormat="1" x14ac:dyDescent="0.2">
      <c r="A130" s="109"/>
      <c r="B130" s="29">
        <v>4122</v>
      </c>
      <c r="C130" s="29">
        <v>103</v>
      </c>
      <c r="D130" s="29"/>
      <c r="E130" s="196" t="s">
        <v>454</v>
      </c>
      <c r="F130" s="69"/>
      <c r="G130" s="457">
        <v>299.99122999999997</v>
      </c>
      <c r="H130" s="69">
        <f t="shared" si="39"/>
        <v>299.99122999999997</v>
      </c>
      <c r="I130" s="69"/>
      <c r="J130" s="34"/>
      <c r="K130" s="69"/>
      <c r="L130" s="34"/>
      <c r="M130" s="69"/>
      <c r="N130" s="34"/>
      <c r="O130" s="69">
        <v>299.99122999999997</v>
      </c>
      <c r="P130" s="34">
        <f t="shared" si="42"/>
        <v>100</v>
      </c>
      <c r="Q130" s="238">
        <f t="shared" si="40"/>
        <v>0</v>
      </c>
      <c r="R130" s="126"/>
      <c r="S130" s="69"/>
      <c r="T130" s="34"/>
    </row>
    <row r="131" spans="1:23" s="449" customFormat="1" x14ac:dyDescent="0.2">
      <c r="A131" s="109"/>
      <c r="B131" s="29">
        <v>4122</v>
      </c>
      <c r="C131" s="29">
        <v>201</v>
      </c>
      <c r="D131" s="29"/>
      <c r="E131" s="196" t="s">
        <v>408</v>
      </c>
      <c r="F131" s="69"/>
      <c r="G131" s="69">
        <v>47.898000000000003</v>
      </c>
      <c r="H131" s="69">
        <f t="shared" si="39"/>
        <v>47.898000000000003</v>
      </c>
      <c r="I131" s="69"/>
      <c r="J131" s="34"/>
      <c r="K131" s="69">
        <v>47.898000000000003</v>
      </c>
      <c r="L131" s="34">
        <f t="shared" si="43"/>
        <v>100</v>
      </c>
      <c r="M131" s="69">
        <v>47.898000000000003</v>
      </c>
      <c r="N131" s="34">
        <f t="shared" si="41"/>
        <v>100</v>
      </c>
      <c r="O131" s="69">
        <v>47.898000000000003</v>
      </c>
      <c r="P131" s="34">
        <f t="shared" si="42"/>
        <v>100</v>
      </c>
      <c r="Q131" s="238">
        <f t="shared" si="40"/>
        <v>0</v>
      </c>
      <c r="R131" s="126"/>
      <c r="S131" s="69"/>
      <c r="T131" s="34"/>
    </row>
    <row r="132" spans="1:23" s="449" customFormat="1" x14ac:dyDescent="0.2">
      <c r="A132" s="109"/>
      <c r="B132" s="29">
        <v>4122</v>
      </c>
      <c r="C132" s="29">
        <v>223</v>
      </c>
      <c r="D132" s="29"/>
      <c r="E132" s="196" t="s">
        <v>420</v>
      </c>
      <c r="F132" s="69"/>
      <c r="G132" s="69">
        <v>30.478169999999999</v>
      </c>
      <c r="H132" s="69">
        <f t="shared" si="39"/>
        <v>30.478169999999999</v>
      </c>
      <c r="I132" s="69"/>
      <c r="J132" s="34"/>
      <c r="K132" s="69"/>
      <c r="L132" s="34"/>
      <c r="M132" s="69">
        <v>30.478169999999999</v>
      </c>
      <c r="N132" s="34">
        <f t="shared" si="41"/>
        <v>100</v>
      </c>
      <c r="O132" s="69">
        <v>30.478169999999999</v>
      </c>
      <c r="P132" s="34">
        <f t="shared" si="42"/>
        <v>100</v>
      </c>
      <c r="Q132" s="238">
        <f t="shared" si="40"/>
        <v>0</v>
      </c>
      <c r="R132" s="126"/>
      <c r="S132" s="69"/>
      <c r="T132" s="34"/>
    </row>
    <row r="133" spans="1:23" s="449" customFormat="1" x14ac:dyDescent="0.2">
      <c r="A133" s="109"/>
      <c r="B133" s="29">
        <v>4122</v>
      </c>
      <c r="C133" s="29">
        <v>230</v>
      </c>
      <c r="D133" s="29"/>
      <c r="E133" s="196" t="s">
        <v>460</v>
      </c>
      <c r="F133" s="69"/>
      <c r="G133" s="69">
        <v>128</v>
      </c>
      <c r="H133" s="69">
        <f t="shared" si="39"/>
        <v>128</v>
      </c>
      <c r="I133" s="69"/>
      <c r="J133" s="34"/>
      <c r="K133" s="69"/>
      <c r="L133" s="34"/>
      <c r="M133" s="69"/>
      <c r="N133" s="34"/>
      <c r="O133" s="69">
        <v>128</v>
      </c>
      <c r="P133" s="34">
        <f t="shared" si="42"/>
        <v>100</v>
      </c>
      <c r="Q133" s="238">
        <f t="shared" si="40"/>
        <v>0</v>
      </c>
      <c r="R133" s="126"/>
      <c r="S133" s="69">
        <v>82</v>
      </c>
      <c r="T133" s="34"/>
    </row>
    <row r="134" spans="1:23" s="449" customFormat="1" x14ac:dyDescent="0.2">
      <c r="A134" s="109"/>
      <c r="B134" s="29">
        <v>4122</v>
      </c>
      <c r="C134" s="29">
        <v>301</v>
      </c>
      <c r="D134" s="29"/>
      <c r="E134" s="196" t="s">
        <v>423</v>
      </c>
      <c r="F134" s="69"/>
      <c r="G134" s="69">
        <f>171.171+1.171</f>
        <v>172.34199999999998</v>
      </c>
      <c r="H134" s="69">
        <f t="shared" si="39"/>
        <v>172.34199999999998</v>
      </c>
      <c r="I134" s="69"/>
      <c r="J134" s="34"/>
      <c r="K134" s="69"/>
      <c r="L134" s="34"/>
      <c r="M134" s="69">
        <f>25.67565+145.49535+1.171</f>
        <v>172.34199999999998</v>
      </c>
      <c r="N134" s="34">
        <f t="shared" si="41"/>
        <v>100</v>
      </c>
      <c r="O134" s="69">
        <v>172.34200000000001</v>
      </c>
      <c r="P134" s="34">
        <f t="shared" si="42"/>
        <v>100.00000000000003</v>
      </c>
      <c r="Q134" s="238">
        <f t="shared" si="40"/>
        <v>0</v>
      </c>
      <c r="R134" s="126"/>
      <c r="S134" s="69"/>
      <c r="T134" s="34"/>
    </row>
    <row r="135" spans="1:23" s="449" customFormat="1" x14ac:dyDescent="0.2">
      <c r="A135" s="109"/>
      <c r="B135" s="29">
        <v>4122</v>
      </c>
      <c r="C135" s="29">
        <v>307</v>
      </c>
      <c r="D135" s="29"/>
      <c r="E135" s="196" t="s">
        <v>404</v>
      </c>
      <c r="F135" s="69"/>
      <c r="G135" s="69">
        <f>1774.404+2827.8+1885.2+1182.936+317+36.17</f>
        <v>8023.5099999999993</v>
      </c>
      <c r="H135" s="69">
        <f t="shared" si="39"/>
        <v>8023.5099999999993</v>
      </c>
      <c r="I135" s="69">
        <v>1774.404</v>
      </c>
      <c r="J135" s="34">
        <f t="shared" si="43"/>
        <v>22.115059369278534</v>
      </c>
      <c r="K135" s="69">
        <f>7670.34</f>
        <v>7670.34</v>
      </c>
      <c r="L135" s="34">
        <f t="shared" si="43"/>
        <v>95.598310465120633</v>
      </c>
      <c r="M135" s="69">
        <v>7670.34</v>
      </c>
      <c r="N135" s="34">
        <f t="shared" si="41"/>
        <v>95.598310465120633</v>
      </c>
      <c r="O135" s="69">
        <v>8023.51</v>
      </c>
      <c r="P135" s="34">
        <f t="shared" si="42"/>
        <v>100.00000000000003</v>
      </c>
      <c r="Q135" s="238">
        <f t="shared" si="40"/>
        <v>0</v>
      </c>
      <c r="R135" s="126"/>
      <c r="S135" s="69"/>
      <c r="T135" s="34"/>
    </row>
    <row r="136" spans="1:23" x14ac:dyDescent="0.2">
      <c r="A136" s="109"/>
      <c r="B136" s="29">
        <v>4122</v>
      </c>
      <c r="C136" s="29">
        <v>249</v>
      </c>
      <c r="D136" s="29"/>
      <c r="E136" s="196" t="s">
        <v>363</v>
      </c>
      <c r="F136" s="69">
        <v>3</v>
      </c>
      <c r="G136" s="69"/>
      <c r="H136" s="69">
        <f t="shared" si="39"/>
        <v>3</v>
      </c>
      <c r="I136" s="69">
        <v>0</v>
      </c>
      <c r="J136" s="34">
        <f t="shared" si="43"/>
        <v>0</v>
      </c>
      <c r="K136" s="69"/>
      <c r="L136" s="34">
        <f t="shared" si="43"/>
        <v>0</v>
      </c>
      <c r="M136" s="69">
        <v>0</v>
      </c>
      <c r="N136" s="34">
        <f t="shared" ref="N136" si="44">M136/$H136*100</f>
        <v>0</v>
      </c>
      <c r="O136" s="69">
        <v>2.3108499999999998</v>
      </c>
      <c r="P136" s="34">
        <f t="shared" si="42"/>
        <v>77.028333333333336</v>
      </c>
      <c r="Q136" s="238">
        <f t="shared" si="40"/>
        <v>-0.68915000000000015</v>
      </c>
      <c r="R136" s="126"/>
      <c r="S136" s="69"/>
      <c r="T136" s="34"/>
    </row>
    <row r="137" spans="1:23" s="449" customFormat="1" x14ac:dyDescent="0.2">
      <c r="A137" s="109"/>
      <c r="B137" s="29">
        <v>4122</v>
      </c>
      <c r="C137" s="29">
        <v>320</v>
      </c>
      <c r="D137" s="29"/>
      <c r="E137" s="196" t="s">
        <v>453</v>
      </c>
      <c r="F137" s="69"/>
      <c r="G137" s="69">
        <v>42.06</v>
      </c>
      <c r="H137" s="69">
        <f t="shared" si="39"/>
        <v>42.06</v>
      </c>
      <c r="I137" s="69"/>
      <c r="J137" s="34"/>
      <c r="K137" s="69"/>
      <c r="L137" s="34"/>
      <c r="M137" s="69"/>
      <c r="N137" s="34"/>
      <c r="O137" s="69">
        <v>42.06</v>
      </c>
      <c r="P137" s="34">
        <f t="shared" si="42"/>
        <v>100</v>
      </c>
      <c r="Q137" s="238">
        <f t="shared" si="40"/>
        <v>0</v>
      </c>
      <c r="R137" s="126"/>
      <c r="S137" s="69"/>
      <c r="T137" s="34"/>
    </row>
    <row r="138" spans="1:23" s="449" customFormat="1" x14ac:dyDescent="0.2">
      <c r="A138" s="109"/>
      <c r="B138" s="29">
        <v>4122</v>
      </c>
      <c r="C138" s="29">
        <v>312</v>
      </c>
      <c r="D138" s="29"/>
      <c r="E138" s="196" t="s">
        <v>459</v>
      </c>
      <c r="F138" s="69"/>
      <c r="G138" s="69">
        <v>38</v>
      </c>
      <c r="H138" s="69">
        <f t="shared" si="39"/>
        <v>38</v>
      </c>
      <c r="I138" s="69"/>
      <c r="J138" s="34"/>
      <c r="K138" s="69"/>
      <c r="L138" s="34"/>
      <c r="M138" s="69"/>
      <c r="N138" s="34"/>
      <c r="O138" s="69">
        <v>38</v>
      </c>
      <c r="P138" s="34">
        <f t="shared" si="42"/>
        <v>100</v>
      </c>
      <c r="Q138" s="238">
        <f t="shared" si="40"/>
        <v>0</v>
      </c>
      <c r="R138" s="126"/>
      <c r="S138" s="69"/>
      <c r="T138" s="34"/>
    </row>
    <row r="139" spans="1:23" x14ac:dyDescent="0.2">
      <c r="A139" s="109"/>
      <c r="B139" s="29">
        <v>4122</v>
      </c>
      <c r="C139" s="29">
        <v>227</v>
      </c>
      <c r="D139" s="29">
        <v>13305</v>
      </c>
      <c r="E139" s="386" t="s">
        <v>301</v>
      </c>
      <c r="F139" s="69">
        <v>3480</v>
      </c>
      <c r="G139" s="457">
        <f>-680+320</f>
        <v>-360</v>
      </c>
      <c r="H139" s="69">
        <f t="shared" si="39"/>
        <v>3120</v>
      </c>
      <c r="I139" s="69">
        <v>0</v>
      </c>
      <c r="J139" s="34">
        <f t="shared" ref="J139:J148" si="45">I139/$H139*100</f>
        <v>0</v>
      </c>
      <c r="K139" s="69">
        <v>2800</v>
      </c>
      <c r="L139" s="34">
        <f t="shared" si="43"/>
        <v>89.743589743589752</v>
      </c>
      <c r="M139" s="69">
        <v>2800</v>
      </c>
      <c r="N139" s="34">
        <f>M139/$H139*100</f>
        <v>89.743589743589752</v>
      </c>
      <c r="O139" s="69">
        <v>3120</v>
      </c>
      <c r="P139" s="34">
        <f>O139/$H139*100</f>
        <v>100</v>
      </c>
      <c r="Q139" s="238">
        <f t="shared" si="40"/>
        <v>0</v>
      </c>
      <c r="R139" s="126"/>
      <c r="S139" s="69">
        <v>3500</v>
      </c>
      <c r="T139" s="34">
        <f t="shared" si="33"/>
        <v>100.57471264367817</v>
      </c>
      <c r="W139" s="389"/>
    </row>
    <row r="140" spans="1:23" ht="13.5" customHeight="1" x14ac:dyDescent="0.2">
      <c r="A140" s="109"/>
      <c r="B140" s="29">
        <v>4132</v>
      </c>
      <c r="C140" s="109"/>
      <c r="D140" s="29"/>
      <c r="E140" s="29" t="s">
        <v>411</v>
      </c>
      <c r="F140" s="69">
        <v>81</v>
      </c>
      <c r="G140" s="69"/>
      <c r="H140" s="69">
        <f t="shared" si="39"/>
        <v>81</v>
      </c>
      <c r="I140" s="69">
        <v>81.828000000000003</v>
      </c>
      <c r="J140" s="34">
        <f t="shared" si="45"/>
        <v>101.02222222222224</v>
      </c>
      <c r="K140" s="69">
        <v>81.828000000000003</v>
      </c>
      <c r="L140" s="34">
        <f t="shared" ref="L140" si="46">K140/$H140*100</f>
        <v>101.02222222222224</v>
      </c>
      <c r="M140" s="69">
        <v>81.828000000000003</v>
      </c>
      <c r="N140" s="34">
        <f>M140/$H140*100</f>
        <v>101.02222222222224</v>
      </c>
      <c r="O140" s="69">
        <v>81.828000000000003</v>
      </c>
      <c r="P140" s="34">
        <f>O140/$H140*100</f>
        <v>101.02222222222224</v>
      </c>
      <c r="Q140" s="238">
        <f t="shared" si="40"/>
        <v>0.82800000000000296</v>
      </c>
      <c r="R140" s="365"/>
      <c r="S140" s="69"/>
      <c r="T140" s="34"/>
    </row>
    <row r="141" spans="1:23" x14ac:dyDescent="0.2">
      <c r="A141" s="96" t="s">
        <v>52</v>
      </c>
      <c r="B141" s="32"/>
      <c r="C141" s="96"/>
      <c r="D141" s="32"/>
      <c r="E141" s="32"/>
      <c r="F141" s="70">
        <f>SUM(F142:F146)</f>
        <v>4579</v>
      </c>
      <c r="G141" s="70">
        <f>SUM(G142:G146)</f>
        <v>545.64436000000001</v>
      </c>
      <c r="H141" s="70">
        <f>SUM(H142:H146)</f>
        <v>5124.6443600000002</v>
      </c>
      <c r="I141" s="70">
        <f>SUM(I146:I146)</f>
        <v>4855.6695900000004</v>
      </c>
      <c r="J141" s="31">
        <f t="shared" si="45"/>
        <v>94.751347584244854</v>
      </c>
      <c r="K141" s="70">
        <f>SUM(K142:K146)</f>
        <v>5079.3139499999997</v>
      </c>
      <c r="L141" s="31">
        <f>K141/$H141*100</f>
        <v>99.115442812894045</v>
      </c>
      <c r="M141" s="70">
        <f>SUM(M142:M146)</f>
        <v>5125.3139499999997</v>
      </c>
      <c r="N141" s="31">
        <f>M141/$H141*100</f>
        <v>100.01306607742823</v>
      </c>
      <c r="O141" s="70">
        <f>SUM(O142:O146)</f>
        <v>5125.3139499999997</v>
      </c>
      <c r="P141" s="31">
        <f>O141/$H141*100</f>
        <v>100.01306607742823</v>
      </c>
      <c r="Q141" s="314">
        <f>SUM(Q142:Q146)</f>
        <v>0.66958999999951629</v>
      </c>
      <c r="R141" s="112"/>
      <c r="S141" s="70">
        <f>SUM(S142:S146)</f>
        <v>15539</v>
      </c>
      <c r="T141" s="31">
        <f t="shared" si="33"/>
        <v>339.35357064861324</v>
      </c>
    </row>
    <row r="142" spans="1:23" s="449" customFormat="1" x14ac:dyDescent="0.2">
      <c r="A142" s="96"/>
      <c r="B142" s="33">
        <v>4216</v>
      </c>
      <c r="C142" s="33">
        <v>504</v>
      </c>
      <c r="D142" s="33"/>
      <c r="E142" s="343" t="s">
        <v>414</v>
      </c>
      <c r="F142" s="362"/>
      <c r="G142" s="362">
        <v>46</v>
      </c>
      <c r="H142" s="362">
        <f t="shared" si="39"/>
        <v>46</v>
      </c>
      <c r="I142" s="362"/>
      <c r="J142" s="458"/>
      <c r="K142" s="362"/>
      <c r="L142" s="458"/>
      <c r="M142" s="362">
        <v>46</v>
      </c>
      <c r="N142" s="34">
        <f t="shared" ref="N142:N146" si="47">M142/$H142*100</f>
        <v>100</v>
      </c>
      <c r="O142" s="362">
        <v>46</v>
      </c>
      <c r="P142" s="34">
        <f t="shared" ref="P142:P146" si="48">O142/$H142*100</f>
        <v>100</v>
      </c>
      <c r="Q142" s="238">
        <f t="shared" si="40"/>
        <v>0</v>
      </c>
      <c r="R142" s="126"/>
      <c r="S142" s="70"/>
      <c r="T142" s="31"/>
    </row>
    <row r="143" spans="1:23" s="449" customFormat="1" x14ac:dyDescent="0.2">
      <c r="A143" s="96"/>
      <c r="B143" s="33">
        <v>4216</v>
      </c>
      <c r="C143" s="33"/>
      <c r="D143" s="33"/>
      <c r="E143" s="413" t="s">
        <v>440</v>
      </c>
      <c r="F143" s="362"/>
      <c r="G143" s="362"/>
      <c r="H143" s="362"/>
      <c r="I143" s="362"/>
      <c r="J143" s="458"/>
      <c r="K143" s="362"/>
      <c r="L143" s="458"/>
      <c r="M143" s="362"/>
      <c r="N143" s="34"/>
      <c r="O143" s="70"/>
      <c r="P143" s="34"/>
      <c r="Q143" s="238">
        <f t="shared" si="40"/>
        <v>0</v>
      </c>
      <c r="R143" s="126"/>
      <c r="S143" s="362">
        <v>11170</v>
      </c>
      <c r="T143" s="31"/>
    </row>
    <row r="144" spans="1:23" s="449" customFormat="1" x14ac:dyDescent="0.2">
      <c r="A144" s="96"/>
      <c r="B144" s="33">
        <v>4216</v>
      </c>
      <c r="C144" s="33">
        <v>280</v>
      </c>
      <c r="D144" s="33"/>
      <c r="E144" s="413" t="s">
        <v>427</v>
      </c>
      <c r="F144" s="362"/>
      <c r="G144" s="362"/>
      <c r="H144" s="362"/>
      <c r="I144" s="362"/>
      <c r="J144" s="458"/>
      <c r="K144" s="362"/>
      <c r="L144" s="458"/>
      <c r="M144" s="362"/>
      <c r="N144" s="34"/>
      <c r="O144" s="70"/>
      <c r="P144" s="34"/>
      <c r="Q144" s="238">
        <f t="shared" si="40"/>
        <v>0</v>
      </c>
      <c r="R144" s="126"/>
      <c r="S144" s="362">
        <v>656</v>
      </c>
      <c r="T144" s="31"/>
    </row>
    <row r="145" spans="1:21" s="449" customFormat="1" x14ac:dyDescent="0.2">
      <c r="A145" s="96"/>
      <c r="B145" s="33">
        <v>4216</v>
      </c>
      <c r="C145" s="33">
        <v>324</v>
      </c>
      <c r="D145" s="33"/>
      <c r="E145" s="413" t="s">
        <v>430</v>
      </c>
      <c r="F145" s="362"/>
      <c r="G145" s="362"/>
      <c r="H145" s="362"/>
      <c r="I145" s="362"/>
      <c r="J145" s="458"/>
      <c r="K145" s="362"/>
      <c r="L145" s="458"/>
      <c r="M145" s="362"/>
      <c r="N145" s="34"/>
      <c r="O145" s="70"/>
      <c r="P145" s="34"/>
      <c r="Q145" s="238">
        <f t="shared" si="40"/>
        <v>0</v>
      </c>
      <c r="R145" s="126"/>
      <c r="S145" s="362">
        <v>3713</v>
      </c>
      <c r="T145" s="31"/>
    </row>
    <row r="146" spans="1:21" ht="13.5" thickBot="1" x14ac:dyDescent="0.25">
      <c r="A146" s="96"/>
      <c r="B146" s="33">
        <v>4216</v>
      </c>
      <c r="C146" s="33">
        <v>226</v>
      </c>
      <c r="D146" s="32"/>
      <c r="E146" s="375" t="s">
        <v>360</v>
      </c>
      <c r="F146" s="362">
        <f>5079-500</f>
        <v>4579</v>
      </c>
      <c r="G146" s="362">
        <f>276+223.64436</f>
        <v>499.64436000000001</v>
      </c>
      <c r="H146" s="69">
        <f>SUM(F146:G146)</f>
        <v>5078.6443600000002</v>
      </c>
      <c r="I146" s="362">
        <v>4855.6695900000004</v>
      </c>
      <c r="J146" s="34">
        <f t="shared" si="45"/>
        <v>95.609561249136178</v>
      </c>
      <c r="K146" s="69">
        <v>5079.3139499999997</v>
      </c>
      <c r="L146" s="34">
        <f t="shared" ref="L146" si="49">K146/$H146*100</f>
        <v>100.01318442388431</v>
      </c>
      <c r="M146" s="69">
        <v>5079.3139499999997</v>
      </c>
      <c r="N146" s="34">
        <f t="shared" si="47"/>
        <v>100.01318442388431</v>
      </c>
      <c r="O146" s="69">
        <v>5079.3139499999997</v>
      </c>
      <c r="P146" s="34">
        <f t="shared" si="48"/>
        <v>100.01318442388431</v>
      </c>
      <c r="Q146" s="238">
        <f t="shared" si="40"/>
        <v>0.66958999999951629</v>
      </c>
      <c r="R146" s="126"/>
      <c r="S146" s="362"/>
      <c r="T146" s="34">
        <f t="shared" ref="T146:T157" si="50">S146/$F146*100</f>
        <v>0</v>
      </c>
      <c r="U146" s="113"/>
    </row>
    <row r="147" spans="1:21" ht="14.25" customHeight="1" thickBot="1" x14ac:dyDescent="0.3">
      <c r="A147" s="115" t="s">
        <v>53</v>
      </c>
      <c r="B147" s="118"/>
      <c r="C147" s="119"/>
      <c r="D147" s="118"/>
      <c r="E147" s="118"/>
      <c r="F147" s="121">
        <f>SUM(F105+F141)</f>
        <v>40023</v>
      </c>
      <c r="G147" s="121">
        <f>SUM(G105+G141)</f>
        <v>18395.188019999998</v>
      </c>
      <c r="H147" s="121">
        <f>SUM(H105+H141)</f>
        <v>58418.188020000009</v>
      </c>
      <c r="I147" s="121">
        <f>SUM(I105+I141)</f>
        <v>14134.29104</v>
      </c>
      <c r="J147" s="36">
        <f t="shared" si="45"/>
        <v>24.195017885801239</v>
      </c>
      <c r="K147" s="121">
        <f>SUM(K105+K141)</f>
        <v>33164.502399999998</v>
      </c>
      <c r="L147" s="36">
        <f>K147/$H147*100</f>
        <v>56.770850866935177</v>
      </c>
      <c r="M147" s="121">
        <f>SUM(M105+M141)</f>
        <v>50326.210130000007</v>
      </c>
      <c r="N147" s="36">
        <f>M147/$H147*100</f>
        <v>86.148187466496495</v>
      </c>
      <c r="O147" s="121">
        <f>SUM(O105+O141)</f>
        <v>58404.931780000014</v>
      </c>
      <c r="P147" s="36">
        <f>O147/$H147*100</f>
        <v>99.977308026062957</v>
      </c>
      <c r="Q147" s="315">
        <f>SUM(Q105+Q141)</f>
        <v>-13.25624000000049</v>
      </c>
      <c r="R147" s="121"/>
      <c r="S147" s="121">
        <f>SUM(S105+S141)</f>
        <v>52306</v>
      </c>
      <c r="T147" s="36">
        <f t="shared" si="50"/>
        <v>130.68985333433275</v>
      </c>
    </row>
    <row r="148" spans="1:21" ht="15.75" x14ac:dyDescent="0.25">
      <c r="A148" s="39" t="s">
        <v>11</v>
      </c>
      <c r="B148" s="40"/>
      <c r="C148" s="41"/>
      <c r="D148" s="41"/>
      <c r="E148" s="42"/>
      <c r="F148" s="127">
        <f>SUM(F37+F96+F103+F147)</f>
        <v>176463</v>
      </c>
      <c r="G148" s="127">
        <f>SUM(G37+G96+G103+G147)</f>
        <v>1445.9204199999986</v>
      </c>
      <c r="H148" s="127">
        <f>SUM(H37+H96+H103+H147)</f>
        <v>177908.92042000001</v>
      </c>
      <c r="I148" s="127">
        <f>SUM(I37+I96+I103+I147)</f>
        <v>53692.923049999998</v>
      </c>
      <c r="J148" s="385">
        <f t="shared" si="45"/>
        <v>30.180006108318779</v>
      </c>
      <c r="K148" s="127">
        <f>SUM(K37+K96+K103+K147)</f>
        <v>100361.39994999999</v>
      </c>
      <c r="L148" s="127">
        <f>K148/$H148*100</f>
        <v>56.41167385708988</v>
      </c>
      <c r="M148" s="127">
        <f>SUM(M37+M96+M103+M147)</f>
        <v>156313.79092</v>
      </c>
      <c r="N148" s="385">
        <f>M148/$H148*100</f>
        <v>87.861693809945493</v>
      </c>
      <c r="O148" s="127">
        <f>SUM(O37+O96+O103+O147)</f>
        <v>198010.30631000001</v>
      </c>
      <c r="P148" s="127">
        <f>O148/$H148*100</f>
        <v>111.29869477176608</v>
      </c>
      <c r="Q148" s="482">
        <f>SUM(Q37+Q96+Q103+Q147)</f>
        <v>20101.385890000005</v>
      </c>
      <c r="R148" s="228"/>
      <c r="S148" s="127">
        <f>SUM(S37+S96+S103+S147)</f>
        <v>172673</v>
      </c>
      <c r="T148" s="385">
        <f t="shared" si="50"/>
        <v>97.852240979695466</v>
      </c>
    </row>
    <row r="149" spans="1:21" ht="24" customHeight="1" thickBot="1" x14ac:dyDescent="0.25">
      <c r="A149" s="106"/>
      <c r="B149" s="23"/>
      <c r="C149" s="106"/>
      <c r="D149" s="23"/>
      <c r="E149" s="23"/>
      <c r="F149" s="149"/>
      <c r="G149" s="149"/>
      <c r="H149" s="149"/>
      <c r="I149" s="149"/>
      <c r="J149" s="108"/>
      <c r="K149" s="149"/>
      <c r="L149" s="108"/>
      <c r="M149" s="149"/>
      <c r="N149" s="108"/>
      <c r="O149" s="149"/>
      <c r="P149" s="108"/>
      <c r="Q149" s="316"/>
      <c r="R149" s="216"/>
      <c r="S149" s="149"/>
      <c r="T149" s="108"/>
    </row>
    <row r="150" spans="1:21" ht="13.5" thickBot="1" x14ac:dyDescent="0.25">
      <c r="A150" s="43"/>
      <c r="B150" s="44"/>
      <c r="C150" s="43"/>
      <c r="D150" s="44"/>
      <c r="E150" s="45"/>
      <c r="F150" s="388" t="s">
        <v>347</v>
      </c>
      <c r="G150" s="388" t="str">
        <f>G3</f>
        <v>Změna</v>
      </c>
      <c r="H150" s="150" t="s">
        <v>99</v>
      </c>
      <c r="I150" s="388" t="str">
        <f>I3</f>
        <v>1.Q.2020</v>
      </c>
      <c r="J150" s="363" t="s">
        <v>4</v>
      </c>
      <c r="K150" s="388" t="str">
        <f>K3</f>
        <v>2.Q.2020</v>
      </c>
      <c r="L150" s="363" t="s">
        <v>4</v>
      </c>
      <c r="M150" s="388" t="str">
        <f>M3</f>
        <v>3.Q.2020</v>
      </c>
      <c r="N150" s="363" t="s">
        <v>4</v>
      </c>
      <c r="O150" s="488" t="str">
        <f>O3</f>
        <v>4.Q.2020</v>
      </c>
      <c r="P150" s="371" t="s">
        <v>4</v>
      </c>
      <c r="Q150" s="240" t="s">
        <v>90</v>
      </c>
      <c r="R150" s="229"/>
      <c r="S150" s="150" t="s">
        <v>425</v>
      </c>
      <c r="T150" s="150" t="s">
        <v>426</v>
      </c>
    </row>
    <row r="151" spans="1:21" x14ac:dyDescent="0.2">
      <c r="A151" s="43" t="s">
        <v>54</v>
      </c>
      <c r="B151" s="23"/>
      <c r="C151" s="106"/>
      <c r="D151" s="23"/>
      <c r="E151" s="62" t="s">
        <v>55</v>
      </c>
      <c r="F151" s="329">
        <f>F37</f>
        <v>102820</v>
      </c>
      <c r="G151" s="329">
        <f>G37</f>
        <v>-20380</v>
      </c>
      <c r="H151" s="329">
        <f>H37</f>
        <v>82440</v>
      </c>
      <c r="I151" s="329">
        <f>I37</f>
        <v>30147.996449999999</v>
      </c>
      <c r="J151" s="38">
        <f t="shared" ref="J151:J157" si="51">I151/$H151*100</f>
        <v>36.569622088791846</v>
      </c>
      <c r="K151" s="329">
        <f>K37</f>
        <v>48621.8874</v>
      </c>
      <c r="L151" s="38">
        <f t="shared" ref="L151:L157" si="52">K151/$H151*100</f>
        <v>58.978514556040764</v>
      </c>
      <c r="M151" s="329">
        <f>M37</f>
        <v>72552.121960000004</v>
      </c>
      <c r="N151" s="346">
        <f t="shared" ref="N151:N157" si="53">M151/$H151*100</f>
        <v>88.00597035419699</v>
      </c>
      <c r="O151" s="329">
        <f>O37</f>
        <v>97605.747689999989</v>
      </c>
      <c r="P151" s="346">
        <f t="shared" ref="P151:P157" si="54">O151/$H151*100</f>
        <v>118.39610345705967</v>
      </c>
      <c r="Q151" s="238">
        <f>Q37</f>
        <v>15165.74769</v>
      </c>
      <c r="R151" s="230"/>
      <c r="S151" s="329">
        <f>S37</f>
        <v>87644</v>
      </c>
      <c r="T151" s="346">
        <f t="shared" si="50"/>
        <v>85.240225637035593</v>
      </c>
    </row>
    <row r="152" spans="1:21" x14ac:dyDescent="0.2">
      <c r="A152" s="106"/>
      <c r="B152" s="23"/>
      <c r="C152" s="106"/>
      <c r="D152" s="23"/>
      <c r="E152" s="62" t="s">
        <v>56</v>
      </c>
      <c r="F152" s="329">
        <f>F96</f>
        <v>26505</v>
      </c>
      <c r="G152" s="329">
        <f>G96</f>
        <v>1806.7323999999999</v>
      </c>
      <c r="H152" s="46">
        <f>H96</f>
        <v>28311.732400000001</v>
      </c>
      <c r="I152" s="329">
        <f>I96</f>
        <v>5953.9765599999992</v>
      </c>
      <c r="J152" s="38">
        <f t="shared" si="51"/>
        <v>21.030067944552904</v>
      </c>
      <c r="K152" s="329">
        <f>K96</f>
        <v>12767.578150000001</v>
      </c>
      <c r="L152" s="38">
        <f t="shared" si="52"/>
        <v>45.096421404435148</v>
      </c>
      <c r="M152" s="329">
        <f>M96</f>
        <v>23030.411830000001</v>
      </c>
      <c r="N152" s="346">
        <f t="shared" si="53"/>
        <v>81.345823366146249</v>
      </c>
      <c r="O152" s="329">
        <f>O96</f>
        <v>28445.589840000001</v>
      </c>
      <c r="P152" s="346">
        <f t="shared" si="54"/>
        <v>100.47279847841455</v>
      </c>
      <c r="Q152" s="238">
        <f>Q96</f>
        <v>133.85744000000113</v>
      </c>
      <c r="R152" s="231"/>
      <c r="S152" s="329">
        <f>S96</f>
        <v>26774</v>
      </c>
      <c r="T152" s="346">
        <f t="shared" si="50"/>
        <v>101.01490284851916</v>
      </c>
    </row>
    <row r="153" spans="1:21" x14ac:dyDescent="0.2">
      <c r="A153" s="106"/>
      <c r="B153" s="23"/>
      <c r="C153" s="106"/>
      <c r="D153" s="23"/>
      <c r="E153" s="62" t="s">
        <v>57</v>
      </c>
      <c r="F153" s="147">
        <f>F105</f>
        <v>35444</v>
      </c>
      <c r="G153" s="147">
        <f>G105</f>
        <v>17849.543659999999</v>
      </c>
      <c r="H153" s="147">
        <f>H105</f>
        <v>53293.54366000001</v>
      </c>
      <c r="I153" s="147">
        <f>I105</f>
        <v>9278.6214499999987</v>
      </c>
      <c r="J153" s="38">
        <f t="shared" si="51"/>
        <v>17.410404361915528</v>
      </c>
      <c r="K153" s="147">
        <f>K105</f>
        <v>28085.188450000001</v>
      </c>
      <c r="L153" s="38">
        <f t="shared" si="52"/>
        <v>52.699044802080998</v>
      </c>
      <c r="M153" s="147">
        <f>M105</f>
        <v>45200.896180000003</v>
      </c>
      <c r="N153" s="346">
        <f t="shared" si="53"/>
        <v>84.814957076922582</v>
      </c>
      <c r="O153" s="147">
        <f>O105</f>
        <v>53279.617830000017</v>
      </c>
      <c r="P153" s="346">
        <f t="shared" si="54"/>
        <v>99.973869573979101</v>
      </c>
      <c r="Q153" s="238">
        <f>Q105</f>
        <v>-13.925830000000007</v>
      </c>
      <c r="R153" s="322"/>
      <c r="S153" s="147">
        <f>S105</f>
        <v>36767</v>
      </c>
      <c r="T153" s="346">
        <f t="shared" si="50"/>
        <v>103.73264868524996</v>
      </c>
    </row>
    <row r="154" spans="1:21" x14ac:dyDescent="0.2">
      <c r="A154" s="106"/>
      <c r="B154" s="23"/>
      <c r="C154" s="106"/>
      <c r="D154" s="23"/>
      <c r="E154" s="122" t="s">
        <v>58</v>
      </c>
      <c r="F154" s="169">
        <f>SUM(F151:F153)</f>
        <v>164769</v>
      </c>
      <c r="G154" s="169">
        <f>SUM(G151:G153)</f>
        <v>-723.72393999999986</v>
      </c>
      <c r="H154" s="169">
        <f>SUM(H151:H153)</f>
        <v>164045.27606</v>
      </c>
      <c r="I154" s="169">
        <f>SUM(I151:I153)</f>
        <v>45380.59446</v>
      </c>
      <c r="J154" s="197">
        <f t="shared" si="51"/>
        <v>27.663457034509136</v>
      </c>
      <c r="K154" s="169">
        <f>SUM(K151:K153)</f>
        <v>89474.65400000001</v>
      </c>
      <c r="L154" s="197">
        <f t="shared" si="52"/>
        <v>54.542658069150626</v>
      </c>
      <c r="M154" s="169">
        <f>SUM(M151:M153)</f>
        <v>140783.42997</v>
      </c>
      <c r="N154" s="347">
        <f t="shared" si="53"/>
        <v>85.8198622668708</v>
      </c>
      <c r="O154" s="169">
        <f>SUM(O151:O153)</f>
        <v>179330.95536000002</v>
      </c>
      <c r="P154" s="347">
        <f t="shared" si="54"/>
        <v>109.31796371533993</v>
      </c>
      <c r="Q154" s="314">
        <f>SUM(Q151:Q153)</f>
        <v>15285.679300000002</v>
      </c>
      <c r="R154" s="232"/>
      <c r="S154" s="169">
        <f>SUM(S151:S153)</f>
        <v>151185</v>
      </c>
      <c r="T154" s="347">
        <f t="shared" si="50"/>
        <v>91.755730750323181</v>
      </c>
    </row>
    <row r="155" spans="1:21" x14ac:dyDescent="0.2">
      <c r="A155" s="106"/>
      <c r="B155" s="23"/>
      <c r="C155" s="106"/>
      <c r="D155" s="23"/>
      <c r="E155" s="62" t="s">
        <v>59</v>
      </c>
      <c r="F155" s="148">
        <f>F103</f>
        <v>7115</v>
      </c>
      <c r="G155" s="148">
        <f>G103</f>
        <v>1624</v>
      </c>
      <c r="H155" s="148">
        <f>H103</f>
        <v>8739</v>
      </c>
      <c r="I155" s="148">
        <f>I103</f>
        <v>3456.6589999999997</v>
      </c>
      <c r="J155" s="38">
        <f t="shared" si="51"/>
        <v>39.554399816912692</v>
      </c>
      <c r="K155" s="148">
        <f>K103</f>
        <v>5807.4319999999998</v>
      </c>
      <c r="L155" s="38">
        <f t="shared" si="52"/>
        <v>66.454193843689197</v>
      </c>
      <c r="M155" s="148">
        <f>M103</f>
        <v>10405.047</v>
      </c>
      <c r="N155" s="346">
        <f t="shared" si="53"/>
        <v>119.06450394782013</v>
      </c>
      <c r="O155" s="148">
        <f>O103</f>
        <v>13554.037</v>
      </c>
      <c r="P155" s="346">
        <f t="shared" si="54"/>
        <v>155.09826067055727</v>
      </c>
      <c r="Q155" s="238">
        <f>Q103</f>
        <v>4815.0370000000012</v>
      </c>
      <c r="R155" s="230" t="s">
        <v>1</v>
      </c>
      <c r="S155" s="148">
        <f>S103</f>
        <v>5949</v>
      </c>
      <c r="T155" s="346">
        <f t="shared" si="50"/>
        <v>83.612087139845386</v>
      </c>
    </row>
    <row r="156" spans="1:21" x14ac:dyDescent="0.2">
      <c r="A156" s="106"/>
      <c r="B156" s="23"/>
      <c r="C156" s="106"/>
      <c r="D156" s="23"/>
      <c r="E156" s="62" t="s">
        <v>60</v>
      </c>
      <c r="F156" s="148">
        <f>F141</f>
        <v>4579</v>
      </c>
      <c r="G156" s="148">
        <f>G141</f>
        <v>545.64436000000001</v>
      </c>
      <c r="H156" s="148">
        <f>H141</f>
        <v>5124.6443600000002</v>
      </c>
      <c r="I156" s="148">
        <f>I141</f>
        <v>4855.6695900000004</v>
      </c>
      <c r="J156" s="38">
        <f t="shared" si="51"/>
        <v>94.751347584244854</v>
      </c>
      <c r="K156" s="148">
        <f>K141</f>
        <v>5079.3139499999997</v>
      </c>
      <c r="L156" s="38">
        <f t="shared" si="52"/>
        <v>99.115442812894045</v>
      </c>
      <c r="M156" s="148">
        <f>M141</f>
        <v>5125.3139499999997</v>
      </c>
      <c r="N156" s="346">
        <f t="shared" si="53"/>
        <v>100.01306607742823</v>
      </c>
      <c r="O156" s="148">
        <f>O141</f>
        <v>5125.3139499999997</v>
      </c>
      <c r="P156" s="346">
        <f t="shared" si="54"/>
        <v>100.01306607742823</v>
      </c>
      <c r="Q156" s="238">
        <f>Q141</f>
        <v>0.66958999999951629</v>
      </c>
      <c r="R156" s="230"/>
      <c r="S156" s="148">
        <f>S141</f>
        <v>15539</v>
      </c>
      <c r="T156" s="346">
        <f t="shared" si="50"/>
        <v>339.35357064861324</v>
      </c>
    </row>
    <row r="157" spans="1:21" ht="13.5" thickBot="1" x14ac:dyDescent="0.25">
      <c r="A157" s="123"/>
      <c r="B157" s="23"/>
      <c r="C157" s="106"/>
      <c r="D157" s="23"/>
      <c r="E157" s="124" t="s">
        <v>61</v>
      </c>
      <c r="F157" s="330">
        <f>SUM(F154:F156)</f>
        <v>176463</v>
      </c>
      <c r="G157" s="330">
        <f>SUM(G154:G156)</f>
        <v>1445.9204200000001</v>
      </c>
      <c r="H157" s="160">
        <f>SUM(H154:H156)</f>
        <v>177908.92042000001</v>
      </c>
      <c r="I157" s="330">
        <f>SUM(I154:I156)</f>
        <v>53692.923049999998</v>
      </c>
      <c r="J157" s="47">
        <f t="shared" si="51"/>
        <v>30.180006108318779</v>
      </c>
      <c r="K157" s="330">
        <f>SUM(K154:K156)</f>
        <v>100361.39995000001</v>
      </c>
      <c r="L157" s="47">
        <f t="shared" si="52"/>
        <v>56.411673857089895</v>
      </c>
      <c r="M157" s="330">
        <f>SUM(M154:M156)</f>
        <v>156313.79092</v>
      </c>
      <c r="N157" s="348">
        <f t="shared" si="53"/>
        <v>87.861693809945493</v>
      </c>
      <c r="O157" s="330">
        <f>SUM(O154:O156)</f>
        <v>198010.30631000004</v>
      </c>
      <c r="P157" s="348">
        <f t="shared" si="54"/>
        <v>111.29869477176608</v>
      </c>
      <c r="Q157" s="328">
        <f>SUM(Q154:Q156)</f>
        <v>20101.385890000005</v>
      </c>
      <c r="R157" s="233"/>
      <c r="S157" s="330">
        <f>SUM(S154:S156)</f>
        <v>172673</v>
      </c>
      <c r="T157" s="348">
        <f t="shared" si="50"/>
        <v>97.852240979695466</v>
      </c>
    </row>
    <row r="158" spans="1:21" x14ac:dyDescent="0.2">
      <c r="R158" s="234"/>
    </row>
    <row r="159" spans="1:21" x14ac:dyDescent="0.2">
      <c r="A159" s="15"/>
      <c r="B159" s="129"/>
      <c r="C159" s="129"/>
      <c r="D159" s="423"/>
      <c r="E159" s="422"/>
      <c r="F159" s="146"/>
      <c r="G159" s="146"/>
      <c r="H159" s="339"/>
      <c r="I159" s="146"/>
      <c r="J159" s="117"/>
      <c r="K159" s="146"/>
      <c r="L159" s="117"/>
      <c r="M159" s="146"/>
      <c r="N159" s="117"/>
      <c r="O159" s="146"/>
      <c r="P159" s="117"/>
      <c r="Q159" s="425"/>
      <c r="R159" s="125"/>
      <c r="S159" s="146"/>
      <c r="T159" s="117"/>
    </row>
    <row r="160" spans="1:21" x14ac:dyDescent="0.2">
      <c r="A160" s="129"/>
      <c r="B160" s="129"/>
      <c r="C160" s="129"/>
      <c r="D160" s="313"/>
      <c r="E160" s="453"/>
      <c r="F160" s="146"/>
      <c r="G160" s="146"/>
      <c r="H160" s="340"/>
      <c r="I160" s="340"/>
      <c r="J160" s="340"/>
      <c r="K160" s="340"/>
      <c r="L160" s="117"/>
      <c r="M160" s="146"/>
      <c r="N160" s="117"/>
      <c r="O160" s="146"/>
      <c r="P160" s="117"/>
      <c r="Q160" s="425"/>
      <c r="R160" s="125"/>
      <c r="S160" s="146"/>
      <c r="T160" s="117"/>
    </row>
    <row r="161" spans="1:20" x14ac:dyDescent="0.2">
      <c r="A161" s="15"/>
      <c r="B161" s="129"/>
      <c r="C161" s="129"/>
      <c r="D161" s="313"/>
      <c r="E161" s="453"/>
      <c r="F161" s="146"/>
      <c r="G161" s="146"/>
      <c r="H161" s="341"/>
      <c r="I161" s="146"/>
      <c r="J161" s="117"/>
      <c r="K161" s="420"/>
      <c r="L161" s="117"/>
      <c r="M161" s="146"/>
      <c r="N161" s="117"/>
      <c r="O161" s="146"/>
      <c r="P161" s="117"/>
      <c r="Q161" s="425"/>
      <c r="R161" s="125"/>
      <c r="S161" s="146"/>
      <c r="T161" s="117"/>
    </row>
    <row r="162" spans="1:20" x14ac:dyDescent="0.2">
      <c r="D162" s="117"/>
      <c r="E162" s="389"/>
      <c r="F162" s="146"/>
      <c r="G162" s="146"/>
      <c r="I162" s="146"/>
      <c r="J162" s="117"/>
      <c r="K162" s="420"/>
      <c r="L162" s="117"/>
      <c r="M162" s="146"/>
      <c r="N162" s="117"/>
      <c r="O162" s="146"/>
      <c r="P162" s="117"/>
      <c r="Q162" s="312"/>
      <c r="R162" s="125"/>
      <c r="S162" s="146"/>
      <c r="T162" s="117"/>
    </row>
    <row r="163" spans="1:20" x14ac:dyDescent="0.2">
      <c r="E163" s="389"/>
      <c r="F163" s="454"/>
      <c r="G163" s="317"/>
      <c r="I163" s="317"/>
      <c r="J163" s="117"/>
      <c r="K163" s="317"/>
      <c r="M163" s="317"/>
      <c r="O163" s="317"/>
      <c r="R163" s="125"/>
      <c r="S163" s="317"/>
    </row>
    <row r="164" spans="1:20" x14ac:dyDescent="0.2">
      <c r="E164" s="389"/>
      <c r="G164" s="146"/>
      <c r="I164" s="146"/>
      <c r="J164" s="117"/>
      <c r="K164" s="146"/>
      <c r="R164" s="321"/>
    </row>
    <row r="165" spans="1:20" x14ac:dyDescent="0.2">
      <c r="E165" s="389"/>
      <c r="G165" s="146"/>
      <c r="I165" s="146"/>
      <c r="J165" s="117"/>
      <c r="K165" s="146"/>
      <c r="R165" s="234"/>
    </row>
    <row r="166" spans="1:20" x14ac:dyDescent="0.2">
      <c r="E166" s="389"/>
      <c r="G166" s="146"/>
      <c r="I166" s="146"/>
      <c r="J166" s="117"/>
      <c r="K166" s="146"/>
    </row>
    <row r="167" spans="1:20" x14ac:dyDescent="0.2">
      <c r="E167" s="389"/>
      <c r="G167" s="146"/>
      <c r="I167" s="146"/>
      <c r="J167" s="117"/>
      <c r="K167" s="146"/>
    </row>
    <row r="168" spans="1:20" x14ac:dyDescent="0.2">
      <c r="E168" s="389"/>
      <c r="G168" s="146"/>
      <c r="I168" s="146"/>
      <c r="J168" s="117"/>
      <c r="K168" s="146"/>
      <c r="R168" s="234"/>
    </row>
    <row r="169" spans="1:20" x14ac:dyDescent="0.2">
      <c r="E169" s="117"/>
      <c r="G169" s="146"/>
      <c r="I169" s="146"/>
      <c r="J169" s="117"/>
      <c r="K169" s="146"/>
    </row>
    <row r="170" spans="1:20" x14ac:dyDescent="0.2">
      <c r="E170" s="389"/>
      <c r="G170" s="146"/>
      <c r="I170" s="146"/>
      <c r="J170" s="117"/>
      <c r="K170" s="146"/>
    </row>
    <row r="171" spans="1:20" x14ac:dyDescent="0.2">
      <c r="E171" s="389"/>
      <c r="G171" s="146"/>
      <c r="I171" s="146"/>
      <c r="J171" s="117"/>
      <c r="K171" s="146"/>
    </row>
    <row r="172" spans="1:20" x14ac:dyDescent="0.2">
      <c r="E172" s="389"/>
      <c r="G172" s="146"/>
      <c r="I172" s="146"/>
      <c r="J172" s="117"/>
      <c r="K172" s="146"/>
    </row>
    <row r="173" spans="1:20" x14ac:dyDescent="0.2">
      <c r="E173" s="389"/>
      <c r="G173" s="146"/>
      <c r="I173" s="146"/>
      <c r="J173" s="117"/>
      <c r="K173" s="146"/>
    </row>
    <row r="174" spans="1:20" x14ac:dyDescent="0.2">
      <c r="E174" s="389"/>
      <c r="G174" s="146"/>
      <c r="I174" s="146"/>
      <c r="J174" s="117"/>
      <c r="K174" s="146"/>
    </row>
    <row r="175" spans="1:20" x14ac:dyDescent="0.2">
      <c r="E175" s="117"/>
      <c r="G175" s="146"/>
      <c r="I175" s="146"/>
      <c r="J175" s="117"/>
      <c r="K175" s="146"/>
    </row>
    <row r="176" spans="1:20" x14ac:dyDescent="0.2">
      <c r="E176" s="389"/>
      <c r="G176" s="146"/>
      <c r="I176" s="146"/>
      <c r="J176" s="117"/>
      <c r="K176" s="146"/>
    </row>
    <row r="177" spans="5:11" x14ac:dyDescent="0.2">
      <c r="E177" s="389"/>
      <c r="G177" s="146"/>
      <c r="I177" s="146"/>
      <c r="J177" s="117"/>
      <c r="K177" s="146"/>
    </row>
    <row r="178" spans="5:11" x14ac:dyDescent="0.2">
      <c r="E178" s="389"/>
      <c r="G178" s="146"/>
      <c r="I178" s="146"/>
      <c r="J178" s="117"/>
      <c r="K178" s="146"/>
    </row>
    <row r="179" spans="5:11" x14ac:dyDescent="0.2">
      <c r="E179" s="389"/>
      <c r="G179" s="146"/>
      <c r="I179" s="146"/>
      <c r="J179" s="117"/>
      <c r="K179" s="146"/>
    </row>
    <row r="180" spans="5:11" x14ac:dyDescent="0.2">
      <c r="E180" s="389"/>
      <c r="G180" s="146"/>
      <c r="I180" s="146"/>
      <c r="J180" s="117"/>
      <c r="K180" s="146"/>
    </row>
    <row r="181" spans="5:11" x14ac:dyDescent="0.2">
      <c r="E181" s="389"/>
      <c r="G181" s="146"/>
      <c r="I181" s="146"/>
      <c r="J181" s="117"/>
      <c r="K181" s="146"/>
    </row>
    <row r="182" spans="5:11" x14ac:dyDescent="0.2">
      <c r="E182" s="389"/>
      <c r="G182" s="146"/>
      <c r="I182" s="146"/>
      <c r="J182" s="117"/>
      <c r="K182" s="146"/>
    </row>
    <row r="183" spans="5:11" x14ac:dyDescent="0.2">
      <c r="E183" s="389"/>
    </row>
    <row r="184" spans="5:11" x14ac:dyDescent="0.2">
      <c r="E184" s="389"/>
    </row>
    <row r="185" spans="5:11" x14ac:dyDescent="0.2">
      <c r="E185" s="389"/>
    </row>
    <row r="186" spans="5:11" x14ac:dyDescent="0.2">
      <c r="E186" s="389"/>
    </row>
  </sheetData>
  <sortState ref="A112:AH113">
    <sortCondition ref="C112:C113"/>
  </sortState>
  <phoneticPr fontId="6" type="noConversion"/>
  <pageMargins left="0.15748031496062992" right="0.15748031496062992" top="0.27559055118110237" bottom="0.27559055118110237" header="0.19685039370078741" footer="0.15748031496062992"/>
  <pageSetup paperSize="9" scale="95" fitToWidth="0" fitToHeight="0" orientation="landscape" r:id="rId1"/>
  <headerFooter alignWithMargins="0">
    <oddHeader>&amp;R&amp;P+1.strana</oddHeader>
    <oddFooter xml:space="preserve">&amp;R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FZ900"/>
  <sheetViews>
    <sheetView topLeftCell="C1" workbookViewId="0">
      <pane ySplit="4" topLeftCell="A71" activePane="bottomLeft" state="frozen"/>
      <selection pane="bottomLeft" activeCell="D129" sqref="D129"/>
    </sheetView>
  </sheetViews>
  <sheetFormatPr defaultColWidth="7.85546875" defaultRowHeight="12.75" x14ac:dyDescent="0.2"/>
  <cols>
    <col min="1" max="1" width="3.28515625" style="95" customWidth="1"/>
    <col min="2" max="2" width="4.85546875" style="98" customWidth="1"/>
    <col min="3" max="3" width="5.28515625" style="98" bestFit="1" customWidth="1"/>
    <col min="4" max="4" width="27.42578125" style="206" customWidth="1"/>
    <col min="5" max="5" width="7.28515625" style="449" customWidth="1"/>
    <col min="6" max="6" width="6.7109375" style="449" customWidth="1"/>
    <col min="7" max="7" width="8.5703125" style="117" customWidth="1"/>
    <col min="8" max="8" width="6.140625" style="189" customWidth="1"/>
    <col min="9" max="9" width="5.7109375" style="189" customWidth="1"/>
    <col min="10" max="10" width="6.85546875" style="117" customWidth="1"/>
    <col min="11" max="11" width="6.140625" style="117" customWidth="1"/>
    <col min="12" max="12" width="9.140625" style="117" customWidth="1"/>
    <col min="13" max="14" width="9.140625" style="95" hidden="1" customWidth="1"/>
    <col min="15" max="16" width="9.140625" style="117" hidden="1" customWidth="1"/>
    <col min="17" max="18" width="9.140625" style="95" hidden="1" customWidth="1"/>
    <col min="19" max="20" width="9.140625" style="117" hidden="1" customWidth="1"/>
    <col min="21" max="22" width="9.140625" style="95" hidden="1" customWidth="1"/>
    <col min="23" max="24" width="9.140625" style="117" hidden="1" customWidth="1"/>
    <col min="25" max="25" width="7.85546875" style="117" customWidth="1"/>
    <col min="26" max="26" width="7.140625" style="95" customWidth="1"/>
    <col min="27" max="27" width="7.42578125" style="117" customWidth="1"/>
    <col min="28" max="28" width="4.7109375" style="117" customWidth="1"/>
    <col min="29" max="29" width="7.42578125" style="117" customWidth="1"/>
    <col min="30" max="31" width="7.140625" style="95" customWidth="1"/>
    <col min="32" max="32" width="8.5703125" style="117" customWidth="1"/>
    <col min="33" max="33" width="4.140625" style="117" customWidth="1"/>
    <col min="34" max="34" width="23.28515625" style="117" hidden="1" customWidth="1"/>
    <col min="35" max="35" width="23.28515625" style="475" hidden="1" customWidth="1"/>
    <col min="36" max="36" width="23.28515625" style="117" customWidth="1"/>
    <col min="37" max="38" width="3.5703125" style="95" customWidth="1"/>
    <col min="39" max="16384" width="7.85546875" style="95"/>
  </cols>
  <sheetData>
    <row r="1" spans="1:38" ht="18.75" thickBot="1" x14ac:dyDescent="0.3">
      <c r="A1" s="105" t="s">
        <v>451</v>
      </c>
      <c r="B1" s="287"/>
      <c r="C1" s="287"/>
      <c r="D1" s="286"/>
      <c r="E1" s="286"/>
      <c r="F1" s="286"/>
      <c r="G1" s="287"/>
      <c r="H1" s="287"/>
      <c r="I1" s="287"/>
      <c r="J1" s="287"/>
      <c r="K1" s="287"/>
      <c r="L1" s="287"/>
      <c r="M1" s="286"/>
      <c r="N1" s="286"/>
      <c r="O1" s="287"/>
      <c r="P1" s="287"/>
      <c r="Q1" s="286"/>
      <c r="R1" s="286"/>
      <c r="S1" s="287"/>
      <c r="T1" s="287"/>
      <c r="U1" s="286"/>
      <c r="V1" s="286"/>
      <c r="W1" s="287"/>
      <c r="X1" s="287"/>
      <c r="Y1" s="287"/>
      <c r="Z1" s="286"/>
      <c r="AA1" s="287"/>
      <c r="AB1" s="287"/>
      <c r="AC1" s="414"/>
      <c r="AD1" s="286"/>
      <c r="AE1" s="286"/>
      <c r="AF1" s="287"/>
      <c r="AG1" s="287"/>
      <c r="AH1" s="287"/>
      <c r="AI1" s="461"/>
      <c r="AJ1" s="416"/>
      <c r="AK1" s="23"/>
      <c r="AL1" s="117"/>
    </row>
    <row r="2" spans="1:38" x14ac:dyDescent="0.2">
      <c r="A2" s="134"/>
      <c r="B2" s="99"/>
      <c r="C2" s="99"/>
      <c r="D2" s="435">
        <f>AA109*1000</f>
        <v>56116851.030000001</v>
      </c>
      <c r="E2" s="163"/>
      <c r="F2" s="163" t="s">
        <v>349</v>
      </c>
      <c r="G2" s="163"/>
      <c r="H2" s="564" t="s">
        <v>3</v>
      </c>
      <c r="I2" s="565"/>
      <c r="J2" s="367"/>
      <c r="K2" s="48" t="s">
        <v>100</v>
      </c>
      <c r="L2" s="163"/>
      <c r="M2" s="163"/>
      <c r="N2" s="163" t="s">
        <v>393</v>
      </c>
      <c r="O2" s="163"/>
      <c r="P2" s="163"/>
      <c r="Q2" s="163"/>
      <c r="R2" s="163" t="s">
        <v>395</v>
      </c>
      <c r="S2" s="163"/>
      <c r="T2" s="163"/>
      <c r="U2" s="163"/>
      <c r="V2" s="163" t="s">
        <v>396</v>
      </c>
      <c r="W2" s="163"/>
      <c r="X2" s="163"/>
      <c r="Y2" s="163"/>
      <c r="Z2" s="163" t="s">
        <v>397</v>
      </c>
      <c r="AA2" s="163"/>
      <c r="AB2" s="163"/>
      <c r="AC2" s="350"/>
      <c r="AD2" s="163"/>
      <c r="AE2" s="163" t="s">
        <v>394</v>
      </c>
      <c r="AF2" s="163"/>
      <c r="AG2" s="163"/>
      <c r="AH2" s="163" t="s">
        <v>398</v>
      </c>
      <c r="AI2" s="462" t="s">
        <v>120</v>
      </c>
      <c r="AJ2" s="441"/>
      <c r="AK2" s="379"/>
      <c r="AL2" s="288"/>
    </row>
    <row r="3" spans="1:38" x14ac:dyDescent="0.2">
      <c r="A3" s="90"/>
      <c r="B3" s="32"/>
      <c r="C3" s="32"/>
      <c r="D3" s="437"/>
      <c r="E3" s="49">
        <v>2020</v>
      </c>
      <c r="F3" s="50">
        <v>2020</v>
      </c>
      <c r="G3" s="89">
        <v>2020</v>
      </c>
      <c r="H3" s="171">
        <v>2020</v>
      </c>
      <c r="I3" s="172">
        <v>2020</v>
      </c>
      <c r="J3" s="49">
        <v>2020</v>
      </c>
      <c r="K3" s="50">
        <v>2020</v>
      </c>
      <c r="L3" s="89">
        <v>2020</v>
      </c>
      <c r="M3" s="49">
        <v>2020</v>
      </c>
      <c r="N3" s="50">
        <v>2020</v>
      </c>
      <c r="O3" s="89">
        <v>2020</v>
      </c>
      <c r="P3" s="89"/>
      <c r="Q3" s="49">
        <v>2020</v>
      </c>
      <c r="R3" s="50">
        <v>2020</v>
      </c>
      <c r="S3" s="89">
        <v>2020</v>
      </c>
      <c r="T3" s="89"/>
      <c r="U3" s="49">
        <v>2020</v>
      </c>
      <c r="V3" s="50">
        <v>2020</v>
      </c>
      <c r="W3" s="89">
        <v>2020</v>
      </c>
      <c r="X3" s="89"/>
      <c r="Y3" s="49">
        <v>2020</v>
      </c>
      <c r="Z3" s="50">
        <v>2020</v>
      </c>
      <c r="AA3" s="89">
        <v>2020</v>
      </c>
      <c r="AB3" s="89"/>
      <c r="AC3" s="351" t="s">
        <v>268</v>
      </c>
      <c r="AD3" s="49">
        <v>2021</v>
      </c>
      <c r="AE3" s="50">
        <v>2021</v>
      </c>
      <c r="AF3" s="89">
        <v>2021</v>
      </c>
      <c r="AG3" s="89"/>
      <c r="AH3" s="50"/>
      <c r="AI3" s="463" t="s">
        <v>130</v>
      </c>
      <c r="AJ3" s="89"/>
      <c r="AK3" s="344" t="s">
        <v>152</v>
      </c>
      <c r="AL3" s="380" t="s">
        <v>160</v>
      </c>
    </row>
    <row r="4" spans="1:38" ht="13.5" thickBot="1" x14ac:dyDescent="0.25">
      <c r="A4" s="51" t="s">
        <v>62</v>
      </c>
      <c r="B4" s="27" t="s">
        <v>21</v>
      </c>
      <c r="C4" s="27" t="s">
        <v>22</v>
      </c>
      <c r="D4" s="372" t="s">
        <v>63</v>
      </c>
      <c r="E4" s="51" t="s">
        <v>64</v>
      </c>
      <c r="F4" s="27" t="s">
        <v>65</v>
      </c>
      <c r="G4" s="52" t="s">
        <v>66</v>
      </c>
      <c r="H4" s="173" t="s">
        <v>64</v>
      </c>
      <c r="I4" s="391" t="s">
        <v>65</v>
      </c>
      <c r="J4" s="349" t="s">
        <v>64</v>
      </c>
      <c r="K4" s="27" t="s">
        <v>65</v>
      </c>
      <c r="L4" s="52" t="s">
        <v>66</v>
      </c>
      <c r="M4" s="349" t="s">
        <v>64</v>
      </c>
      <c r="N4" s="27" t="s">
        <v>65</v>
      </c>
      <c r="O4" s="52" t="s">
        <v>66</v>
      </c>
      <c r="P4" s="52" t="s">
        <v>4</v>
      </c>
      <c r="Q4" s="349" t="s">
        <v>64</v>
      </c>
      <c r="R4" s="27" t="s">
        <v>65</v>
      </c>
      <c r="S4" s="52" t="s">
        <v>66</v>
      </c>
      <c r="T4" s="52" t="s">
        <v>4</v>
      </c>
      <c r="U4" s="349" t="s">
        <v>64</v>
      </c>
      <c r="V4" s="27" t="s">
        <v>65</v>
      </c>
      <c r="W4" s="52" t="s">
        <v>66</v>
      </c>
      <c r="X4" s="52" t="s">
        <v>4</v>
      </c>
      <c r="Y4" s="349" t="s">
        <v>64</v>
      </c>
      <c r="Z4" s="27" t="s">
        <v>65</v>
      </c>
      <c r="AA4" s="52" t="s">
        <v>66</v>
      </c>
      <c r="AB4" s="52" t="s">
        <v>4</v>
      </c>
      <c r="AC4" s="352" t="s">
        <v>478</v>
      </c>
      <c r="AD4" s="349" t="s">
        <v>64</v>
      </c>
      <c r="AE4" s="27" t="s">
        <v>65</v>
      </c>
      <c r="AF4" s="52" t="s">
        <v>66</v>
      </c>
      <c r="AG4" s="52" t="s">
        <v>4</v>
      </c>
      <c r="AH4" s="27"/>
      <c r="AI4" s="464" t="s">
        <v>424</v>
      </c>
      <c r="AJ4" s="52" t="s">
        <v>254</v>
      </c>
      <c r="AK4" s="345" t="s">
        <v>151</v>
      </c>
      <c r="AL4" s="381" t="s">
        <v>155</v>
      </c>
    </row>
    <row r="5" spans="1:38" x14ac:dyDescent="0.2">
      <c r="A5" s="135">
        <v>10</v>
      </c>
      <c r="B5" s="68"/>
      <c r="C5" s="68"/>
      <c r="D5" s="366" t="s">
        <v>67</v>
      </c>
      <c r="E5" s="53">
        <f t="shared" ref="E5:O5" si="0">SUM(E6:E6)</f>
        <v>1316</v>
      </c>
      <c r="F5" s="54">
        <f t="shared" si="0"/>
        <v>0</v>
      </c>
      <c r="G5" s="165">
        <f t="shared" si="0"/>
        <v>1316</v>
      </c>
      <c r="H5" s="174">
        <f t="shared" si="0"/>
        <v>-29.17</v>
      </c>
      <c r="I5" s="175">
        <f t="shared" si="0"/>
        <v>0</v>
      </c>
      <c r="J5" s="53">
        <f t="shared" si="0"/>
        <v>1286.83</v>
      </c>
      <c r="K5" s="54">
        <f t="shared" si="0"/>
        <v>0</v>
      </c>
      <c r="L5" s="165">
        <f t="shared" si="0"/>
        <v>1286.83</v>
      </c>
      <c r="M5" s="53">
        <f t="shared" si="0"/>
        <v>208.08178999999998</v>
      </c>
      <c r="N5" s="54">
        <f t="shared" si="0"/>
        <v>0</v>
      </c>
      <c r="O5" s="165">
        <f t="shared" si="0"/>
        <v>208.08178999999998</v>
      </c>
      <c r="P5" s="165">
        <f>O5/$L5*100</f>
        <v>16.170107162562264</v>
      </c>
      <c r="Q5" s="53">
        <f>SUM(Q6:Q6)</f>
        <v>485.28413</v>
      </c>
      <c r="R5" s="54">
        <f>SUM(R6:R6)</f>
        <v>0</v>
      </c>
      <c r="S5" s="165">
        <f>SUM(S6:S6)</f>
        <v>485.28413</v>
      </c>
      <c r="T5" s="165">
        <f>S5/$L5*100</f>
        <v>37.711595937303301</v>
      </c>
      <c r="U5" s="53">
        <f>SUM(U6:U6)</f>
        <v>756.72526000000005</v>
      </c>
      <c r="V5" s="54">
        <f>SUM(V6:V6)</f>
        <v>0</v>
      </c>
      <c r="W5" s="165">
        <f>SUM(W6:W6)</f>
        <v>756.72526000000005</v>
      </c>
      <c r="X5" s="165">
        <f>W5/$L5*100</f>
        <v>58.805379109905743</v>
      </c>
      <c r="Y5" s="53">
        <f>SUM(Y6:Y6)</f>
        <v>1114.35806</v>
      </c>
      <c r="Z5" s="54">
        <f>SUM(Z6:Z6)</f>
        <v>0</v>
      </c>
      <c r="AA5" s="165">
        <f>SUM(AA6:AA6)</f>
        <v>1114.35806</v>
      </c>
      <c r="AB5" s="165">
        <f>AA5/$L5*100</f>
        <v>86.597146476224523</v>
      </c>
      <c r="AC5" s="353">
        <f>SUM(AC6:AC6)</f>
        <v>172.4719399999999</v>
      </c>
      <c r="AD5" s="53">
        <f>SUM(AD6:AD6)</f>
        <v>1235</v>
      </c>
      <c r="AE5" s="54">
        <f>SUM(AE6:AE6)</f>
        <v>160</v>
      </c>
      <c r="AF5" s="165">
        <f>SUM(AF6:AF6)</f>
        <v>1395</v>
      </c>
      <c r="AG5" s="165">
        <f>AF5/$G5*100</f>
        <v>106.00303951367782</v>
      </c>
      <c r="AH5" s="53">
        <f>SUM(AH6:AH6)</f>
        <v>1365</v>
      </c>
      <c r="AI5" s="465">
        <f>AH5/L5</f>
        <v>1.0607461747083919</v>
      </c>
      <c r="AJ5" s="165"/>
      <c r="AK5" s="55"/>
      <c r="AL5" s="74"/>
    </row>
    <row r="6" spans="1:38" x14ac:dyDescent="0.2">
      <c r="A6" s="136"/>
      <c r="B6" s="29">
        <v>1031</v>
      </c>
      <c r="C6" s="29">
        <v>201</v>
      </c>
      <c r="D6" s="196" t="s">
        <v>188</v>
      </c>
      <c r="E6" s="46">
        <f>680+636</f>
        <v>1316</v>
      </c>
      <c r="F6" s="29"/>
      <c r="G6" s="57">
        <f>E6+F6</f>
        <v>1316</v>
      </c>
      <c r="H6" s="182">
        <f>-81+51.83</f>
        <v>-29.17</v>
      </c>
      <c r="I6" s="177"/>
      <c r="J6" s="46">
        <f>E6+H6</f>
        <v>1286.83</v>
      </c>
      <c r="K6" s="29">
        <f>F6+I6</f>
        <v>0</v>
      </c>
      <c r="L6" s="57">
        <f>SUM(J6:K6)</f>
        <v>1286.83</v>
      </c>
      <c r="M6" s="46">
        <f>160.70279+47.379</f>
        <v>208.08178999999998</v>
      </c>
      <c r="N6" s="418"/>
      <c r="O6" s="57">
        <f>M6+N6</f>
        <v>208.08178999999998</v>
      </c>
      <c r="P6" s="57">
        <f>O6/$L6*100</f>
        <v>16.170107162562264</v>
      </c>
      <c r="Q6" s="46">
        <f>437.90513+47.379</f>
        <v>485.28413</v>
      </c>
      <c r="R6" s="418"/>
      <c r="S6" s="57">
        <f>Q6+R6</f>
        <v>485.28413</v>
      </c>
      <c r="T6" s="57">
        <f>S6/$L6*100</f>
        <v>37.711595937303301</v>
      </c>
      <c r="U6" s="46">
        <f>709.20626+47.519</f>
        <v>756.72526000000005</v>
      </c>
      <c r="V6" s="418"/>
      <c r="W6" s="57">
        <f>U6+V6</f>
        <v>756.72526000000005</v>
      </c>
      <c r="X6" s="57">
        <f>W6/$L6*100</f>
        <v>58.805379109905743</v>
      </c>
      <c r="Y6" s="46">
        <f>1112.69839+1.65967</f>
        <v>1114.35806</v>
      </c>
      <c r="Z6" s="418"/>
      <c r="AA6" s="57">
        <f>Y6+Z6</f>
        <v>1114.35806</v>
      </c>
      <c r="AB6" s="57">
        <f>AA6/$L6*100</f>
        <v>86.597146476224523</v>
      </c>
      <c r="AC6" s="354">
        <f>L6-AA6</f>
        <v>172.4719399999999</v>
      </c>
      <c r="AD6" s="46">
        <f>612+623</f>
        <v>1235</v>
      </c>
      <c r="AE6" s="418">
        <v>160</v>
      </c>
      <c r="AF6" s="57">
        <f>AD6+AE6</f>
        <v>1395</v>
      </c>
      <c r="AG6" s="57">
        <f>AF6/$G6*100</f>
        <v>106.00303951367782</v>
      </c>
      <c r="AH6" s="46">
        <f>742+623</f>
        <v>1365</v>
      </c>
      <c r="AI6" s="466">
        <f t="shared" ref="AI6:AI71" si="1">AH6/L6</f>
        <v>1.0607461747083919</v>
      </c>
      <c r="AJ6" s="57"/>
      <c r="AK6" s="303" t="s">
        <v>309</v>
      </c>
      <c r="AL6" s="290" t="s">
        <v>68</v>
      </c>
    </row>
    <row r="7" spans="1:38" x14ac:dyDescent="0.2">
      <c r="A7" s="137">
        <v>21</v>
      </c>
      <c r="B7" s="24"/>
      <c r="C7" s="24"/>
      <c r="D7" s="373" t="s">
        <v>249</v>
      </c>
      <c r="E7" s="58">
        <f>SUM(E8:E12)</f>
        <v>1044</v>
      </c>
      <c r="F7" s="59">
        <f>SUM(F8:F12)</f>
        <v>505</v>
      </c>
      <c r="G7" s="60">
        <f>SUM(G8:G12)</f>
        <v>1549</v>
      </c>
      <c r="H7" s="180">
        <f t="shared" ref="H7:O7" si="2">SUM(H8:H12)</f>
        <v>-145</v>
      </c>
      <c r="I7" s="181">
        <f t="shared" si="2"/>
        <v>0</v>
      </c>
      <c r="J7" s="58">
        <f t="shared" si="2"/>
        <v>899</v>
      </c>
      <c r="K7" s="59">
        <f t="shared" si="2"/>
        <v>505</v>
      </c>
      <c r="L7" s="60">
        <f t="shared" si="2"/>
        <v>1404</v>
      </c>
      <c r="M7" s="58">
        <f t="shared" si="2"/>
        <v>63.037779999999998</v>
      </c>
      <c r="N7" s="59">
        <f t="shared" si="2"/>
        <v>26.257000000000001</v>
      </c>
      <c r="O7" s="60">
        <f t="shared" si="2"/>
        <v>89.294780000000003</v>
      </c>
      <c r="P7" s="60">
        <f t="shared" ref="P7:P13" si="3">O7/$L7*100</f>
        <v>6.3600270655270661</v>
      </c>
      <c r="Q7" s="58">
        <f t="shared" ref="Q7:S7" si="4">SUM(Q8:Q12)</f>
        <v>208.99211</v>
      </c>
      <c r="R7" s="59">
        <f t="shared" si="4"/>
        <v>94.490000000000009</v>
      </c>
      <c r="S7" s="60">
        <f t="shared" si="4"/>
        <v>303.48211000000003</v>
      </c>
      <c r="T7" s="60">
        <f t="shared" ref="T7:T61" si="5">S7/$L7*100</f>
        <v>21.615534900284903</v>
      </c>
      <c r="U7" s="58">
        <f t="shared" ref="U7:W7" si="6">SUM(U8:U12)</f>
        <v>355.75078999999999</v>
      </c>
      <c r="V7" s="59">
        <f t="shared" si="6"/>
        <v>224.8</v>
      </c>
      <c r="W7" s="60">
        <f t="shared" si="6"/>
        <v>580.55079000000001</v>
      </c>
      <c r="X7" s="60">
        <f t="shared" ref="X7:X60" si="7">W7/$L7*100</f>
        <v>41.34977136752137</v>
      </c>
      <c r="Y7" s="58">
        <f t="shared" ref="Y7:AA7" si="8">SUM(Y8:Y12)</f>
        <v>427.84501999999998</v>
      </c>
      <c r="Z7" s="59">
        <f t="shared" si="8"/>
        <v>271.99</v>
      </c>
      <c r="AA7" s="60">
        <f t="shared" si="8"/>
        <v>699.83501999999999</v>
      </c>
      <c r="AB7" s="60">
        <f t="shared" ref="AB7:AB58" si="9">AA7/$L7*100</f>
        <v>49.845799145299146</v>
      </c>
      <c r="AC7" s="355">
        <f>SUM(AC8:AC12)</f>
        <v>704.16498000000001</v>
      </c>
      <c r="AD7" s="58">
        <f t="shared" ref="AD7:AF7" si="10">SUM(AD8:AD12)</f>
        <v>874</v>
      </c>
      <c r="AE7" s="59">
        <f t="shared" si="10"/>
        <v>400</v>
      </c>
      <c r="AF7" s="60">
        <f t="shared" si="10"/>
        <v>1274</v>
      </c>
      <c r="AG7" s="60">
        <f t="shared" ref="AG7:AG13" si="11">AF7/$G7*100</f>
        <v>82.246610716591348</v>
      </c>
      <c r="AH7" s="58">
        <f t="shared" ref="AH7" si="12">SUM(AH8:AH12)</f>
        <v>1387</v>
      </c>
      <c r="AI7" s="467">
        <f t="shared" si="1"/>
        <v>0.9878917378917379</v>
      </c>
      <c r="AJ7" s="60"/>
      <c r="AK7" s="55"/>
      <c r="AL7" s="74"/>
    </row>
    <row r="8" spans="1:38" x14ac:dyDescent="0.2">
      <c r="A8" s="62"/>
      <c r="B8" s="29">
        <v>2121</v>
      </c>
      <c r="C8" s="29">
        <v>20</v>
      </c>
      <c r="D8" s="196" t="s">
        <v>91</v>
      </c>
      <c r="E8" s="46"/>
      <c r="F8" s="16">
        <v>205</v>
      </c>
      <c r="G8" s="57">
        <f>E8+F8</f>
        <v>205</v>
      </c>
      <c r="H8" s="176"/>
      <c r="I8" s="177"/>
      <c r="J8" s="46">
        <f t="shared" ref="J8:K10" si="13">E8+H8</f>
        <v>0</v>
      </c>
      <c r="K8" s="29">
        <f t="shared" si="13"/>
        <v>205</v>
      </c>
      <c r="L8" s="57">
        <f>SUM(J8:K8)</f>
        <v>205</v>
      </c>
      <c r="M8" s="46"/>
      <c r="N8" s="16"/>
      <c r="O8" s="57">
        <f>M8+N8</f>
        <v>0</v>
      </c>
      <c r="P8" s="57">
        <f t="shared" si="3"/>
        <v>0</v>
      </c>
      <c r="Q8" s="46"/>
      <c r="R8" s="16">
        <v>37</v>
      </c>
      <c r="S8" s="57">
        <f>Q8+R8</f>
        <v>37</v>
      </c>
      <c r="T8" s="57">
        <f t="shared" si="5"/>
        <v>18.048780487804876</v>
      </c>
      <c r="U8" s="46"/>
      <c r="V8" s="16">
        <v>52.36</v>
      </c>
      <c r="W8" s="57">
        <f>U8+V8</f>
        <v>52.36</v>
      </c>
      <c r="X8" s="57">
        <f t="shared" si="7"/>
        <v>25.541463414634148</v>
      </c>
      <c r="Y8" s="46"/>
      <c r="Z8" s="16">
        <v>52.36</v>
      </c>
      <c r="AA8" s="57">
        <f>Y8+Z8</f>
        <v>52.36</v>
      </c>
      <c r="AB8" s="57">
        <f t="shared" si="9"/>
        <v>25.541463414634148</v>
      </c>
      <c r="AC8" s="354">
        <f t="shared" ref="AC8:AC12" si="14">L8-AA8</f>
        <v>152.63999999999999</v>
      </c>
      <c r="AD8" s="46"/>
      <c r="AE8" s="16">
        <v>100</v>
      </c>
      <c r="AF8" s="57">
        <f>AD8+AE8</f>
        <v>100</v>
      </c>
      <c r="AG8" s="57">
        <f t="shared" si="11"/>
        <v>48.780487804878049</v>
      </c>
      <c r="AH8" s="46">
        <v>205</v>
      </c>
      <c r="AI8" s="466">
        <f t="shared" si="1"/>
        <v>1</v>
      </c>
      <c r="AJ8" s="57"/>
      <c r="AK8" s="303" t="s">
        <v>68</v>
      </c>
      <c r="AL8" s="290" t="s">
        <v>117</v>
      </c>
    </row>
    <row r="9" spans="1:38" x14ac:dyDescent="0.2">
      <c r="A9" s="62"/>
      <c r="B9" s="29">
        <v>2121</v>
      </c>
      <c r="C9" s="29">
        <v>237</v>
      </c>
      <c r="D9" s="196" t="s">
        <v>167</v>
      </c>
      <c r="E9" s="46">
        <v>411</v>
      </c>
      <c r="F9" s="16"/>
      <c r="G9" s="57">
        <f>E9+F9</f>
        <v>411</v>
      </c>
      <c r="H9" s="176">
        <v>-41</v>
      </c>
      <c r="I9" s="177"/>
      <c r="J9" s="46">
        <f t="shared" si="13"/>
        <v>370</v>
      </c>
      <c r="K9" s="29">
        <f t="shared" si="13"/>
        <v>0</v>
      </c>
      <c r="L9" s="57">
        <f>SUM(J9:K9)</f>
        <v>370</v>
      </c>
      <c r="M9" s="46">
        <v>27.96152</v>
      </c>
      <c r="N9" s="16"/>
      <c r="O9" s="57">
        <f>M9+N9</f>
        <v>27.96152</v>
      </c>
      <c r="P9" s="57">
        <f t="shared" si="3"/>
        <v>7.5571675675675669</v>
      </c>
      <c r="Q9" s="46">
        <f>38.46052+15.52</f>
        <v>53.980519999999999</v>
      </c>
      <c r="R9" s="16"/>
      <c r="S9" s="57">
        <f>Q9+R9</f>
        <v>53.980519999999999</v>
      </c>
      <c r="T9" s="57">
        <f t="shared" si="5"/>
        <v>14.58932972972973</v>
      </c>
      <c r="U9" s="46">
        <v>86.425700000000006</v>
      </c>
      <c r="V9" s="16"/>
      <c r="W9" s="57">
        <f>U9+V9</f>
        <v>86.425700000000006</v>
      </c>
      <c r="X9" s="57">
        <f t="shared" si="7"/>
        <v>23.358297297297298</v>
      </c>
      <c r="Y9" s="46">
        <v>131.92670000000001</v>
      </c>
      <c r="Z9" s="16"/>
      <c r="AA9" s="57">
        <f>Y9+Z9</f>
        <v>131.92670000000001</v>
      </c>
      <c r="AB9" s="57">
        <f t="shared" si="9"/>
        <v>35.655864864864867</v>
      </c>
      <c r="AC9" s="354">
        <f t="shared" si="14"/>
        <v>238.07329999999999</v>
      </c>
      <c r="AD9" s="46">
        <v>358</v>
      </c>
      <c r="AE9" s="16"/>
      <c r="AF9" s="57">
        <f>AD9+AE9</f>
        <v>358</v>
      </c>
      <c r="AG9" s="57">
        <f t="shared" si="11"/>
        <v>87.104622871046232</v>
      </c>
      <c r="AH9" s="46">
        <v>358</v>
      </c>
      <c r="AI9" s="466">
        <f t="shared" si="1"/>
        <v>0.96756756756756757</v>
      </c>
      <c r="AJ9" s="57"/>
      <c r="AK9" s="303" t="s">
        <v>68</v>
      </c>
      <c r="AL9" s="290" t="s">
        <v>117</v>
      </c>
    </row>
    <row r="10" spans="1:38" x14ac:dyDescent="0.2">
      <c r="A10" s="62"/>
      <c r="B10" s="29">
        <v>2141</v>
      </c>
      <c r="C10" s="29">
        <v>101</v>
      </c>
      <c r="D10" s="196" t="s">
        <v>267</v>
      </c>
      <c r="E10" s="46">
        <v>80</v>
      </c>
      <c r="F10" s="16"/>
      <c r="G10" s="57">
        <f>E10+F10</f>
        <v>80</v>
      </c>
      <c r="H10" s="176">
        <v>-8</v>
      </c>
      <c r="I10" s="177"/>
      <c r="J10" s="46">
        <f t="shared" si="13"/>
        <v>72</v>
      </c>
      <c r="K10" s="29">
        <f t="shared" si="13"/>
        <v>0</v>
      </c>
      <c r="L10" s="57">
        <f>SUM(J10:K10)</f>
        <v>72</v>
      </c>
      <c r="M10" s="46">
        <v>10.78736</v>
      </c>
      <c r="N10" s="16"/>
      <c r="O10" s="57">
        <f>M10+N10</f>
        <v>10.78736</v>
      </c>
      <c r="P10" s="57">
        <f t="shared" si="3"/>
        <v>14.982444444444443</v>
      </c>
      <c r="Q10" s="46">
        <v>52.702689999999997</v>
      </c>
      <c r="R10" s="16"/>
      <c r="S10" s="57">
        <f>Q10+R10</f>
        <v>52.702689999999997</v>
      </c>
      <c r="T10" s="57">
        <f t="shared" si="5"/>
        <v>73.198180555555552</v>
      </c>
      <c r="U10" s="46">
        <v>52.702689999999997</v>
      </c>
      <c r="V10" s="16"/>
      <c r="W10" s="57">
        <f>U10+V10</f>
        <v>52.702689999999997</v>
      </c>
      <c r="X10" s="57">
        <f t="shared" si="7"/>
        <v>73.198180555555552</v>
      </c>
      <c r="Y10" s="46">
        <v>55.3309</v>
      </c>
      <c r="Z10" s="16"/>
      <c r="AA10" s="57">
        <f>Y10+Z10</f>
        <v>55.3309</v>
      </c>
      <c r="AB10" s="57">
        <f t="shared" si="9"/>
        <v>76.848472222222213</v>
      </c>
      <c r="AC10" s="354">
        <f t="shared" si="14"/>
        <v>16.6691</v>
      </c>
      <c r="AD10" s="46">
        <v>27</v>
      </c>
      <c r="AE10" s="16"/>
      <c r="AF10" s="57">
        <f>AD10+AE10</f>
        <v>27</v>
      </c>
      <c r="AG10" s="57">
        <f t="shared" si="11"/>
        <v>33.75</v>
      </c>
      <c r="AH10" s="46">
        <v>27</v>
      </c>
      <c r="AI10" s="466">
        <f t="shared" si="1"/>
        <v>0.375</v>
      </c>
      <c r="AJ10" s="57"/>
      <c r="AK10" s="303" t="s">
        <v>304</v>
      </c>
      <c r="AL10" s="290" t="s">
        <v>117</v>
      </c>
    </row>
    <row r="11" spans="1:38" x14ac:dyDescent="0.2">
      <c r="A11" s="62"/>
      <c r="B11" s="29">
        <v>2144</v>
      </c>
      <c r="C11" s="29">
        <v>650</v>
      </c>
      <c r="D11" s="196" t="s">
        <v>163</v>
      </c>
      <c r="E11" s="46">
        <v>265</v>
      </c>
      <c r="F11" s="16"/>
      <c r="G11" s="57">
        <f>E11+F11</f>
        <v>265</v>
      </c>
      <c r="H11" s="182">
        <v>-27</v>
      </c>
      <c r="I11" s="177"/>
      <c r="J11" s="46">
        <f>E11+H11</f>
        <v>238</v>
      </c>
      <c r="K11" s="29"/>
      <c r="L11" s="57">
        <f>SUM(J11:K11)</f>
        <v>238</v>
      </c>
      <c r="M11" s="46">
        <v>18.288900000000002</v>
      </c>
      <c r="N11" s="16"/>
      <c r="O11" s="57">
        <f>M11+N11</f>
        <v>18.288900000000002</v>
      </c>
      <c r="P11" s="57">
        <f t="shared" si="3"/>
        <v>7.6844117647058825</v>
      </c>
      <c r="Q11" s="46">
        <v>21.288900000000002</v>
      </c>
      <c r="R11" s="16"/>
      <c r="S11" s="57">
        <f>Q11+R11</f>
        <v>21.288900000000002</v>
      </c>
      <c r="T11" s="57">
        <f t="shared" si="5"/>
        <v>8.9449159663865565</v>
      </c>
      <c r="U11" s="46">
        <v>87.145899999999997</v>
      </c>
      <c r="V11" s="16"/>
      <c r="W11" s="57">
        <f>U11+V11</f>
        <v>87.145899999999997</v>
      </c>
      <c r="X11" s="57">
        <f t="shared" si="7"/>
        <v>36.615924369747901</v>
      </c>
      <c r="Y11" s="46">
        <v>130.47092000000001</v>
      </c>
      <c r="Z11" s="16"/>
      <c r="AA11" s="57">
        <f>Y11+Z11</f>
        <v>130.47092000000001</v>
      </c>
      <c r="AB11" s="57">
        <f t="shared" si="9"/>
        <v>54.819714285714291</v>
      </c>
      <c r="AC11" s="354">
        <f t="shared" si="14"/>
        <v>107.52907999999999</v>
      </c>
      <c r="AD11" s="46">
        <v>230</v>
      </c>
      <c r="AE11" s="16"/>
      <c r="AF11" s="57">
        <f>AD11+AE11</f>
        <v>230</v>
      </c>
      <c r="AG11" s="57">
        <f t="shared" si="11"/>
        <v>86.79245283018868</v>
      </c>
      <c r="AH11" s="46">
        <v>238</v>
      </c>
      <c r="AI11" s="466">
        <f t="shared" si="1"/>
        <v>1</v>
      </c>
      <c r="AJ11" s="57" t="s">
        <v>274</v>
      </c>
      <c r="AK11" s="300" t="s">
        <v>281</v>
      </c>
      <c r="AL11" s="291" t="s">
        <v>341</v>
      </c>
    </row>
    <row r="12" spans="1:38" x14ac:dyDescent="0.2">
      <c r="A12" s="62"/>
      <c r="B12" s="29">
        <v>2199</v>
      </c>
      <c r="C12" s="29">
        <v>912</v>
      </c>
      <c r="D12" s="196" t="s">
        <v>96</v>
      </c>
      <c r="E12" s="46">
        <v>288</v>
      </c>
      <c r="F12" s="16">
        <v>300</v>
      </c>
      <c r="G12" s="57">
        <f>E12+F12</f>
        <v>588</v>
      </c>
      <c r="H12" s="176">
        <f>-29-40</f>
        <v>-69</v>
      </c>
      <c r="I12" s="177"/>
      <c r="J12" s="46">
        <f>E12+H12</f>
        <v>219</v>
      </c>
      <c r="K12" s="29">
        <f>F12+I12</f>
        <v>300</v>
      </c>
      <c r="L12" s="57">
        <f>SUM(J12:K12)</f>
        <v>519</v>
      </c>
      <c r="M12" s="46">
        <v>6</v>
      </c>
      <c r="N12" s="16">
        <v>26.257000000000001</v>
      </c>
      <c r="O12" s="57">
        <f>M12+N12</f>
        <v>32.257000000000005</v>
      </c>
      <c r="P12" s="57">
        <f t="shared" si="3"/>
        <v>6.2152215799614652</v>
      </c>
      <c r="Q12" s="46">
        <v>81.02</v>
      </c>
      <c r="R12" s="16">
        <v>57.49</v>
      </c>
      <c r="S12" s="57">
        <f>Q12+R12</f>
        <v>138.51</v>
      </c>
      <c r="T12" s="57">
        <f t="shared" si="5"/>
        <v>26.687861271676301</v>
      </c>
      <c r="U12" s="46">
        <v>129.47649999999999</v>
      </c>
      <c r="V12" s="16">
        <v>172.44</v>
      </c>
      <c r="W12" s="57">
        <f>U12+V12</f>
        <v>301.91649999999998</v>
      </c>
      <c r="X12" s="57">
        <f t="shared" si="7"/>
        <v>58.17273603082851</v>
      </c>
      <c r="Y12" s="46">
        <v>110.1165</v>
      </c>
      <c r="Z12" s="16">
        <v>219.63</v>
      </c>
      <c r="AA12" s="57">
        <f>Y12+Z12</f>
        <v>329.74649999999997</v>
      </c>
      <c r="AB12" s="57">
        <f t="shared" si="9"/>
        <v>63.534971098265892</v>
      </c>
      <c r="AC12" s="354">
        <f t="shared" si="14"/>
        <v>189.25350000000003</v>
      </c>
      <c r="AD12" s="46">
        <v>259</v>
      </c>
      <c r="AE12" s="16">
        <v>300</v>
      </c>
      <c r="AF12" s="57">
        <f>AD12+AE12</f>
        <v>559</v>
      </c>
      <c r="AG12" s="57">
        <f t="shared" si="11"/>
        <v>95.068027210884352</v>
      </c>
      <c r="AH12" s="46">
        <v>559</v>
      </c>
      <c r="AI12" s="466">
        <f t="shared" si="1"/>
        <v>1.0770712909441233</v>
      </c>
      <c r="AJ12" s="57"/>
      <c r="AK12" s="301" t="s">
        <v>384</v>
      </c>
      <c r="AL12" s="292" t="s">
        <v>117</v>
      </c>
    </row>
    <row r="13" spans="1:38" x14ac:dyDescent="0.2">
      <c r="A13" s="137">
        <v>22</v>
      </c>
      <c r="B13" s="24"/>
      <c r="C13" s="24"/>
      <c r="D13" s="373" t="s">
        <v>70</v>
      </c>
      <c r="E13" s="58">
        <f t="shared" ref="E13:O13" si="15">SUM(E14:E29)</f>
        <v>12161</v>
      </c>
      <c r="F13" s="59">
        <f t="shared" si="15"/>
        <v>12114</v>
      </c>
      <c r="G13" s="60">
        <f t="shared" si="15"/>
        <v>24275</v>
      </c>
      <c r="H13" s="180">
        <f t="shared" si="15"/>
        <v>-2720</v>
      </c>
      <c r="I13" s="181">
        <f t="shared" si="15"/>
        <v>-240</v>
      </c>
      <c r="J13" s="58">
        <f t="shared" si="15"/>
        <v>9441</v>
      </c>
      <c r="K13" s="59">
        <f t="shared" si="15"/>
        <v>11874</v>
      </c>
      <c r="L13" s="60">
        <f t="shared" si="15"/>
        <v>21315</v>
      </c>
      <c r="M13" s="58">
        <f t="shared" si="15"/>
        <v>1065.39231</v>
      </c>
      <c r="N13" s="59">
        <f t="shared" si="15"/>
        <v>86.515000000000001</v>
      </c>
      <c r="O13" s="60">
        <f t="shared" si="15"/>
        <v>1151.9073100000001</v>
      </c>
      <c r="P13" s="60">
        <f t="shared" si="3"/>
        <v>5.4042097583861128</v>
      </c>
      <c r="Q13" s="58">
        <f>SUM(Q14:Q29)</f>
        <v>4622.4191700000001</v>
      </c>
      <c r="R13" s="59">
        <f>SUM(R14:R29)</f>
        <v>8204.1954600000008</v>
      </c>
      <c r="S13" s="60">
        <f>SUM(S14:S29)</f>
        <v>12826.61463</v>
      </c>
      <c r="T13" s="60">
        <f t="shared" si="5"/>
        <v>60.176470232230827</v>
      </c>
      <c r="U13" s="58">
        <f>SUM(U14:U29)</f>
        <v>5493.4859100000003</v>
      </c>
      <c r="V13" s="59">
        <f>SUM(V14:V29)</f>
        <v>8634.9154600000002</v>
      </c>
      <c r="W13" s="60">
        <f>SUM(W14:W29)</f>
        <v>14128.401369999998</v>
      </c>
      <c r="X13" s="60">
        <f t="shared" si="7"/>
        <v>66.283844100398767</v>
      </c>
      <c r="Y13" s="58">
        <f>SUM(Y14:Y29)</f>
        <v>6302.8791000000001</v>
      </c>
      <c r="Z13" s="59">
        <f>SUM(Z14:Z29)</f>
        <v>10922.09096</v>
      </c>
      <c r="AA13" s="60">
        <f>SUM(AA14:AA29)</f>
        <v>17224.97006</v>
      </c>
      <c r="AB13" s="60">
        <f t="shared" si="9"/>
        <v>80.811494534365465</v>
      </c>
      <c r="AC13" s="355">
        <f>SUM(AC14:AC29)</f>
        <v>4090.0299400000004</v>
      </c>
      <c r="AD13" s="58">
        <f>SUM(AD14:AD29)</f>
        <v>9410</v>
      </c>
      <c r="AE13" s="59">
        <f>SUM(AE14:AE29)</f>
        <v>19976</v>
      </c>
      <c r="AF13" s="60">
        <f>SUM(AF14:AF29)</f>
        <v>29386</v>
      </c>
      <c r="AG13" s="60">
        <f t="shared" si="11"/>
        <v>121.05458290422244</v>
      </c>
      <c r="AH13" s="58">
        <f>SUM(AH14:AH29)</f>
        <v>32295</v>
      </c>
      <c r="AI13" s="467">
        <f t="shared" si="1"/>
        <v>1.5151301900070373</v>
      </c>
      <c r="AJ13" s="60"/>
      <c r="AK13" s="55"/>
      <c r="AL13" s="74"/>
    </row>
    <row r="14" spans="1:38" x14ac:dyDescent="0.2">
      <c r="A14" s="136"/>
      <c r="B14" s="29">
        <v>2212</v>
      </c>
      <c r="C14" s="29">
        <v>204</v>
      </c>
      <c r="D14" s="196" t="s">
        <v>123</v>
      </c>
      <c r="E14" s="46">
        <f>6608-180</f>
        <v>6428</v>
      </c>
      <c r="F14" s="16"/>
      <c r="G14" s="57">
        <f t="shared" ref="G14:G25" si="16">E14+F14</f>
        <v>6428</v>
      </c>
      <c r="H14" s="176">
        <f>120-343-300-240-33</f>
        <v>-796</v>
      </c>
      <c r="I14" s="177">
        <v>33</v>
      </c>
      <c r="J14" s="46">
        <f t="shared" ref="J14:J25" si="17">E14+H14</f>
        <v>5632</v>
      </c>
      <c r="K14" s="29">
        <f t="shared" ref="K14:K25" si="18">F14+I14</f>
        <v>33</v>
      </c>
      <c r="L14" s="57">
        <f t="shared" ref="L14:L25" si="19">SUM(J14:K14)</f>
        <v>5665</v>
      </c>
      <c r="M14" s="46">
        <v>944.09481000000005</v>
      </c>
      <c r="N14" s="16"/>
      <c r="O14" s="57">
        <f t="shared" ref="O14:O25" si="20">M14+N14</f>
        <v>944.09481000000005</v>
      </c>
      <c r="P14" s="57">
        <f>O14/$L14*100</f>
        <v>16.665398234774933</v>
      </c>
      <c r="Q14" s="46">
        <v>1414.8902499999999</v>
      </c>
      <c r="R14" s="16"/>
      <c r="S14" s="57">
        <f t="shared" ref="S14:S25" si="21">Q14+R14</f>
        <v>1414.8902499999999</v>
      </c>
      <c r="T14" s="57">
        <f>S14/$L14*100</f>
        <v>24.975997352162398</v>
      </c>
      <c r="U14" s="46">
        <v>2149.1632100000002</v>
      </c>
      <c r="V14" s="16"/>
      <c r="W14" s="57">
        <f t="shared" ref="W14:W25" si="22">U14+V14</f>
        <v>2149.1632100000002</v>
      </c>
      <c r="X14" s="57">
        <f>W14/$L14*100</f>
        <v>37.937567696381294</v>
      </c>
      <c r="Y14" s="46">
        <f>2669.8905-Z14</f>
        <v>2637.6505000000002</v>
      </c>
      <c r="Z14" s="16">
        <v>32.24</v>
      </c>
      <c r="AA14" s="57">
        <f t="shared" ref="AA14:AA25" si="23">Y14+Z14</f>
        <v>2669.8905</v>
      </c>
      <c r="AB14" s="57">
        <f>AA14/$L14*100</f>
        <v>47.129576345984113</v>
      </c>
      <c r="AC14" s="354">
        <f t="shared" ref="AC14:AC29" si="24">L14-AA14</f>
        <v>2995.1095</v>
      </c>
      <c r="AD14" s="46">
        <v>5768</v>
      </c>
      <c r="AE14" s="16"/>
      <c r="AF14" s="57">
        <f t="shared" ref="AF14:AF25" si="25">AD14+AE14</f>
        <v>5768</v>
      </c>
      <c r="AG14" s="57">
        <f>AF14/$G14*100</f>
        <v>89.732420659614192</v>
      </c>
      <c r="AH14" s="46">
        <v>5768</v>
      </c>
      <c r="AI14" s="466">
        <f t="shared" si="1"/>
        <v>1.0181818181818181</v>
      </c>
      <c r="AJ14" s="57"/>
      <c r="AK14" s="303" t="s">
        <v>195</v>
      </c>
      <c r="AL14" s="290" t="s">
        <v>117</v>
      </c>
    </row>
    <row r="15" spans="1:38" x14ac:dyDescent="0.2">
      <c r="A15" s="136"/>
      <c r="B15" s="29">
        <v>2212</v>
      </c>
      <c r="C15" s="29">
        <v>206</v>
      </c>
      <c r="D15" s="196" t="s">
        <v>307</v>
      </c>
      <c r="E15" s="46"/>
      <c r="F15" s="16">
        <v>300</v>
      </c>
      <c r="G15" s="57">
        <f t="shared" si="16"/>
        <v>300</v>
      </c>
      <c r="H15" s="176"/>
      <c r="I15" s="177">
        <v>-100</v>
      </c>
      <c r="J15" s="46">
        <f t="shared" si="17"/>
        <v>0</v>
      </c>
      <c r="K15" s="29">
        <f t="shared" si="18"/>
        <v>200</v>
      </c>
      <c r="L15" s="57">
        <f t="shared" si="19"/>
        <v>200</v>
      </c>
      <c r="M15" s="46"/>
      <c r="N15" s="16"/>
      <c r="O15" s="57">
        <f t="shared" si="20"/>
        <v>0</v>
      </c>
      <c r="P15" s="57">
        <f>O15/$L15*100</f>
        <v>0</v>
      </c>
      <c r="Q15" s="46"/>
      <c r="R15" s="16"/>
      <c r="S15" s="57">
        <f t="shared" si="21"/>
        <v>0</v>
      </c>
      <c r="T15" s="57">
        <f t="shared" ref="T15:T27" si="26">S15/$L15*100</f>
        <v>0</v>
      </c>
      <c r="U15" s="46"/>
      <c r="V15" s="16">
        <v>0</v>
      </c>
      <c r="W15" s="57">
        <f t="shared" si="22"/>
        <v>0</v>
      </c>
      <c r="X15" s="57">
        <f>W15/$L15*100</f>
        <v>0</v>
      </c>
      <c r="Y15" s="46"/>
      <c r="Z15" s="16">
        <v>0</v>
      </c>
      <c r="AA15" s="57">
        <f t="shared" si="23"/>
        <v>0</v>
      </c>
      <c r="AB15" s="57">
        <f t="shared" ref="AB15:AB29" si="27">AA15/$L15*100</f>
        <v>0</v>
      </c>
      <c r="AC15" s="354">
        <f t="shared" si="24"/>
        <v>200</v>
      </c>
      <c r="AD15" s="46"/>
      <c r="AE15" s="16">
        <v>100</v>
      </c>
      <c r="AF15" s="57">
        <f t="shared" si="25"/>
        <v>100</v>
      </c>
      <c r="AG15" s="57">
        <f>AF15/$G15*100</f>
        <v>33.333333333333329</v>
      </c>
      <c r="AH15" s="46">
        <v>200</v>
      </c>
      <c r="AI15" s="466">
        <f t="shared" si="1"/>
        <v>1</v>
      </c>
      <c r="AJ15" s="57" t="s">
        <v>382</v>
      </c>
      <c r="AK15" s="303" t="s">
        <v>384</v>
      </c>
      <c r="AL15" s="290" t="s">
        <v>117</v>
      </c>
    </row>
    <row r="16" spans="1:38" x14ac:dyDescent="0.2">
      <c r="A16" s="136"/>
      <c r="B16" s="29">
        <v>2212</v>
      </c>
      <c r="C16" s="29">
        <v>207</v>
      </c>
      <c r="D16" s="196" t="s">
        <v>436</v>
      </c>
      <c r="E16" s="46">
        <v>2200</v>
      </c>
      <c r="F16" s="16"/>
      <c r="G16" s="57">
        <f t="shared" si="16"/>
        <v>2200</v>
      </c>
      <c r="H16" s="176">
        <v>-1900</v>
      </c>
      <c r="I16" s="177"/>
      <c r="J16" s="46">
        <f t="shared" si="17"/>
        <v>300</v>
      </c>
      <c r="K16" s="29">
        <f t="shared" si="18"/>
        <v>0</v>
      </c>
      <c r="L16" s="57">
        <f t="shared" si="19"/>
        <v>300</v>
      </c>
      <c r="M16" s="46"/>
      <c r="N16" s="16"/>
      <c r="O16" s="57">
        <f t="shared" si="20"/>
        <v>0</v>
      </c>
      <c r="P16" s="57"/>
      <c r="Q16" s="46">
        <v>18.731000000000002</v>
      </c>
      <c r="R16" s="16"/>
      <c r="S16" s="57">
        <f t="shared" si="21"/>
        <v>18.731000000000002</v>
      </c>
      <c r="T16" s="57">
        <f t="shared" si="26"/>
        <v>6.2436666666666678</v>
      </c>
      <c r="U16" s="46">
        <v>27.126999999999999</v>
      </c>
      <c r="V16" s="16"/>
      <c r="W16" s="57">
        <f t="shared" si="22"/>
        <v>27.126999999999999</v>
      </c>
      <c r="X16" s="57">
        <f t="shared" ref="X16:X28" si="28">W16/$L16*100</f>
        <v>9.0423333333333336</v>
      </c>
      <c r="Y16" s="46">
        <v>152.12</v>
      </c>
      <c r="Z16" s="16"/>
      <c r="AA16" s="57">
        <f t="shared" si="23"/>
        <v>152.12</v>
      </c>
      <c r="AB16" s="57">
        <f t="shared" si="27"/>
        <v>50.706666666666663</v>
      </c>
      <c r="AC16" s="354">
        <f t="shared" si="24"/>
        <v>147.88</v>
      </c>
      <c r="AD16" s="46">
        <v>2400</v>
      </c>
      <c r="AE16" s="16"/>
      <c r="AF16" s="57">
        <f t="shared" si="25"/>
        <v>2400</v>
      </c>
      <c r="AG16" s="57">
        <f t="shared" ref="AG16:AG29" si="29">AF16/$G16*100</f>
        <v>109.09090909090908</v>
      </c>
      <c r="AH16" s="46">
        <f>2500</f>
        <v>2500</v>
      </c>
      <c r="AI16" s="466">
        <f t="shared" si="1"/>
        <v>8.3333333333333339</v>
      </c>
      <c r="AJ16" s="57" t="s">
        <v>433</v>
      </c>
      <c r="AK16" s="303" t="s">
        <v>157</v>
      </c>
      <c r="AL16" s="290" t="s">
        <v>117</v>
      </c>
    </row>
    <row r="17" spans="1:38" s="449" customFormat="1" x14ac:dyDescent="0.2">
      <c r="A17" s="136"/>
      <c r="B17" s="29">
        <v>2212</v>
      </c>
      <c r="C17" s="29"/>
      <c r="D17" s="196" t="s">
        <v>437</v>
      </c>
      <c r="E17" s="46"/>
      <c r="F17" s="16"/>
      <c r="G17" s="57"/>
      <c r="H17" s="176"/>
      <c r="I17" s="177"/>
      <c r="J17" s="46"/>
      <c r="K17" s="29"/>
      <c r="L17" s="57"/>
      <c r="M17" s="46"/>
      <c r="N17" s="16"/>
      <c r="O17" s="57"/>
      <c r="P17" s="57"/>
      <c r="Q17" s="46"/>
      <c r="R17" s="16"/>
      <c r="S17" s="57"/>
      <c r="T17" s="57"/>
      <c r="U17" s="46"/>
      <c r="V17" s="16"/>
      <c r="W17" s="57"/>
      <c r="X17" s="57"/>
      <c r="Y17" s="46"/>
      <c r="Z17" s="16"/>
      <c r="AA17" s="57">
        <f t="shared" si="23"/>
        <v>0</v>
      </c>
      <c r="AB17" s="57"/>
      <c r="AC17" s="354">
        <f t="shared" si="24"/>
        <v>0</v>
      </c>
      <c r="AD17" s="46">
        <v>200</v>
      </c>
      <c r="AE17" s="16"/>
      <c r="AF17" s="57">
        <f t="shared" si="25"/>
        <v>200</v>
      </c>
      <c r="AG17" s="57"/>
      <c r="AH17" s="46">
        <v>200</v>
      </c>
      <c r="AI17" s="466"/>
      <c r="AJ17" s="57"/>
      <c r="AK17" s="303" t="s">
        <v>157</v>
      </c>
      <c r="AL17" s="290" t="s">
        <v>117</v>
      </c>
    </row>
    <row r="18" spans="1:38" x14ac:dyDescent="0.2">
      <c r="A18" s="136"/>
      <c r="B18" s="29">
        <v>2212</v>
      </c>
      <c r="C18" s="29">
        <v>208</v>
      </c>
      <c r="D18" s="196" t="s">
        <v>286</v>
      </c>
      <c r="E18" s="46"/>
      <c r="F18" s="16">
        <v>450</v>
      </c>
      <c r="G18" s="57">
        <f t="shared" si="16"/>
        <v>450</v>
      </c>
      <c r="H18" s="176"/>
      <c r="I18" s="177"/>
      <c r="J18" s="46">
        <f t="shared" si="17"/>
        <v>0</v>
      </c>
      <c r="K18" s="29">
        <f t="shared" si="18"/>
        <v>450</v>
      </c>
      <c r="L18" s="57">
        <f t="shared" si="19"/>
        <v>450</v>
      </c>
      <c r="M18" s="46"/>
      <c r="N18" s="16">
        <v>57.475000000000001</v>
      </c>
      <c r="O18" s="57">
        <f t="shared" si="20"/>
        <v>57.475000000000001</v>
      </c>
      <c r="P18" s="57">
        <f>O18/$L18*100</f>
        <v>12.772222222222224</v>
      </c>
      <c r="Q18" s="46"/>
      <c r="R18" s="16">
        <v>199.68145999999999</v>
      </c>
      <c r="S18" s="57">
        <f t="shared" si="21"/>
        <v>199.68145999999999</v>
      </c>
      <c r="T18" s="57">
        <f t="shared" si="26"/>
        <v>44.373657777777773</v>
      </c>
      <c r="U18" s="46"/>
      <c r="V18" s="16">
        <v>199.68145999999999</v>
      </c>
      <c r="W18" s="57">
        <f t="shared" si="22"/>
        <v>199.68145999999999</v>
      </c>
      <c r="X18" s="57">
        <f t="shared" si="28"/>
        <v>44.373657777777773</v>
      </c>
      <c r="Y18" s="46"/>
      <c r="Z18" s="16">
        <v>199.68145999999999</v>
      </c>
      <c r="AA18" s="57">
        <f t="shared" si="23"/>
        <v>199.68145999999999</v>
      </c>
      <c r="AB18" s="57">
        <f t="shared" si="27"/>
        <v>44.373657777777773</v>
      </c>
      <c r="AC18" s="354">
        <f t="shared" si="24"/>
        <v>250.31854000000001</v>
      </c>
      <c r="AD18" s="46"/>
      <c r="AE18" s="16"/>
      <c r="AF18" s="57">
        <f t="shared" si="25"/>
        <v>0</v>
      </c>
      <c r="AG18" s="57">
        <f t="shared" si="29"/>
        <v>0</v>
      </c>
      <c r="AH18" s="46">
        <v>0</v>
      </c>
      <c r="AI18" s="466">
        <f t="shared" si="1"/>
        <v>0</v>
      </c>
      <c r="AJ18" s="57" t="s">
        <v>438</v>
      </c>
      <c r="AK18" s="303" t="s">
        <v>157</v>
      </c>
      <c r="AL18" s="290" t="s">
        <v>117</v>
      </c>
    </row>
    <row r="19" spans="1:38" x14ac:dyDescent="0.2">
      <c r="A19" s="136"/>
      <c r="B19" s="29">
        <v>2212</v>
      </c>
      <c r="C19" s="29">
        <v>217</v>
      </c>
      <c r="D19" s="196" t="s">
        <v>375</v>
      </c>
      <c r="E19" s="46"/>
      <c r="F19" s="16">
        <v>150</v>
      </c>
      <c r="G19" s="57">
        <f t="shared" si="16"/>
        <v>150</v>
      </c>
      <c r="H19" s="176"/>
      <c r="I19" s="177"/>
      <c r="J19" s="46">
        <f t="shared" si="17"/>
        <v>0</v>
      </c>
      <c r="K19" s="29">
        <f t="shared" si="18"/>
        <v>150</v>
      </c>
      <c r="L19" s="57">
        <f t="shared" si="19"/>
        <v>150</v>
      </c>
      <c r="M19" s="46"/>
      <c r="N19" s="16">
        <v>29.04</v>
      </c>
      <c r="O19" s="57">
        <f t="shared" si="20"/>
        <v>29.04</v>
      </c>
      <c r="P19" s="57"/>
      <c r="Q19" s="46"/>
      <c r="R19" s="16">
        <v>34.823999999999998</v>
      </c>
      <c r="S19" s="57">
        <f t="shared" si="21"/>
        <v>34.823999999999998</v>
      </c>
      <c r="T19" s="57">
        <f t="shared" si="26"/>
        <v>23.215999999999998</v>
      </c>
      <c r="U19" s="46"/>
      <c r="V19" s="16">
        <v>0</v>
      </c>
      <c r="W19" s="57">
        <f t="shared" si="22"/>
        <v>0</v>
      </c>
      <c r="X19" s="57">
        <f t="shared" si="28"/>
        <v>0</v>
      </c>
      <c r="Y19" s="46"/>
      <c r="Z19" s="16">
        <v>0</v>
      </c>
      <c r="AA19" s="57">
        <f t="shared" si="23"/>
        <v>0</v>
      </c>
      <c r="AB19" s="57">
        <f t="shared" si="27"/>
        <v>0</v>
      </c>
      <c r="AC19" s="354">
        <f t="shared" si="24"/>
        <v>150</v>
      </c>
      <c r="AD19" s="46">
        <v>150</v>
      </c>
      <c r="AE19" s="16"/>
      <c r="AF19" s="57">
        <f t="shared" si="25"/>
        <v>150</v>
      </c>
      <c r="AG19" s="57">
        <f t="shared" si="29"/>
        <v>100</v>
      </c>
      <c r="AH19" s="46">
        <v>150</v>
      </c>
      <c r="AI19" s="466">
        <f t="shared" si="1"/>
        <v>1</v>
      </c>
      <c r="AJ19" s="57" t="s">
        <v>429</v>
      </c>
      <c r="AK19" s="303" t="s">
        <v>157</v>
      </c>
      <c r="AL19" s="290" t="s">
        <v>117</v>
      </c>
    </row>
    <row r="20" spans="1:38" x14ac:dyDescent="0.2">
      <c r="A20" s="136"/>
      <c r="B20" s="29">
        <v>2212</v>
      </c>
      <c r="C20" s="29">
        <v>220</v>
      </c>
      <c r="D20" s="196" t="s">
        <v>365</v>
      </c>
      <c r="E20" s="46">
        <v>2886</v>
      </c>
      <c r="F20" s="16">
        <f>1500+7514+600</f>
        <v>9614</v>
      </c>
      <c r="G20" s="57">
        <f t="shared" si="16"/>
        <v>12500</v>
      </c>
      <c r="H20" s="176"/>
      <c r="I20" s="177">
        <f>-400+80</f>
        <v>-320</v>
      </c>
      <c r="J20" s="46">
        <f t="shared" si="17"/>
        <v>2886</v>
      </c>
      <c r="K20" s="29">
        <f t="shared" si="18"/>
        <v>9294</v>
      </c>
      <c r="L20" s="57">
        <f t="shared" si="19"/>
        <v>12180</v>
      </c>
      <c r="M20" s="46"/>
      <c r="N20" s="16"/>
      <c r="O20" s="57">
        <f t="shared" si="20"/>
        <v>0</v>
      </c>
      <c r="P20" s="57"/>
      <c r="Q20" s="46">
        <v>2886.6239999999998</v>
      </c>
      <c r="R20" s="16">
        <f>456.314+7513.376</f>
        <v>7969.6900000000005</v>
      </c>
      <c r="S20" s="57">
        <f t="shared" si="21"/>
        <v>10856.314</v>
      </c>
      <c r="T20" s="57">
        <f t="shared" si="26"/>
        <v>89.132298850574728</v>
      </c>
      <c r="U20" s="46">
        <v>2886.6239999999998</v>
      </c>
      <c r="V20" s="16">
        <f>921.858+7513.376</f>
        <v>8435.2340000000004</v>
      </c>
      <c r="W20" s="57">
        <f t="shared" si="22"/>
        <v>11321.858</v>
      </c>
      <c r="X20" s="57">
        <f t="shared" si="28"/>
        <v>92.954499178981948</v>
      </c>
      <c r="Y20" s="46">
        <v>2886.6239999999998</v>
      </c>
      <c r="Z20" s="16">
        <f>1546.8235+7753.376</f>
        <v>9300.1995000000006</v>
      </c>
      <c r="AA20" s="57">
        <f t="shared" si="23"/>
        <v>12186.8235</v>
      </c>
      <c r="AB20" s="57">
        <f t="shared" si="27"/>
        <v>100.05602216748768</v>
      </c>
      <c r="AC20" s="354">
        <f t="shared" si="24"/>
        <v>-6.823500000000422</v>
      </c>
      <c r="AD20" s="46">
        <f>122+78</f>
        <v>200</v>
      </c>
      <c r="AE20" s="16">
        <f>1800+11834</f>
        <v>13634</v>
      </c>
      <c r="AF20" s="57">
        <f t="shared" si="25"/>
        <v>13834</v>
      </c>
      <c r="AG20" s="57">
        <f t="shared" si="29"/>
        <v>110.672</v>
      </c>
      <c r="AH20" s="46">
        <f>1800+14000</f>
        <v>15800</v>
      </c>
      <c r="AI20" s="466">
        <f t="shared" si="1"/>
        <v>1.2972085385878489</v>
      </c>
      <c r="AJ20" s="57" t="s">
        <v>381</v>
      </c>
      <c r="AK20" s="303" t="s">
        <v>157</v>
      </c>
      <c r="AL20" s="290" t="s">
        <v>117</v>
      </c>
    </row>
    <row r="21" spans="1:38" s="449" customFormat="1" x14ac:dyDescent="0.2">
      <c r="A21" s="136"/>
      <c r="B21" s="29"/>
      <c r="C21" s="29"/>
      <c r="D21" s="196" t="s">
        <v>432</v>
      </c>
      <c r="E21" s="46"/>
      <c r="F21" s="16"/>
      <c r="G21" s="57"/>
      <c r="H21" s="176"/>
      <c r="I21" s="177"/>
      <c r="J21" s="46"/>
      <c r="K21" s="29"/>
      <c r="L21" s="57"/>
      <c r="M21" s="46"/>
      <c r="N21" s="16"/>
      <c r="O21" s="57"/>
      <c r="P21" s="57"/>
      <c r="Q21" s="46"/>
      <c r="R21" s="16"/>
      <c r="S21" s="57"/>
      <c r="T21" s="57"/>
      <c r="U21" s="46"/>
      <c r="V21" s="16"/>
      <c r="W21" s="57"/>
      <c r="X21" s="57"/>
      <c r="Y21" s="46"/>
      <c r="Z21" s="16"/>
      <c r="AA21" s="57"/>
      <c r="AB21" s="57"/>
      <c r="AC21" s="354">
        <f t="shared" si="24"/>
        <v>0</v>
      </c>
      <c r="AD21" s="46"/>
      <c r="AE21" s="16">
        <v>1320</v>
      </c>
      <c r="AF21" s="57">
        <f t="shared" si="25"/>
        <v>1320</v>
      </c>
      <c r="AG21" s="57"/>
      <c r="AH21" s="46">
        <v>1320</v>
      </c>
      <c r="AI21" s="466"/>
      <c r="AJ21" s="57"/>
      <c r="AK21" s="303" t="s">
        <v>157</v>
      </c>
      <c r="AL21" s="290" t="s">
        <v>117</v>
      </c>
    </row>
    <row r="22" spans="1:38" x14ac:dyDescent="0.2">
      <c r="A22" s="136"/>
      <c r="B22" s="29">
        <v>2219</v>
      </c>
      <c r="C22" s="29">
        <v>43</v>
      </c>
      <c r="D22" s="196" t="s">
        <v>121</v>
      </c>
      <c r="E22" s="46">
        <v>35</v>
      </c>
      <c r="F22" s="16"/>
      <c r="G22" s="57">
        <f t="shared" si="16"/>
        <v>35</v>
      </c>
      <c r="H22" s="176">
        <v>-4</v>
      </c>
      <c r="I22" s="177"/>
      <c r="J22" s="46">
        <f t="shared" si="17"/>
        <v>31</v>
      </c>
      <c r="K22" s="29">
        <f t="shared" si="18"/>
        <v>0</v>
      </c>
      <c r="L22" s="57">
        <f t="shared" si="19"/>
        <v>31</v>
      </c>
      <c r="M22" s="46"/>
      <c r="N22" s="16"/>
      <c r="O22" s="57">
        <f t="shared" si="20"/>
        <v>0</v>
      </c>
      <c r="P22" s="57">
        <f>O22/$L22*100</f>
        <v>0</v>
      </c>
      <c r="Q22" s="46">
        <v>14.340920000000001</v>
      </c>
      <c r="R22" s="16"/>
      <c r="S22" s="57">
        <f t="shared" si="21"/>
        <v>14.340920000000001</v>
      </c>
      <c r="T22" s="57">
        <f t="shared" si="26"/>
        <v>46.261032258064517</v>
      </c>
      <c r="U22" s="46">
        <v>21.441199999999998</v>
      </c>
      <c r="V22" s="16"/>
      <c r="W22" s="57">
        <f t="shared" si="22"/>
        <v>21.441199999999998</v>
      </c>
      <c r="X22" s="57">
        <f t="shared" si="28"/>
        <v>69.165161290322573</v>
      </c>
      <c r="Y22" s="46">
        <v>36.056600000000003</v>
      </c>
      <c r="Z22" s="16"/>
      <c r="AA22" s="57">
        <f t="shared" si="23"/>
        <v>36.056600000000003</v>
      </c>
      <c r="AB22" s="57">
        <f t="shared" si="27"/>
        <v>116.31161290322582</v>
      </c>
      <c r="AC22" s="354">
        <f t="shared" si="24"/>
        <v>-5.0566000000000031</v>
      </c>
      <c r="AD22" s="46">
        <v>31</v>
      </c>
      <c r="AE22" s="16"/>
      <c r="AF22" s="57">
        <f t="shared" si="25"/>
        <v>31</v>
      </c>
      <c r="AG22" s="57">
        <f t="shared" si="29"/>
        <v>88.571428571428569</v>
      </c>
      <c r="AH22" s="46">
        <v>31</v>
      </c>
      <c r="AI22" s="466">
        <f t="shared" si="1"/>
        <v>1</v>
      </c>
      <c r="AJ22" s="57"/>
      <c r="AK22" s="308" t="s">
        <v>156</v>
      </c>
      <c r="AL22" s="291" t="s">
        <v>281</v>
      </c>
    </row>
    <row r="23" spans="1:38" x14ac:dyDescent="0.2">
      <c r="A23" s="136"/>
      <c r="B23" s="29">
        <v>2219</v>
      </c>
      <c r="C23" s="29">
        <v>46</v>
      </c>
      <c r="D23" s="196" t="s">
        <v>296</v>
      </c>
      <c r="E23" s="46"/>
      <c r="F23" s="16">
        <v>250</v>
      </c>
      <c r="G23" s="57">
        <f t="shared" si="16"/>
        <v>250</v>
      </c>
      <c r="H23" s="176"/>
      <c r="I23" s="177"/>
      <c r="J23" s="46">
        <f t="shared" si="17"/>
        <v>0</v>
      </c>
      <c r="K23" s="29">
        <f t="shared" si="18"/>
        <v>250</v>
      </c>
      <c r="L23" s="57">
        <f t="shared" si="19"/>
        <v>250</v>
      </c>
      <c r="M23" s="46"/>
      <c r="N23" s="16"/>
      <c r="O23" s="57">
        <f t="shared" si="20"/>
        <v>0</v>
      </c>
      <c r="P23" s="57">
        <f>O23/$L23*100</f>
        <v>0</v>
      </c>
      <c r="Q23" s="46"/>
      <c r="R23" s="16"/>
      <c r="S23" s="57">
        <f t="shared" si="21"/>
        <v>0</v>
      </c>
      <c r="T23" s="57">
        <f t="shared" si="26"/>
        <v>0</v>
      </c>
      <c r="U23" s="46"/>
      <c r="V23" s="16"/>
      <c r="W23" s="57">
        <f t="shared" si="22"/>
        <v>0</v>
      </c>
      <c r="X23" s="57">
        <f t="shared" si="28"/>
        <v>0</v>
      </c>
      <c r="Y23" s="46"/>
      <c r="Z23" s="16">
        <v>0</v>
      </c>
      <c r="AA23" s="57">
        <f t="shared" si="23"/>
        <v>0</v>
      </c>
      <c r="AB23" s="57">
        <f t="shared" si="27"/>
        <v>0</v>
      </c>
      <c r="AC23" s="354">
        <f t="shared" si="24"/>
        <v>250</v>
      </c>
      <c r="AD23" s="46"/>
      <c r="AE23" s="16">
        <v>200</v>
      </c>
      <c r="AF23" s="57">
        <f t="shared" si="25"/>
        <v>200</v>
      </c>
      <c r="AG23" s="57">
        <f t="shared" si="29"/>
        <v>80</v>
      </c>
      <c r="AH23" s="46">
        <v>250</v>
      </c>
      <c r="AI23" s="466">
        <f t="shared" si="1"/>
        <v>1</v>
      </c>
      <c r="AJ23" s="57" t="s">
        <v>382</v>
      </c>
      <c r="AK23" s="303" t="s">
        <v>384</v>
      </c>
      <c r="AL23" s="290" t="s">
        <v>117</v>
      </c>
    </row>
    <row r="24" spans="1:38" s="449" customFormat="1" x14ac:dyDescent="0.2">
      <c r="A24" s="136"/>
      <c r="B24" s="29">
        <v>2219</v>
      </c>
      <c r="C24" s="29"/>
      <c r="D24" s="196" t="s">
        <v>458</v>
      </c>
      <c r="E24" s="46"/>
      <c r="F24" s="16"/>
      <c r="G24" s="57"/>
      <c r="H24" s="176"/>
      <c r="I24" s="177"/>
      <c r="J24" s="46"/>
      <c r="K24" s="29"/>
      <c r="L24" s="57"/>
      <c r="M24" s="46"/>
      <c r="N24" s="16"/>
      <c r="O24" s="57"/>
      <c r="P24" s="57"/>
      <c r="Q24" s="46"/>
      <c r="R24" s="16"/>
      <c r="S24" s="57"/>
      <c r="T24" s="57"/>
      <c r="U24" s="46"/>
      <c r="V24" s="16"/>
      <c r="W24" s="57"/>
      <c r="X24" s="57"/>
      <c r="Y24" s="46"/>
      <c r="Z24" s="16"/>
      <c r="AA24" s="57"/>
      <c r="AB24" s="57"/>
      <c r="AC24" s="354">
        <f t="shared" si="24"/>
        <v>0</v>
      </c>
      <c r="AD24" s="46"/>
      <c r="AE24" s="16">
        <f>600+300</f>
        <v>900</v>
      </c>
      <c r="AF24" s="57">
        <f t="shared" si="25"/>
        <v>900</v>
      </c>
      <c r="AG24" s="57"/>
      <c r="AH24" s="46">
        <v>1400</v>
      </c>
      <c r="AI24" s="466"/>
      <c r="AJ24" s="57"/>
      <c r="AK24" s="303"/>
      <c r="AL24" s="290"/>
    </row>
    <row r="25" spans="1:38" x14ac:dyDescent="0.2">
      <c r="A25" s="136"/>
      <c r="B25" s="29">
        <v>2219</v>
      </c>
      <c r="C25" s="29">
        <v>49</v>
      </c>
      <c r="D25" s="196" t="s">
        <v>376</v>
      </c>
      <c r="E25" s="46"/>
      <c r="F25" s="16">
        <v>150</v>
      </c>
      <c r="G25" s="57">
        <f t="shared" si="16"/>
        <v>150</v>
      </c>
      <c r="H25" s="176">
        <v>60</v>
      </c>
      <c r="I25" s="177">
        <f>-15-60</f>
        <v>-75</v>
      </c>
      <c r="J25" s="46">
        <f t="shared" si="17"/>
        <v>60</v>
      </c>
      <c r="K25" s="29">
        <f t="shared" si="18"/>
        <v>75</v>
      </c>
      <c r="L25" s="57">
        <f t="shared" si="19"/>
        <v>135</v>
      </c>
      <c r="M25" s="46"/>
      <c r="N25" s="16"/>
      <c r="O25" s="57">
        <f t="shared" si="20"/>
        <v>0</v>
      </c>
      <c r="P25" s="57"/>
      <c r="Q25" s="46"/>
      <c r="R25" s="16"/>
      <c r="S25" s="57">
        <f t="shared" si="21"/>
        <v>0</v>
      </c>
      <c r="T25" s="57">
        <f t="shared" si="26"/>
        <v>0</v>
      </c>
      <c r="U25" s="46"/>
      <c r="V25" s="16"/>
      <c r="W25" s="57">
        <f t="shared" si="22"/>
        <v>0</v>
      </c>
      <c r="X25" s="57">
        <f t="shared" si="28"/>
        <v>0</v>
      </c>
      <c r="Y25" s="46">
        <v>60</v>
      </c>
      <c r="Z25" s="16"/>
      <c r="AA25" s="57">
        <f t="shared" si="23"/>
        <v>60</v>
      </c>
      <c r="AB25" s="57">
        <f t="shared" si="27"/>
        <v>44.444444444444443</v>
      </c>
      <c r="AC25" s="354">
        <f t="shared" si="24"/>
        <v>75</v>
      </c>
      <c r="AD25" s="16">
        <v>135</v>
      </c>
      <c r="AE25" s="16"/>
      <c r="AF25" s="57">
        <f t="shared" si="25"/>
        <v>135</v>
      </c>
      <c r="AG25" s="57">
        <f t="shared" si="29"/>
        <v>90</v>
      </c>
      <c r="AH25" s="46">
        <v>150</v>
      </c>
      <c r="AI25" s="466">
        <f t="shared" si="1"/>
        <v>1.1111111111111112</v>
      </c>
      <c r="AJ25" s="57" t="s">
        <v>429</v>
      </c>
      <c r="AK25" s="303" t="s">
        <v>384</v>
      </c>
      <c r="AL25" s="290" t="s">
        <v>117</v>
      </c>
    </row>
    <row r="26" spans="1:38" x14ac:dyDescent="0.2">
      <c r="A26" s="136"/>
      <c r="B26" s="29">
        <v>2292</v>
      </c>
      <c r="C26" s="29">
        <v>204</v>
      </c>
      <c r="D26" s="196" t="s">
        <v>118</v>
      </c>
      <c r="E26" s="46">
        <v>486</v>
      </c>
      <c r="F26" s="16"/>
      <c r="G26" s="57">
        <f t="shared" ref="G26:G29" si="30">E26+F26</f>
        <v>486</v>
      </c>
      <c r="H26" s="176"/>
      <c r="I26" s="177"/>
      <c r="J26" s="46">
        <f t="shared" ref="J26:J27" si="31">E26+H26</f>
        <v>486</v>
      </c>
      <c r="K26" s="29">
        <f t="shared" ref="K26:K27" si="32">F26+I26</f>
        <v>0</v>
      </c>
      <c r="L26" s="57">
        <f t="shared" ref="L26:L29" si="33">SUM(J26:K26)</f>
        <v>486</v>
      </c>
      <c r="M26" s="46">
        <v>121.2975</v>
      </c>
      <c r="N26" s="16"/>
      <c r="O26" s="57">
        <f t="shared" ref="O26:O29" si="34">M26+N26</f>
        <v>121.2975</v>
      </c>
      <c r="P26" s="57">
        <f>O26/$L26*100</f>
        <v>24.958333333333332</v>
      </c>
      <c r="Q26" s="46">
        <v>242.595</v>
      </c>
      <c r="R26" s="16"/>
      <c r="S26" s="57">
        <f t="shared" ref="S26:S29" si="35">Q26+R26</f>
        <v>242.595</v>
      </c>
      <c r="T26" s="57">
        <f t="shared" si="26"/>
        <v>49.916666666666664</v>
      </c>
      <c r="U26" s="46">
        <v>363.89249999999998</v>
      </c>
      <c r="V26" s="16"/>
      <c r="W26" s="57">
        <f t="shared" ref="W26:W29" si="36">U26+V26</f>
        <v>363.89249999999998</v>
      </c>
      <c r="X26" s="57">
        <f t="shared" si="28"/>
        <v>74.874999999999986</v>
      </c>
      <c r="Y26" s="46">
        <v>485.19</v>
      </c>
      <c r="Z26" s="16"/>
      <c r="AA26" s="57">
        <f t="shared" ref="AA26:AA29" si="37">Y26+Z26</f>
        <v>485.19</v>
      </c>
      <c r="AB26" s="57">
        <f t="shared" si="27"/>
        <v>99.833333333333329</v>
      </c>
      <c r="AC26" s="354">
        <f t="shared" si="24"/>
        <v>0.81000000000000227</v>
      </c>
      <c r="AD26" s="46">
        <v>486</v>
      </c>
      <c r="AE26" s="16"/>
      <c r="AF26" s="57">
        <f t="shared" ref="AF26:AF29" si="38">AD26+AE26</f>
        <v>486</v>
      </c>
      <c r="AG26" s="57">
        <f t="shared" si="29"/>
        <v>100</v>
      </c>
      <c r="AH26" s="46">
        <v>486</v>
      </c>
      <c r="AI26" s="466">
        <f t="shared" si="1"/>
        <v>1</v>
      </c>
      <c r="AJ26" s="57" t="s">
        <v>366</v>
      </c>
      <c r="AK26" s="382" t="s">
        <v>196</v>
      </c>
      <c r="AL26" s="289" t="s">
        <v>71</v>
      </c>
    </row>
    <row r="27" spans="1:38" x14ac:dyDescent="0.2">
      <c r="A27" s="136"/>
      <c r="B27" s="29">
        <v>2333</v>
      </c>
      <c r="C27" s="29">
        <v>280</v>
      </c>
      <c r="D27" s="413" t="s">
        <v>364</v>
      </c>
      <c r="E27" s="46">
        <v>80</v>
      </c>
      <c r="F27" s="16"/>
      <c r="G27" s="57">
        <f t="shared" si="30"/>
        <v>80</v>
      </c>
      <c r="H27" s="176">
        <f>-8-72</f>
        <v>-80</v>
      </c>
      <c r="I27" s="177">
        <v>72</v>
      </c>
      <c r="J27" s="46">
        <f t="shared" si="31"/>
        <v>0</v>
      </c>
      <c r="K27" s="29">
        <f t="shared" si="32"/>
        <v>72</v>
      </c>
      <c r="L27" s="57">
        <f t="shared" si="33"/>
        <v>72</v>
      </c>
      <c r="M27" s="46"/>
      <c r="N27" s="16"/>
      <c r="O27" s="57">
        <f t="shared" si="34"/>
        <v>0</v>
      </c>
      <c r="P27" s="57"/>
      <c r="Q27" s="46"/>
      <c r="R27" s="16"/>
      <c r="S27" s="57">
        <f t="shared" si="35"/>
        <v>0</v>
      </c>
      <c r="T27" s="57">
        <f t="shared" si="26"/>
        <v>0</v>
      </c>
      <c r="U27" s="46"/>
      <c r="V27" s="16"/>
      <c r="W27" s="57">
        <f t="shared" si="36"/>
        <v>0</v>
      </c>
      <c r="X27" s="57">
        <f t="shared" si="28"/>
        <v>0</v>
      </c>
      <c r="Y27" s="46"/>
      <c r="Z27" s="16">
        <v>73.81</v>
      </c>
      <c r="AA27" s="57">
        <f t="shared" si="37"/>
        <v>73.81</v>
      </c>
      <c r="AB27" s="57">
        <f t="shared" si="27"/>
        <v>102.51388888888889</v>
      </c>
      <c r="AC27" s="354">
        <f t="shared" si="24"/>
        <v>-1.8100000000000023</v>
      </c>
      <c r="AD27" s="46"/>
      <c r="AE27" s="16">
        <v>822</v>
      </c>
      <c r="AF27" s="57">
        <f t="shared" si="38"/>
        <v>822</v>
      </c>
      <c r="AG27" s="57">
        <f t="shared" si="29"/>
        <v>1027.5</v>
      </c>
      <c r="AH27" s="46">
        <v>1100</v>
      </c>
      <c r="AI27" s="466">
        <f t="shared" si="1"/>
        <v>15.277777777777779</v>
      </c>
      <c r="AJ27" s="57" t="s">
        <v>428</v>
      </c>
      <c r="AK27" s="303" t="s">
        <v>384</v>
      </c>
      <c r="AL27" s="290" t="s">
        <v>117</v>
      </c>
    </row>
    <row r="28" spans="1:38" s="449" customFormat="1" x14ac:dyDescent="0.2">
      <c r="A28" s="136"/>
      <c r="B28" s="29">
        <v>2341</v>
      </c>
      <c r="C28" s="29">
        <v>50</v>
      </c>
      <c r="D28" s="413" t="s">
        <v>415</v>
      </c>
      <c r="E28" s="46"/>
      <c r="F28" s="16"/>
      <c r="G28" s="57"/>
      <c r="H28" s="176"/>
      <c r="I28" s="177">
        <v>150</v>
      </c>
      <c r="J28" s="46">
        <f t="shared" ref="J28" si="39">E28+H28</f>
        <v>0</v>
      </c>
      <c r="K28" s="29">
        <f t="shared" ref="K28" si="40">F28+I28</f>
        <v>150</v>
      </c>
      <c r="L28" s="57">
        <f t="shared" ref="L28" si="41">SUM(J28:K28)</f>
        <v>150</v>
      </c>
      <c r="M28" s="46"/>
      <c r="N28" s="16"/>
      <c r="O28" s="57"/>
      <c r="P28" s="57"/>
      <c r="Q28" s="46"/>
      <c r="R28" s="16"/>
      <c r="S28" s="57"/>
      <c r="T28" s="57"/>
      <c r="U28" s="46"/>
      <c r="V28" s="16"/>
      <c r="W28" s="57">
        <f t="shared" si="36"/>
        <v>0</v>
      </c>
      <c r="X28" s="57">
        <f t="shared" si="28"/>
        <v>0</v>
      </c>
      <c r="Y28" s="46"/>
      <c r="Z28" s="16">
        <v>116.16</v>
      </c>
      <c r="AA28" s="57">
        <f t="shared" si="37"/>
        <v>116.16</v>
      </c>
      <c r="AB28" s="57">
        <f t="shared" si="27"/>
        <v>77.44</v>
      </c>
      <c r="AC28" s="354">
        <f t="shared" si="24"/>
        <v>33.840000000000003</v>
      </c>
      <c r="AD28" s="46"/>
      <c r="AE28" s="16">
        <v>3000</v>
      </c>
      <c r="AF28" s="57">
        <f t="shared" si="38"/>
        <v>3000</v>
      </c>
      <c r="AG28" s="57" t="e">
        <f t="shared" si="29"/>
        <v>#DIV/0!</v>
      </c>
      <c r="AH28" s="46">
        <v>2900</v>
      </c>
      <c r="AI28" s="466">
        <f t="shared" si="1"/>
        <v>19.333333333333332</v>
      </c>
      <c r="AJ28" s="57"/>
      <c r="AK28" s="303" t="s">
        <v>384</v>
      </c>
      <c r="AL28" s="290" t="s">
        <v>117</v>
      </c>
    </row>
    <row r="29" spans="1:38" s="412" customFormat="1" ht="12" x14ac:dyDescent="0.2">
      <c r="A29" s="406"/>
      <c r="B29" s="35">
        <v>2321</v>
      </c>
      <c r="C29" s="407">
        <v>5103</v>
      </c>
      <c r="D29" s="374" t="s">
        <v>305</v>
      </c>
      <c r="E29" s="61">
        <v>46</v>
      </c>
      <c r="F29" s="64">
        <v>1200</v>
      </c>
      <c r="G29" s="63">
        <f t="shared" si="30"/>
        <v>1246</v>
      </c>
      <c r="H29" s="409"/>
      <c r="I29" s="184"/>
      <c r="J29" s="61">
        <f>E29+H29</f>
        <v>46</v>
      </c>
      <c r="K29" s="64">
        <f>F29+I29</f>
        <v>1200</v>
      </c>
      <c r="L29" s="63">
        <f t="shared" si="33"/>
        <v>1246</v>
      </c>
      <c r="M29" s="61"/>
      <c r="N29" s="64"/>
      <c r="O29" s="63">
        <f t="shared" si="34"/>
        <v>0</v>
      </c>
      <c r="P29" s="408">
        <f>O29/$L29*100</f>
        <v>0</v>
      </c>
      <c r="Q29" s="61">
        <v>45.238</v>
      </c>
      <c r="R29" s="64"/>
      <c r="S29" s="63">
        <f t="shared" si="35"/>
        <v>45.238</v>
      </c>
      <c r="T29" s="408">
        <f t="shared" si="5"/>
        <v>3.6306581059390046</v>
      </c>
      <c r="U29" s="61">
        <v>45.238</v>
      </c>
      <c r="V29" s="64"/>
      <c r="W29" s="63">
        <f t="shared" si="36"/>
        <v>45.238</v>
      </c>
      <c r="X29" s="63">
        <f t="shared" si="7"/>
        <v>3.6306581059390046</v>
      </c>
      <c r="Y29" s="61">
        <v>45.238</v>
      </c>
      <c r="Z29" s="64">
        <v>1200</v>
      </c>
      <c r="AA29" s="63">
        <f t="shared" si="37"/>
        <v>1245.2380000000001</v>
      </c>
      <c r="AB29" s="57">
        <f t="shared" si="27"/>
        <v>99.938844301765656</v>
      </c>
      <c r="AC29" s="354">
        <f t="shared" si="24"/>
        <v>0.76199999999994361</v>
      </c>
      <c r="AD29" s="61">
        <v>40</v>
      </c>
      <c r="AE29" s="64"/>
      <c r="AF29" s="63">
        <f t="shared" si="38"/>
        <v>40</v>
      </c>
      <c r="AG29" s="417">
        <f t="shared" si="29"/>
        <v>3.2102728731942212</v>
      </c>
      <c r="AH29" s="61">
        <v>40</v>
      </c>
      <c r="AI29" s="468">
        <f t="shared" si="1"/>
        <v>3.2102728731942212E-2</v>
      </c>
      <c r="AJ29" s="63"/>
      <c r="AK29" s="410" t="s">
        <v>319</v>
      </c>
      <c r="AL29" s="411" t="s">
        <v>71</v>
      </c>
    </row>
    <row r="30" spans="1:38" x14ac:dyDescent="0.2">
      <c r="A30" s="90">
        <v>31</v>
      </c>
      <c r="B30" s="32">
        <v>3100</v>
      </c>
      <c r="C30" s="32"/>
      <c r="D30" s="366" t="s">
        <v>388</v>
      </c>
      <c r="E30" s="55">
        <f t="shared" ref="E30:O30" si="42">SUM(E31:E43)</f>
        <v>15257</v>
      </c>
      <c r="F30" s="18">
        <f t="shared" si="42"/>
        <v>15015</v>
      </c>
      <c r="G30" s="56">
        <f t="shared" si="42"/>
        <v>30272</v>
      </c>
      <c r="H30" s="185">
        <f t="shared" si="42"/>
        <v>-560.41899999999987</v>
      </c>
      <c r="I30" s="186">
        <f t="shared" si="42"/>
        <v>-3897</v>
      </c>
      <c r="J30" s="55">
        <f t="shared" si="42"/>
        <v>14696.581</v>
      </c>
      <c r="K30" s="18">
        <f t="shared" si="42"/>
        <v>11118</v>
      </c>
      <c r="L30" s="56">
        <f t="shared" si="42"/>
        <v>25814.580999999998</v>
      </c>
      <c r="M30" s="55">
        <f t="shared" si="42"/>
        <v>1578.8367700000001</v>
      </c>
      <c r="N30" s="18">
        <f t="shared" si="42"/>
        <v>1675.91662</v>
      </c>
      <c r="O30" s="56">
        <f t="shared" si="42"/>
        <v>3254.7533900000003</v>
      </c>
      <c r="P30" s="60">
        <f>O30/$L30*100</f>
        <v>12.608197630633637</v>
      </c>
      <c r="Q30" s="55">
        <f>SUM(Q31:Q43)</f>
        <v>3234.104780000001</v>
      </c>
      <c r="R30" s="18">
        <f>SUM(R31:R43)</f>
        <v>4190.6781899999996</v>
      </c>
      <c r="S30" s="56">
        <f>SUM(S31:S43)</f>
        <v>7424.7829700000002</v>
      </c>
      <c r="T30" s="60">
        <f t="shared" si="5"/>
        <v>28.761973591591516</v>
      </c>
      <c r="U30" s="55">
        <f>SUM(U31:U43)</f>
        <v>9766.09339</v>
      </c>
      <c r="V30" s="18">
        <f>SUM(V31:V43)</f>
        <v>12024.24545</v>
      </c>
      <c r="W30" s="56">
        <f>SUM(W31:W43)</f>
        <v>21790.33884</v>
      </c>
      <c r="X30" s="60">
        <f t="shared" si="7"/>
        <v>84.410972388046901</v>
      </c>
      <c r="Y30" s="55">
        <f>SUM(Y31:Y43)</f>
        <v>14373.98861</v>
      </c>
      <c r="Z30" s="18">
        <f>SUM(Z31:Z43)</f>
        <v>9765.0157299999992</v>
      </c>
      <c r="AA30" s="56">
        <f>SUM(AA31:AA43)</f>
        <v>24139.004340000003</v>
      </c>
      <c r="AB30" s="60">
        <f t="shared" si="9"/>
        <v>93.509185138430112</v>
      </c>
      <c r="AC30" s="355">
        <f>SUM(AC31:AC43)</f>
        <v>1675.5766599999993</v>
      </c>
      <c r="AD30" s="55">
        <f>SUM(AD31:AD43)</f>
        <v>17266</v>
      </c>
      <c r="AE30" s="18">
        <f>SUM(AE31:AE43)</f>
        <v>535</v>
      </c>
      <c r="AF30" s="56">
        <f>SUM(AF31:AF43)</f>
        <v>17801</v>
      </c>
      <c r="AG30" s="56">
        <f t="shared" ref="AG30:AG36" si="43">AF30/$G30*100</f>
        <v>58.803514799154335</v>
      </c>
      <c r="AH30" s="55">
        <f>SUM(AH31:AH43)</f>
        <v>15946</v>
      </c>
      <c r="AI30" s="467">
        <f t="shared" si="1"/>
        <v>0.61771291193918665</v>
      </c>
      <c r="AJ30" s="56"/>
      <c r="AK30" s="304"/>
      <c r="AL30" s="74"/>
    </row>
    <row r="31" spans="1:38" ht="12" customHeight="1" x14ac:dyDescent="0.2">
      <c r="A31" s="136"/>
      <c r="B31" s="29">
        <v>3111</v>
      </c>
      <c r="C31" s="29">
        <v>301</v>
      </c>
      <c r="D31" s="196" t="s">
        <v>204</v>
      </c>
      <c r="E31" s="46">
        <v>1415</v>
      </c>
      <c r="F31" s="16"/>
      <c r="G31" s="57">
        <f t="shared" ref="G31:G35" si="44">E31+F31</f>
        <v>1415</v>
      </c>
      <c r="H31" s="182">
        <f>-142+171.171+1.171+508.239</f>
        <v>538.58100000000002</v>
      </c>
      <c r="I31" s="177"/>
      <c r="J31" s="46">
        <f t="shared" ref="J31:J42" si="45">E31+H31</f>
        <v>1953.5810000000001</v>
      </c>
      <c r="K31" s="29"/>
      <c r="L31" s="57">
        <f t="shared" ref="L31:L43" si="46">SUM(J31:K31)</f>
        <v>1953.5810000000001</v>
      </c>
      <c r="M31" s="46">
        <v>353.75</v>
      </c>
      <c r="N31" s="16"/>
      <c r="O31" s="57">
        <f t="shared" ref="O31:O43" si="47">M31+N31</f>
        <v>353.75</v>
      </c>
      <c r="P31" s="57">
        <f t="shared" ref="P31:P39" si="48">O31/$L31*100</f>
        <v>18.107772342175725</v>
      </c>
      <c r="Q31" s="46">
        <v>636.5</v>
      </c>
      <c r="R31" s="16"/>
      <c r="S31" s="57">
        <f t="shared" ref="S31:S43" si="49">Q31+R31</f>
        <v>636.5</v>
      </c>
      <c r="T31" s="57">
        <f t="shared" si="5"/>
        <v>32.581193203660355</v>
      </c>
      <c r="U31" s="46">
        <f>954.75+1.171</f>
        <v>955.92100000000005</v>
      </c>
      <c r="V31" s="16"/>
      <c r="W31" s="57">
        <f t="shared" ref="W31:W43" si="50">U31+V31</f>
        <v>955.92100000000005</v>
      </c>
      <c r="X31" s="57">
        <f t="shared" si="7"/>
        <v>48.931731010897423</v>
      </c>
      <c r="Y31" s="46">
        <f>1273+680.581</f>
        <v>1953.5810000000001</v>
      </c>
      <c r="Z31" s="16"/>
      <c r="AA31" s="57">
        <f t="shared" ref="AA31:AA43" si="51">Y31+Z31</f>
        <v>1953.5810000000001</v>
      </c>
      <c r="AB31" s="57">
        <f t="shared" si="9"/>
        <v>100</v>
      </c>
      <c r="AC31" s="354">
        <f t="shared" ref="AC31:AC43" si="52">L31-AA31</f>
        <v>0</v>
      </c>
      <c r="AD31" s="46">
        <v>1418</v>
      </c>
      <c r="AE31" s="16"/>
      <c r="AF31" s="57">
        <f t="shared" ref="AF31:AF43" si="53">AD31+AE31</f>
        <v>1418</v>
      </c>
      <c r="AG31" s="57">
        <f t="shared" si="43"/>
        <v>100.21201413427563</v>
      </c>
      <c r="AH31" s="46">
        <v>1418</v>
      </c>
      <c r="AI31" s="466">
        <f t="shared" si="1"/>
        <v>0.72584653515774356</v>
      </c>
      <c r="AJ31" s="57"/>
      <c r="AK31" s="302" t="s">
        <v>197</v>
      </c>
      <c r="AL31" s="289" t="s">
        <v>71</v>
      </c>
    </row>
    <row r="32" spans="1:38" ht="12" customHeight="1" x14ac:dyDescent="0.2">
      <c r="A32" s="136"/>
      <c r="B32" s="29">
        <v>3111</v>
      </c>
      <c r="C32" s="29">
        <v>301</v>
      </c>
      <c r="D32" s="196" t="s">
        <v>243</v>
      </c>
      <c r="E32" s="46">
        <v>231</v>
      </c>
      <c r="F32" s="16"/>
      <c r="G32" s="57">
        <f t="shared" si="44"/>
        <v>231</v>
      </c>
      <c r="H32" s="182"/>
      <c r="I32" s="177"/>
      <c r="J32" s="46">
        <f t="shared" si="45"/>
        <v>231</v>
      </c>
      <c r="K32" s="29"/>
      <c r="L32" s="57">
        <f t="shared" si="46"/>
        <v>231</v>
      </c>
      <c r="M32" s="46"/>
      <c r="N32" s="16"/>
      <c r="O32" s="57">
        <f t="shared" si="47"/>
        <v>0</v>
      </c>
      <c r="P32" s="57">
        <f t="shared" si="48"/>
        <v>0</v>
      </c>
      <c r="Q32" s="46"/>
      <c r="R32" s="16"/>
      <c r="S32" s="57">
        <f t="shared" si="49"/>
        <v>0</v>
      </c>
      <c r="T32" s="57">
        <f t="shared" si="5"/>
        <v>0</v>
      </c>
      <c r="U32" s="46">
        <v>231.22800000000001</v>
      </c>
      <c r="V32" s="16"/>
      <c r="W32" s="57">
        <f t="shared" si="50"/>
        <v>231.22800000000001</v>
      </c>
      <c r="X32" s="57">
        <f t="shared" si="7"/>
        <v>100.09870129870131</v>
      </c>
      <c r="Y32" s="46">
        <v>231.22800000000001</v>
      </c>
      <c r="Z32" s="16"/>
      <c r="AA32" s="57">
        <f t="shared" si="51"/>
        <v>231.22800000000001</v>
      </c>
      <c r="AB32" s="57">
        <f t="shared" si="9"/>
        <v>100.09870129870131</v>
      </c>
      <c r="AC32" s="354">
        <f t="shared" si="52"/>
        <v>-0.22800000000000864</v>
      </c>
      <c r="AD32" s="46">
        <v>231</v>
      </c>
      <c r="AE32" s="16"/>
      <c r="AF32" s="57">
        <f t="shared" si="53"/>
        <v>231</v>
      </c>
      <c r="AG32" s="57">
        <f t="shared" si="43"/>
        <v>100</v>
      </c>
      <c r="AH32" s="46">
        <v>231</v>
      </c>
      <c r="AI32" s="466">
        <f t="shared" si="1"/>
        <v>1</v>
      </c>
      <c r="AJ32" s="57"/>
      <c r="AK32" s="302" t="s">
        <v>197</v>
      </c>
      <c r="AL32" s="289" t="s">
        <v>71</v>
      </c>
    </row>
    <row r="33" spans="1:38" ht="12" customHeight="1" x14ac:dyDescent="0.2">
      <c r="A33" s="136"/>
      <c r="B33" s="29">
        <v>3111</v>
      </c>
      <c r="C33" s="29" t="s">
        <v>351</v>
      </c>
      <c r="D33" s="196" t="s">
        <v>339</v>
      </c>
      <c r="E33" s="46">
        <v>4500</v>
      </c>
      <c r="F33" s="16"/>
      <c r="G33" s="57">
        <f t="shared" si="44"/>
        <v>4500</v>
      </c>
      <c r="H33" s="176">
        <v>-4500</v>
      </c>
      <c r="I33" s="177"/>
      <c r="J33" s="46">
        <f t="shared" si="45"/>
        <v>0</v>
      </c>
      <c r="K33" s="29">
        <f>F33+I33</f>
        <v>0</v>
      </c>
      <c r="L33" s="57">
        <f t="shared" si="46"/>
        <v>0</v>
      </c>
      <c r="M33" s="46"/>
      <c r="N33" s="16"/>
      <c r="O33" s="57">
        <f t="shared" si="47"/>
        <v>0</v>
      </c>
      <c r="P33" s="57" t="e">
        <f t="shared" si="48"/>
        <v>#DIV/0!</v>
      </c>
      <c r="Q33" s="46"/>
      <c r="R33" s="16"/>
      <c r="S33" s="57">
        <f t="shared" si="49"/>
        <v>0</v>
      </c>
      <c r="T33" s="57" t="e">
        <f t="shared" si="5"/>
        <v>#DIV/0!</v>
      </c>
      <c r="U33" s="46"/>
      <c r="V33" s="16"/>
      <c r="W33" s="57">
        <f t="shared" si="50"/>
        <v>0</v>
      </c>
      <c r="X33" s="57" t="e">
        <f t="shared" si="7"/>
        <v>#DIV/0!</v>
      </c>
      <c r="Y33" s="46">
        <v>0</v>
      </c>
      <c r="Z33" s="16"/>
      <c r="AA33" s="57">
        <f t="shared" si="51"/>
        <v>0</v>
      </c>
      <c r="AB33" s="57"/>
      <c r="AC33" s="354">
        <f t="shared" si="52"/>
        <v>0</v>
      </c>
      <c r="AD33" s="46">
        <f>5200</f>
        <v>5200</v>
      </c>
      <c r="AE33" s="16"/>
      <c r="AF33" s="57">
        <f t="shared" si="53"/>
        <v>5200</v>
      </c>
      <c r="AG33" s="57">
        <f t="shared" si="43"/>
        <v>115.55555555555554</v>
      </c>
      <c r="AH33" s="46">
        <v>5200</v>
      </c>
      <c r="AI33" s="466" t="e">
        <f t="shared" si="1"/>
        <v>#DIV/0!</v>
      </c>
      <c r="AJ33" s="57"/>
      <c r="AK33" s="303" t="s">
        <v>157</v>
      </c>
      <c r="AL33" s="290" t="s">
        <v>117</v>
      </c>
    </row>
    <row r="34" spans="1:38" x14ac:dyDescent="0.2">
      <c r="A34" s="136"/>
      <c r="B34" s="29">
        <v>3113</v>
      </c>
      <c r="C34" s="29">
        <v>300</v>
      </c>
      <c r="D34" s="196" t="s">
        <v>198</v>
      </c>
      <c r="E34" s="46">
        <f>3200+100</f>
        <v>3300</v>
      </c>
      <c r="F34" s="16"/>
      <c r="G34" s="57">
        <f t="shared" si="44"/>
        <v>3300</v>
      </c>
      <c r="H34" s="176"/>
      <c r="I34" s="177"/>
      <c r="J34" s="46">
        <f t="shared" si="45"/>
        <v>3300</v>
      </c>
      <c r="K34" s="16"/>
      <c r="L34" s="57">
        <f t="shared" si="46"/>
        <v>3300</v>
      </c>
      <c r="M34" s="46"/>
      <c r="N34" s="16"/>
      <c r="O34" s="57">
        <f t="shared" si="47"/>
        <v>0</v>
      </c>
      <c r="P34" s="57">
        <f t="shared" si="48"/>
        <v>0</v>
      </c>
      <c r="Q34" s="46">
        <v>9.2330000000000005</v>
      </c>
      <c r="R34" s="16"/>
      <c r="S34" s="57">
        <f t="shared" si="49"/>
        <v>9.2330000000000005</v>
      </c>
      <c r="T34" s="57">
        <f t="shared" si="5"/>
        <v>0.27978787878787881</v>
      </c>
      <c r="U34" s="46">
        <v>2349.9197399999998</v>
      </c>
      <c r="V34" s="16"/>
      <c r="W34" s="57">
        <f t="shared" si="50"/>
        <v>2349.9197399999998</v>
      </c>
      <c r="X34" s="57">
        <f t="shared" si="7"/>
        <v>71.209689090909094</v>
      </c>
      <c r="Y34" s="46">
        <v>2967.0329499999998</v>
      </c>
      <c r="Z34" s="16"/>
      <c r="AA34" s="57">
        <f t="shared" si="51"/>
        <v>2967.0329499999998</v>
      </c>
      <c r="AB34" s="57">
        <f t="shared" si="9"/>
        <v>89.910089393939387</v>
      </c>
      <c r="AC34" s="354">
        <f t="shared" si="52"/>
        <v>332.9670500000002</v>
      </c>
      <c r="AD34" s="46">
        <f>2260+140+250+1000</f>
        <v>3650</v>
      </c>
      <c r="AE34" s="16"/>
      <c r="AF34" s="57">
        <f t="shared" si="53"/>
        <v>3650</v>
      </c>
      <c r="AG34" s="57">
        <f t="shared" si="43"/>
        <v>110.60606060606059</v>
      </c>
      <c r="AH34" s="46">
        <v>2600</v>
      </c>
      <c r="AI34" s="466">
        <f t="shared" si="1"/>
        <v>0.78787878787878785</v>
      </c>
      <c r="AJ34" s="57" t="s">
        <v>470</v>
      </c>
      <c r="AK34" s="303" t="s">
        <v>157</v>
      </c>
      <c r="AL34" s="290" t="s">
        <v>117</v>
      </c>
    </row>
    <row r="35" spans="1:38" ht="12.75" customHeight="1" x14ac:dyDescent="0.2">
      <c r="A35" s="136"/>
      <c r="B35" s="29">
        <v>3113</v>
      </c>
      <c r="C35" s="29">
        <v>303</v>
      </c>
      <c r="D35" s="196" t="s">
        <v>205</v>
      </c>
      <c r="E35" s="46">
        <f>1770+296</f>
        <v>2066</v>
      </c>
      <c r="F35" s="16"/>
      <c r="G35" s="57">
        <f t="shared" si="44"/>
        <v>2066</v>
      </c>
      <c r="H35" s="182">
        <v>-286</v>
      </c>
      <c r="I35" s="177"/>
      <c r="J35" s="46">
        <f t="shared" si="45"/>
        <v>1780</v>
      </c>
      <c r="K35" s="16"/>
      <c r="L35" s="57">
        <f t="shared" si="46"/>
        <v>1780</v>
      </c>
      <c r="M35" s="46">
        <v>516.5</v>
      </c>
      <c r="N35" s="16"/>
      <c r="O35" s="57">
        <f>M35+N35</f>
        <v>516.5</v>
      </c>
      <c r="P35" s="57">
        <f t="shared" si="48"/>
        <v>29.016853932584269</v>
      </c>
      <c r="Q35" s="46">
        <v>890</v>
      </c>
      <c r="R35" s="16"/>
      <c r="S35" s="57">
        <f t="shared" si="49"/>
        <v>890</v>
      </c>
      <c r="T35" s="57">
        <f t="shared" si="5"/>
        <v>50</v>
      </c>
      <c r="U35" s="46">
        <v>1335</v>
      </c>
      <c r="V35" s="16"/>
      <c r="W35" s="57">
        <f t="shared" si="50"/>
        <v>1335</v>
      </c>
      <c r="X35" s="57">
        <f t="shared" si="7"/>
        <v>75</v>
      </c>
      <c r="Y35" s="46">
        <v>1780</v>
      </c>
      <c r="Z35" s="16"/>
      <c r="AA35" s="57">
        <f t="shared" si="51"/>
        <v>1780</v>
      </c>
      <c r="AB35" s="57">
        <f t="shared" si="9"/>
        <v>100</v>
      </c>
      <c r="AC35" s="354">
        <f t="shared" si="52"/>
        <v>0</v>
      </c>
      <c r="AD35" s="46">
        <v>2055</v>
      </c>
      <c r="AE35" s="16"/>
      <c r="AF35" s="57">
        <f t="shared" si="53"/>
        <v>2055</v>
      </c>
      <c r="AG35" s="57">
        <f t="shared" si="43"/>
        <v>99.467570183930292</v>
      </c>
      <c r="AH35" s="46">
        <f>1771+295</f>
        <v>2066</v>
      </c>
      <c r="AI35" s="466">
        <f t="shared" si="1"/>
        <v>1.1606741573033708</v>
      </c>
      <c r="AJ35" s="57" t="s">
        <v>367</v>
      </c>
      <c r="AK35" s="302" t="s">
        <v>197</v>
      </c>
      <c r="AL35" s="289" t="s">
        <v>71</v>
      </c>
    </row>
    <row r="36" spans="1:38" x14ac:dyDescent="0.2">
      <c r="A36" s="136"/>
      <c r="B36" s="29">
        <v>3113</v>
      </c>
      <c r="C36" s="29">
        <v>303.30399999999997</v>
      </c>
      <c r="D36" s="196" t="s">
        <v>244</v>
      </c>
      <c r="E36" s="46">
        <f>661+462</f>
        <v>1123</v>
      </c>
      <c r="F36" s="16"/>
      <c r="G36" s="57">
        <f t="shared" ref="G36:G43" si="54">E36+F36</f>
        <v>1123</v>
      </c>
      <c r="H36" s="182"/>
      <c r="I36" s="177"/>
      <c r="J36" s="46">
        <f t="shared" si="45"/>
        <v>1123</v>
      </c>
      <c r="K36" s="29"/>
      <c r="L36" s="57">
        <f t="shared" si="46"/>
        <v>1123</v>
      </c>
      <c r="M36" s="46"/>
      <c r="N36" s="16"/>
      <c r="O36" s="57">
        <f t="shared" si="47"/>
        <v>0</v>
      </c>
      <c r="P36" s="57">
        <f t="shared" si="48"/>
        <v>0</v>
      </c>
      <c r="Q36" s="46"/>
      <c r="R36" s="16"/>
      <c r="S36" s="57">
        <f t="shared" si="49"/>
        <v>0</v>
      </c>
      <c r="T36" s="57">
        <f t="shared" si="5"/>
        <v>0</v>
      </c>
      <c r="U36" s="46">
        <f>660.227+461.655</f>
        <v>1121.8820000000001</v>
      </c>
      <c r="V36" s="16"/>
      <c r="W36" s="57">
        <f t="shared" si="50"/>
        <v>1121.8820000000001</v>
      </c>
      <c r="X36" s="57">
        <f t="shared" si="7"/>
        <v>99.90044523597507</v>
      </c>
      <c r="Y36" s="46">
        <f>660.227+461.655</f>
        <v>1121.8820000000001</v>
      </c>
      <c r="Z36" s="16"/>
      <c r="AA36" s="57">
        <f t="shared" si="51"/>
        <v>1121.8820000000001</v>
      </c>
      <c r="AB36" s="57">
        <f t="shared" si="9"/>
        <v>99.90044523597507</v>
      </c>
      <c r="AC36" s="354">
        <f t="shared" si="52"/>
        <v>1.1179999999999382</v>
      </c>
      <c r="AD36" s="46">
        <f>661+540</f>
        <v>1201</v>
      </c>
      <c r="AE36" s="16"/>
      <c r="AF36" s="57">
        <f t="shared" si="53"/>
        <v>1201</v>
      </c>
      <c r="AG36" s="57">
        <f t="shared" si="43"/>
        <v>106.94568121104184</v>
      </c>
      <c r="AH36" s="46">
        <f>661+540</f>
        <v>1201</v>
      </c>
      <c r="AI36" s="466">
        <f t="shared" si="1"/>
        <v>1.0694568121104184</v>
      </c>
      <c r="AJ36" s="57"/>
      <c r="AK36" s="302" t="s">
        <v>197</v>
      </c>
      <c r="AL36" s="289" t="s">
        <v>71</v>
      </c>
    </row>
    <row r="37" spans="1:38" x14ac:dyDescent="0.2">
      <c r="A37" s="136"/>
      <c r="B37" s="29">
        <v>3113</v>
      </c>
      <c r="C37" s="29">
        <v>304</v>
      </c>
      <c r="D37" s="196" t="s">
        <v>206</v>
      </c>
      <c r="E37" s="46">
        <v>1431</v>
      </c>
      <c r="F37" s="16"/>
      <c r="G37" s="57">
        <f t="shared" si="54"/>
        <v>1431</v>
      </c>
      <c r="H37" s="182">
        <v>-182</v>
      </c>
      <c r="I37" s="177"/>
      <c r="J37" s="46">
        <f t="shared" si="45"/>
        <v>1249</v>
      </c>
      <c r="K37" s="29">
        <f>F37+I37</f>
        <v>0</v>
      </c>
      <c r="L37" s="57">
        <f t="shared" si="46"/>
        <v>1249</v>
      </c>
      <c r="M37" s="46">
        <v>357.75</v>
      </c>
      <c r="N37" s="16"/>
      <c r="O37" s="57">
        <f t="shared" si="47"/>
        <v>357.75</v>
      </c>
      <c r="P37" s="57">
        <f t="shared" si="48"/>
        <v>28.642914331465175</v>
      </c>
      <c r="Q37" s="46">
        <v>624.5</v>
      </c>
      <c r="R37" s="16"/>
      <c r="S37" s="57">
        <f t="shared" si="49"/>
        <v>624.5</v>
      </c>
      <c r="T37" s="57">
        <f t="shared" si="5"/>
        <v>50</v>
      </c>
      <c r="U37" s="46">
        <v>936.75</v>
      </c>
      <c r="V37" s="16"/>
      <c r="W37" s="57">
        <f t="shared" si="50"/>
        <v>936.75</v>
      </c>
      <c r="X37" s="57">
        <f t="shared" si="7"/>
        <v>75</v>
      </c>
      <c r="Y37" s="46">
        <v>1249</v>
      </c>
      <c r="Z37" s="16"/>
      <c r="AA37" s="57">
        <f t="shared" si="51"/>
        <v>1249</v>
      </c>
      <c r="AB37" s="57">
        <f t="shared" si="9"/>
        <v>100</v>
      </c>
      <c r="AC37" s="354">
        <f t="shared" si="52"/>
        <v>0</v>
      </c>
      <c r="AD37" s="46">
        <v>1355</v>
      </c>
      <c r="AE37" s="16"/>
      <c r="AF37" s="57">
        <f t="shared" si="53"/>
        <v>1355</v>
      </c>
      <c r="AG37" s="57">
        <f t="shared" ref="AG37:AG45" si="55">AF37/$G37*100</f>
        <v>94.689028651292801</v>
      </c>
      <c r="AH37" s="46">
        <v>1355</v>
      </c>
      <c r="AI37" s="466">
        <f t="shared" si="1"/>
        <v>1.0848678943154524</v>
      </c>
      <c r="AJ37" s="57" t="s">
        <v>383</v>
      </c>
      <c r="AK37" s="302" t="s">
        <v>197</v>
      </c>
      <c r="AL37" s="289" t="s">
        <v>71</v>
      </c>
    </row>
    <row r="38" spans="1:38" x14ac:dyDescent="0.2">
      <c r="A38" s="136"/>
      <c r="B38" s="29">
        <v>3113</v>
      </c>
      <c r="C38" s="29">
        <v>4169</v>
      </c>
      <c r="D38" s="413" t="s">
        <v>324</v>
      </c>
      <c r="E38" s="46">
        <v>150</v>
      </c>
      <c r="F38" s="16">
        <f>12450+1065+100</f>
        <v>13615</v>
      </c>
      <c r="G38" s="57">
        <f t="shared" si="54"/>
        <v>13765</v>
      </c>
      <c r="H38" s="182">
        <f>1748+2149</f>
        <v>3897</v>
      </c>
      <c r="I38" s="177">
        <f>-1486-87-175-2149</f>
        <v>-3897</v>
      </c>
      <c r="J38" s="46">
        <f t="shared" si="45"/>
        <v>4047</v>
      </c>
      <c r="K38" s="29">
        <f>F38+I38</f>
        <v>9718</v>
      </c>
      <c r="L38" s="57">
        <f t="shared" si="46"/>
        <v>13765</v>
      </c>
      <c r="M38" s="46">
        <f>1707.22537-N38</f>
        <v>31.308750000000146</v>
      </c>
      <c r="N38" s="16">
        <v>1675.91662</v>
      </c>
      <c r="O38" s="57">
        <f t="shared" si="47"/>
        <v>1707.2253700000001</v>
      </c>
      <c r="P38" s="57">
        <f t="shared" si="48"/>
        <v>12.402654340719216</v>
      </c>
      <c r="Q38" s="46">
        <f>4232.42319-R38</f>
        <v>41.7450000000008</v>
      </c>
      <c r="R38" s="16">
        <v>4190.6781899999996</v>
      </c>
      <c r="S38" s="57">
        <f t="shared" si="49"/>
        <v>4232.4231900000004</v>
      </c>
      <c r="T38" s="57">
        <f t="shared" si="5"/>
        <v>30.74771660007265</v>
      </c>
      <c r="U38" s="46">
        <f>13813.94835-V38</f>
        <v>1789.7029000000002</v>
      </c>
      <c r="V38" s="16">
        <f>459.85808+7164.99435+4399.39302</f>
        <v>12024.24545</v>
      </c>
      <c r="W38" s="57">
        <f t="shared" si="50"/>
        <v>13813.948350000001</v>
      </c>
      <c r="X38" s="57">
        <f t="shared" si="7"/>
        <v>100.35560007264803</v>
      </c>
      <c r="Y38" s="46">
        <f>13814.53835-Z38</f>
        <v>4049.5226200000016</v>
      </c>
      <c r="Z38" s="16">
        <f>1253.53338+7203.66716+1307.81519</f>
        <v>9765.0157299999992</v>
      </c>
      <c r="AA38" s="57">
        <f t="shared" si="51"/>
        <v>13814.538350000001</v>
      </c>
      <c r="AB38" s="57">
        <f t="shared" si="9"/>
        <v>100.35988630584818</v>
      </c>
      <c r="AC38" s="354">
        <f t="shared" si="52"/>
        <v>-49.538350000000719</v>
      </c>
      <c r="AD38" s="46">
        <v>109</v>
      </c>
      <c r="AE38" s="16"/>
      <c r="AF38" s="57">
        <f t="shared" si="53"/>
        <v>109</v>
      </c>
      <c r="AG38" s="57">
        <f t="shared" si="55"/>
        <v>0.79186342172175817</v>
      </c>
      <c r="AH38" s="46">
        <v>78</v>
      </c>
      <c r="AI38" s="466">
        <f>AH38/L38</f>
        <v>5.6665455866327643E-3</v>
      </c>
      <c r="AJ38" s="57" t="s">
        <v>441</v>
      </c>
      <c r="AK38" s="303" t="s">
        <v>384</v>
      </c>
      <c r="AL38" s="290" t="s">
        <v>117</v>
      </c>
    </row>
    <row r="39" spans="1:38" x14ac:dyDescent="0.2">
      <c r="A39" s="136"/>
      <c r="B39" s="29">
        <v>3113</v>
      </c>
      <c r="C39" s="29">
        <v>319</v>
      </c>
      <c r="D39" s="196" t="s">
        <v>377</v>
      </c>
      <c r="E39" s="46"/>
      <c r="F39" s="16">
        <v>500</v>
      </c>
      <c r="G39" s="57">
        <f t="shared" si="54"/>
        <v>500</v>
      </c>
      <c r="H39" s="182"/>
      <c r="I39" s="177"/>
      <c r="J39" s="46">
        <f t="shared" si="45"/>
        <v>0</v>
      </c>
      <c r="K39" s="29">
        <f t="shared" ref="K39:K40" si="56">F39+I39</f>
        <v>500</v>
      </c>
      <c r="L39" s="57">
        <f t="shared" si="46"/>
        <v>500</v>
      </c>
      <c r="M39" s="46"/>
      <c r="N39" s="16"/>
      <c r="O39" s="57">
        <f t="shared" si="47"/>
        <v>0</v>
      </c>
      <c r="P39" s="57">
        <f t="shared" si="48"/>
        <v>0</v>
      </c>
      <c r="Q39" s="46"/>
      <c r="R39" s="16"/>
      <c r="S39" s="57">
        <f t="shared" si="49"/>
        <v>0</v>
      </c>
      <c r="T39" s="57">
        <f t="shared" si="5"/>
        <v>0</v>
      </c>
      <c r="U39" s="46"/>
      <c r="V39" s="16"/>
      <c r="W39" s="57">
        <f t="shared" si="50"/>
        <v>0</v>
      </c>
      <c r="X39" s="57"/>
      <c r="Y39" s="46"/>
      <c r="Z39" s="16">
        <v>0</v>
      </c>
      <c r="AA39" s="57">
        <f t="shared" si="51"/>
        <v>0</v>
      </c>
      <c r="AB39" s="57">
        <f t="shared" si="9"/>
        <v>0</v>
      </c>
      <c r="AC39" s="354">
        <f t="shared" si="52"/>
        <v>500</v>
      </c>
      <c r="AD39" s="46"/>
      <c r="AE39" s="16">
        <v>400</v>
      </c>
      <c r="AF39" s="57">
        <f t="shared" si="53"/>
        <v>400</v>
      </c>
      <c r="AG39" s="57">
        <f t="shared" si="55"/>
        <v>80</v>
      </c>
      <c r="AH39" s="46">
        <v>500</v>
      </c>
      <c r="AI39" s="466">
        <f t="shared" si="1"/>
        <v>1</v>
      </c>
      <c r="AJ39" s="57" t="s">
        <v>431</v>
      </c>
      <c r="AK39" s="303" t="s">
        <v>384</v>
      </c>
      <c r="AL39" s="290" t="s">
        <v>117</v>
      </c>
    </row>
    <row r="40" spans="1:38" x14ac:dyDescent="0.2">
      <c r="A40" s="136"/>
      <c r="B40" s="29">
        <v>3119</v>
      </c>
      <c r="C40" s="29">
        <v>1112</v>
      </c>
      <c r="D40" s="196" t="s">
        <v>255</v>
      </c>
      <c r="E40" s="46">
        <v>160</v>
      </c>
      <c r="F40" s="16"/>
      <c r="G40" s="57">
        <f t="shared" si="54"/>
        <v>160</v>
      </c>
      <c r="H40" s="176"/>
      <c r="I40" s="177"/>
      <c r="J40" s="46">
        <f t="shared" si="45"/>
        <v>160</v>
      </c>
      <c r="K40" s="29">
        <f t="shared" si="56"/>
        <v>0</v>
      </c>
      <c r="L40" s="57">
        <f t="shared" si="46"/>
        <v>160</v>
      </c>
      <c r="M40" s="46"/>
      <c r="N40" s="16"/>
      <c r="O40" s="57">
        <f t="shared" si="47"/>
        <v>0</v>
      </c>
      <c r="P40" s="57">
        <f t="shared" ref="P40:P49" si="57">O40/$L40*100</f>
        <v>0</v>
      </c>
      <c r="Q40" s="46">
        <v>80</v>
      </c>
      <c r="R40" s="16"/>
      <c r="S40" s="57">
        <f t="shared" si="49"/>
        <v>80</v>
      </c>
      <c r="T40" s="57">
        <f t="shared" si="5"/>
        <v>50</v>
      </c>
      <c r="U40" s="46">
        <v>160</v>
      </c>
      <c r="V40" s="16"/>
      <c r="W40" s="57">
        <f t="shared" si="50"/>
        <v>160</v>
      </c>
      <c r="X40" s="57">
        <f t="shared" si="7"/>
        <v>100</v>
      </c>
      <c r="Y40" s="46">
        <v>160</v>
      </c>
      <c r="Z40" s="16"/>
      <c r="AA40" s="57">
        <f t="shared" si="51"/>
        <v>160</v>
      </c>
      <c r="AB40" s="57">
        <f t="shared" si="9"/>
        <v>100</v>
      </c>
      <c r="AC40" s="354">
        <f t="shared" si="52"/>
        <v>0</v>
      </c>
      <c r="AD40" s="46">
        <v>145</v>
      </c>
      <c r="AE40" s="16"/>
      <c r="AF40" s="57">
        <f t="shared" si="53"/>
        <v>145</v>
      </c>
      <c r="AG40" s="57">
        <f t="shared" si="55"/>
        <v>90.625</v>
      </c>
      <c r="AH40" s="46">
        <v>160</v>
      </c>
      <c r="AI40" s="466">
        <f t="shared" si="1"/>
        <v>1</v>
      </c>
      <c r="AJ40" s="57" t="s">
        <v>573</v>
      </c>
      <c r="AK40" s="302" t="s">
        <v>197</v>
      </c>
      <c r="AL40" s="289" t="s">
        <v>71</v>
      </c>
    </row>
    <row r="41" spans="1:38" x14ac:dyDescent="0.2">
      <c r="A41" s="136"/>
      <c r="B41" s="29">
        <v>3141</v>
      </c>
      <c r="C41" s="29">
        <v>309</v>
      </c>
      <c r="D41" s="196" t="s">
        <v>263</v>
      </c>
      <c r="E41" s="46">
        <v>540</v>
      </c>
      <c r="F41" s="16">
        <v>900</v>
      </c>
      <c r="G41" s="57">
        <f t="shared" si="54"/>
        <v>1440</v>
      </c>
      <c r="H41" s="176"/>
      <c r="I41" s="177"/>
      <c r="J41" s="46">
        <f t="shared" si="45"/>
        <v>540</v>
      </c>
      <c r="K41" s="29">
        <f>F41+I41</f>
        <v>900</v>
      </c>
      <c r="L41" s="57">
        <f t="shared" si="46"/>
        <v>1440</v>
      </c>
      <c r="M41" s="46">
        <v>250.77802</v>
      </c>
      <c r="N41" s="16"/>
      <c r="O41" s="57">
        <f t="shared" si="47"/>
        <v>250.77802</v>
      </c>
      <c r="P41" s="57">
        <f t="shared" si="57"/>
        <v>17.415140277777777</v>
      </c>
      <c r="Q41" s="46">
        <v>828.62678000000005</v>
      </c>
      <c r="R41" s="16"/>
      <c r="S41" s="57">
        <f t="shared" si="49"/>
        <v>828.62678000000005</v>
      </c>
      <c r="T41" s="57">
        <f t="shared" si="5"/>
        <v>57.543526388888885</v>
      </c>
      <c r="U41" s="46">
        <v>634.18275000000006</v>
      </c>
      <c r="V41" s="16"/>
      <c r="W41" s="57">
        <f t="shared" si="50"/>
        <v>634.18275000000006</v>
      </c>
      <c r="X41" s="57">
        <f t="shared" si="7"/>
        <v>44.040468750000002</v>
      </c>
      <c r="Y41" s="46">
        <v>548.48504000000003</v>
      </c>
      <c r="Z41" s="16">
        <v>0</v>
      </c>
      <c r="AA41" s="57">
        <f t="shared" si="51"/>
        <v>548.48504000000003</v>
      </c>
      <c r="AB41" s="57">
        <f t="shared" si="9"/>
        <v>38.089238888888893</v>
      </c>
      <c r="AC41" s="354">
        <f t="shared" si="52"/>
        <v>891.51495999999997</v>
      </c>
      <c r="AD41" s="46">
        <v>1589</v>
      </c>
      <c r="AE41" s="16">
        <v>135</v>
      </c>
      <c r="AF41" s="57">
        <f t="shared" si="53"/>
        <v>1724</v>
      </c>
      <c r="AG41" s="57">
        <f t="shared" si="55"/>
        <v>119.72222222222221</v>
      </c>
      <c r="AH41" s="46">
        <v>824</v>
      </c>
      <c r="AI41" s="466">
        <f t="shared" si="1"/>
        <v>0.57222222222222219</v>
      </c>
      <c r="AJ41" s="57" t="s">
        <v>444</v>
      </c>
      <c r="AK41" s="302" t="s">
        <v>197</v>
      </c>
      <c r="AL41" s="294" t="s">
        <v>290</v>
      </c>
    </row>
    <row r="42" spans="1:38" x14ac:dyDescent="0.2">
      <c r="A42" s="136"/>
      <c r="B42" s="29">
        <v>3231</v>
      </c>
      <c r="C42" s="29">
        <v>310</v>
      </c>
      <c r="D42" s="196" t="s">
        <v>321</v>
      </c>
      <c r="E42" s="46">
        <v>275</v>
      </c>
      <c r="F42" s="16"/>
      <c r="G42" s="57">
        <f t="shared" si="54"/>
        <v>275</v>
      </c>
      <c r="H42" s="182">
        <v>-28</v>
      </c>
      <c r="I42" s="177"/>
      <c r="J42" s="46">
        <f t="shared" si="45"/>
        <v>247</v>
      </c>
      <c r="K42" s="29">
        <f>F42+I42</f>
        <v>0</v>
      </c>
      <c r="L42" s="57">
        <f t="shared" si="46"/>
        <v>247</v>
      </c>
      <c r="M42" s="46">
        <v>68.75</v>
      </c>
      <c r="N42" s="16"/>
      <c r="O42" s="57">
        <f t="shared" si="47"/>
        <v>68.75</v>
      </c>
      <c r="P42" s="57">
        <f t="shared" si="57"/>
        <v>27.834008097165992</v>
      </c>
      <c r="Q42" s="46">
        <v>123.5</v>
      </c>
      <c r="R42" s="16"/>
      <c r="S42" s="57">
        <f t="shared" si="49"/>
        <v>123.5</v>
      </c>
      <c r="T42" s="57">
        <f t="shared" si="5"/>
        <v>50</v>
      </c>
      <c r="U42" s="46">
        <v>185.25</v>
      </c>
      <c r="V42" s="16"/>
      <c r="W42" s="57">
        <f t="shared" si="50"/>
        <v>185.25</v>
      </c>
      <c r="X42" s="57">
        <f t="shared" si="7"/>
        <v>75</v>
      </c>
      <c r="Y42" s="46">
        <v>247</v>
      </c>
      <c r="Z42" s="16"/>
      <c r="AA42" s="57">
        <f t="shared" si="51"/>
        <v>247</v>
      </c>
      <c r="AB42" s="57">
        <f t="shared" si="9"/>
        <v>100</v>
      </c>
      <c r="AC42" s="354">
        <f t="shared" si="52"/>
        <v>0</v>
      </c>
      <c r="AD42" s="46">
        <v>247</v>
      </c>
      <c r="AE42" s="16"/>
      <c r="AF42" s="57">
        <f t="shared" si="53"/>
        <v>247</v>
      </c>
      <c r="AG42" s="57">
        <f t="shared" si="55"/>
        <v>89.818181818181813</v>
      </c>
      <c r="AH42" s="46">
        <v>247</v>
      </c>
      <c r="AI42" s="466">
        <f t="shared" si="1"/>
        <v>1</v>
      </c>
      <c r="AJ42" s="57"/>
      <c r="AK42" s="302" t="s">
        <v>197</v>
      </c>
      <c r="AL42" s="289" t="s">
        <v>71</v>
      </c>
    </row>
    <row r="43" spans="1:38" x14ac:dyDescent="0.2">
      <c r="A43" s="138"/>
      <c r="B43" s="35">
        <v>3231</v>
      </c>
      <c r="C43" s="35">
        <v>310</v>
      </c>
      <c r="D43" s="374" t="s">
        <v>245</v>
      </c>
      <c r="E43" s="61">
        <v>66</v>
      </c>
      <c r="F43" s="64"/>
      <c r="G43" s="63">
        <f t="shared" si="54"/>
        <v>66</v>
      </c>
      <c r="H43" s="440"/>
      <c r="I43" s="184"/>
      <c r="J43" s="61">
        <f>E43+H43</f>
        <v>66</v>
      </c>
      <c r="K43" s="35">
        <f>F43+I43</f>
        <v>0</v>
      </c>
      <c r="L43" s="63">
        <f t="shared" si="46"/>
        <v>66</v>
      </c>
      <c r="M43" s="61"/>
      <c r="N43" s="64"/>
      <c r="O43" s="63">
        <f t="shared" si="47"/>
        <v>0</v>
      </c>
      <c r="P43" s="63">
        <f t="shared" si="57"/>
        <v>0</v>
      </c>
      <c r="Q43" s="61"/>
      <c r="R43" s="64"/>
      <c r="S43" s="63">
        <f t="shared" si="49"/>
        <v>0</v>
      </c>
      <c r="T43" s="63">
        <f t="shared" si="5"/>
        <v>0</v>
      </c>
      <c r="U43" s="61">
        <v>66.257000000000005</v>
      </c>
      <c r="V43" s="64"/>
      <c r="W43" s="63">
        <f t="shared" si="50"/>
        <v>66.257000000000005</v>
      </c>
      <c r="X43" s="63">
        <f t="shared" si="7"/>
        <v>100.38939393939394</v>
      </c>
      <c r="Y43" s="61">
        <v>66.257000000000005</v>
      </c>
      <c r="Z43" s="64"/>
      <c r="AA43" s="63">
        <f t="shared" si="51"/>
        <v>66.257000000000005</v>
      </c>
      <c r="AB43" s="63">
        <f t="shared" si="9"/>
        <v>100.38939393939394</v>
      </c>
      <c r="AC43" s="354">
        <f t="shared" si="52"/>
        <v>-0.257000000000005</v>
      </c>
      <c r="AD43" s="61">
        <v>66</v>
      </c>
      <c r="AE43" s="64"/>
      <c r="AF43" s="63">
        <f t="shared" si="53"/>
        <v>66</v>
      </c>
      <c r="AG43" s="63">
        <f t="shared" si="55"/>
        <v>100</v>
      </c>
      <c r="AH43" s="61">
        <v>66</v>
      </c>
      <c r="AI43" s="468">
        <f t="shared" si="1"/>
        <v>1</v>
      </c>
      <c r="AJ43" s="63"/>
      <c r="AK43" s="383" t="s">
        <v>197</v>
      </c>
      <c r="AL43" s="293" t="s">
        <v>71</v>
      </c>
    </row>
    <row r="44" spans="1:38" x14ac:dyDescent="0.2">
      <c r="A44" s="90">
        <v>33</v>
      </c>
      <c r="B44" s="32">
        <v>3300</v>
      </c>
      <c r="C44" s="32"/>
      <c r="D44" s="366" t="s">
        <v>72</v>
      </c>
      <c r="E44" s="55">
        <f t="shared" ref="E44:O44" si="58">SUM(E45:E55)</f>
        <v>11005</v>
      </c>
      <c r="F44" s="18">
        <f t="shared" si="58"/>
        <v>80</v>
      </c>
      <c r="G44" s="56">
        <f t="shared" si="58"/>
        <v>11085</v>
      </c>
      <c r="H44" s="185">
        <f t="shared" si="58"/>
        <v>-125.36051000000003</v>
      </c>
      <c r="I44" s="186">
        <f t="shared" si="58"/>
        <v>46</v>
      </c>
      <c r="J44" s="55">
        <f t="shared" si="58"/>
        <v>10879.63949</v>
      </c>
      <c r="K44" s="18">
        <f t="shared" si="58"/>
        <v>126</v>
      </c>
      <c r="L44" s="56">
        <f t="shared" si="58"/>
        <v>11005.63949</v>
      </c>
      <c r="M44" s="55">
        <f t="shared" si="58"/>
        <v>1452.4539300000001</v>
      </c>
      <c r="N44" s="18">
        <f t="shared" si="58"/>
        <v>0</v>
      </c>
      <c r="O44" s="56">
        <f t="shared" si="58"/>
        <v>1452.4539300000001</v>
      </c>
      <c r="P44" s="56">
        <f t="shared" si="57"/>
        <v>13.197360601532843</v>
      </c>
      <c r="Q44" s="55">
        <f>SUM(Q45:Q55)</f>
        <v>3614.5646500000007</v>
      </c>
      <c r="R44" s="18">
        <f>SUM(R45:R55)</f>
        <v>0</v>
      </c>
      <c r="S44" s="56">
        <f>SUM(S45:S55)</f>
        <v>3614.5646500000007</v>
      </c>
      <c r="T44" s="56">
        <f t="shared" si="5"/>
        <v>32.842840738916493</v>
      </c>
      <c r="U44" s="55">
        <f>SUM(U45:U55)</f>
        <v>8000.552450000001</v>
      </c>
      <c r="V44" s="18">
        <f>SUM(V45:V55)</f>
        <v>66.912999999999997</v>
      </c>
      <c r="W44" s="56">
        <f>SUM(W45:W55)</f>
        <v>8067.4654499999997</v>
      </c>
      <c r="X44" s="56">
        <f t="shared" si="7"/>
        <v>73.303013944172008</v>
      </c>
      <c r="Y44" s="55">
        <f>SUM(Y45:Y55)</f>
        <v>10512.87313</v>
      </c>
      <c r="Z44" s="18">
        <f>SUM(Z45:Z55)</f>
        <v>66.912999999999997</v>
      </c>
      <c r="AA44" s="56">
        <f>SUM(AA45:AA55)</f>
        <v>10579.786129999999</v>
      </c>
      <c r="AB44" s="56">
        <f t="shared" si="9"/>
        <v>96.130589591027928</v>
      </c>
      <c r="AC44" s="355">
        <f>SUM(AC45:AC55)</f>
        <v>425.85336000000029</v>
      </c>
      <c r="AD44" s="55">
        <f>SUM(AD45:AD55)</f>
        <v>10968</v>
      </c>
      <c r="AE44" s="18">
        <f>SUM(AE45:AE55)</f>
        <v>0</v>
      </c>
      <c r="AF44" s="56">
        <f>SUM(AF45:AF55)</f>
        <v>10968</v>
      </c>
      <c r="AG44" s="56">
        <f t="shared" si="55"/>
        <v>98.944519621109606</v>
      </c>
      <c r="AH44" s="55">
        <f>SUM(AH45:AH55)</f>
        <v>11299</v>
      </c>
      <c r="AI44" s="469">
        <f t="shared" si="1"/>
        <v>1.0266554715213554</v>
      </c>
      <c r="AJ44" s="56"/>
      <c r="AK44" s="304"/>
      <c r="AL44" s="74"/>
    </row>
    <row r="45" spans="1:38" x14ac:dyDescent="0.2">
      <c r="A45" s="136"/>
      <c r="B45" s="29">
        <v>3314</v>
      </c>
      <c r="C45" s="29">
        <v>504</v>
      </c>
      <c r="D45" s="196" t="s">
        <v>116</v>
      </c>
      <c r="E45" s="46">
        <f>211+40+80+1405</f>
        <v>1736</v>
      </c>
      <c r="F45" s="16">
        <v>80</v>
      </c>
      <c r="G45" s="57">
        <f>E45+F45</f>
        <v>1816</v>
      </c>
      <c r="H45" s="176">
        <f>14-61</f>
        <v>-47</v>
      </c>
      <c r="I45" s="177">
        <v>46</v>
      </c>
      <c r="J45" s="46">
        <f t="shared" ref="J45:J55" si="59">E45+H45</f>
        <v>1689</v>
      </c>
      <c r="K45" s="29">
        <f>F45+I45</f>
        <v>126</v>
      </c>
      <c r="L45" s="57">
        <f>SUM(J45:K45)</f>
        <v>1815</v>
      </c>
      <c r="M45" s="46">
        <f>270.89294+97.973</f>
        <v>368.86594000000002</v>
      </c>
      <c r="N45" s="16"/>
      <c r="O45" s="57">
        <f>M45+N45</f>
        <v>368.86594000000002</v>
      </c>
      <c r="P45" s="57">
        <f t="shared" si="57"/>
        <v>20.323192286501378</v>
      </c>
      <c r="Q45" s="46">
        <f>609.35536+107.726</f>
        <v>717.08136000000002</v>
      </c>
      <c r="R45" s="16"/>
      <c r="S45" s="57">
        <f>Q45+R45</f>
        <v>717.08136000000002</v>
      </c>
      <c r="T45" s="57">
        <f t="shared" si="5"/>
        <v>39.508614876033057</v>
      </c>
      <c r="U45" s="46">
        <f>1033.85017-V45+89.433</f>
        <v>1056.3701699999999</v>
      </c>
      <c r="V45" s="16">
        <v>66.912999999999997</v>
      </c>
      <c r="W45" s="57">
        <f>U45+V45</f>
        <v>1123.2831699999999</v>
      </c>
      <c r="X45" s="57">
        <f t="shared" si="7"/>
        <v>61.888879889807157</v>
      </c>
      <c r="Y45" s="46">
        <f>1566.34928-Z45</f>
        <v>1499.4362799999999</v>
      </c>
      <c r="Z45" s="16">
        <v>66.912999999999997</v>
      </c>
      <c r="AA45" s="57">
        <f>Y45+Z45</f>
        <v>1566.3492799999999</v>
      </c>
      <c r="AB45" s="57">
        <f t="shared" si="9"/>
        <v>86.30023581267217</v>
      </c>
      <c r="AC45" s="354">
        <f t="shared" ref="AC45:AC55" si="60">L45-AA45</f>
        <v>248.65072000000009</v>
      </c>
      <c r="AD45" s="46">
        <f>342+1376</f>
        <v>1718</v>
      </c>
      <c r="AE45" s="16"/>
      <c r="AF45" s="57">
        <f>AD45+AE45</f>
        <v>1718</v>
      </c>
      <c r="AG45" s="57">
        <f t="shared" si="55"/>
        <v>94.603524229074893</v>
      </c>
      <c r="AH45" s="46">
        <f>385+1376</f>
        <v>1761</v>
      </c>
      <c r="AI45" s="466">
        <f t="shared" si="1"/>
        <v>0.97024793388429753</v>
      </c>
      <c r="AJ45" s="57"/>
      <c r="AK45" s="62" t="s">
        <v>266</v>
      </c>
      <c r="AL45" s="57" t="s">
        <v>128</v>
      </c>
    </row>
    <row r="46" spans="1:38" x14ac:dyDescent="0.2">
      <c r="A46" s="136"/>
      <c r="B46" s="29">
        <v>3315</v>
      </c>
      <c r="C46" s="29">
        <v>505</v>
      </c>
      <c r="D46" s="196" t="s">
        <v>253</v>
      </c>
      <c r="E46" s="46">
        <f>1200+85</f>
        <v>1285</v>
      </c>
      <c r="F46" s="16"/>
      <c r="G46" s="57">
        <f t="shared" ref="G46:G54" si="61">E46+F46</f>
        <v>1285</v>
      </c>
      <c r="H46" s="176"/>
      <c r="I46" s="177"/>
      <c r="J46" s="46">
        <f t="shared" si="59"/>
        <v>1285</v>
      </c>
      <c r="K46" s="16"/>
      <c r="L46" s="57">
        <f t="shared" ref="L46:L54" si="62">SUM(J46:K46)</f>
        <v>1285</v>
      </c>
      <c r="M46" s="46"/>
      <c r="N46" s="16"/>
      <c r="O46" s="57">
        <f t="shared" ref="O46:O54" si="63">M46+N46</f>
        <v>0</v>
      </c>
      <c r="P46" s="57">
        <f t="shared" si="57"/>
        <v>0</v>
      </c>
      <c r="Q46" s="46">
        <v>400</v>
      </c>
      <c r="R46" s="16"/>
      <c r="S46" s="57">
        <f t="shared" ref="S46:S54" si="64">Q46+R46</f>
        <v>400</v>
      </c>
      <c r="T46" s="57">
        <f t="shared" ref="T46:T54" si="65">S46/$L46*100</f>
        <v>31.1284046692607</v>
      </c>
      <c r="U46" s="46">
        <v>1285</v>
      </c>
      <c r="V46" s="16"/>
      <c r="W46" s="57">
        <f t="shared" ref="W46:W54" si="66">U46+V46</f>
        <v>1285</v>
      </c>
      <c r="X46" s="57">
        <f>W46/$L46*100</f>
        <v>100</v>
      </c>
      <c r="Y46" s="46">
        <v>1285</v>
      </c>
      <c r="Z46" s="16"/>
      <c r="AA46" s="57">
        <f t="shared" ref="AA46:AA54" si="67">Y46+Z46</f>
        <v>1285</v>
      </c>
      <c r="AB46" s="57">
        <f t="shared" ref="AB46:AB54" si="68">AA46/$L46*100</f>
        <v>100</v>
      </c>
      <c r="AC46" s="354">
        <f t="shared" si="60"/>
        <v>0</v>
      </c>
      <c r="AD46" s="46">
        <v>1285</v>
      </c>
      <c r="AE46" s="16"/>
      <c r="AF46" s="57">
        <f t="shared" ref="AF46:AF54" si="69">AD46+AE46</f>
        <v>1285</v>
      </c>
      <c r="AG46" s="57">
        <f t="shared" ref="AG46:AG54" si="70">AF46/$G46*100</f>
        <v>100</v>
      </c>
      <c r="AH46" s="46">
        <v>1285</v>
      </c>
      <c r="AI46" s="466">
        <f t="shared" si="1"/>
        <v>1</v>
      </c>
      <c r="AJ46" s="57" t="s">
        <v>378</v>
      </c>
      <c r="AK46" s="302" t="s">
        <v>197</v>
      </c>
      <c r="AL46" s="289" t="s">
        <v>71</v>
      </c>
    </row>
    <row r="47" spans="1:38" ht="12.75" customHeight="1" x14ac:dyDescent="0.2">
      <c r="A47" s="136"/>
      <c r="B47" s="29">
        <v>3319</v>
      </c>
      <c r="C47" s="29">
        <v>106</v>
      </c>
      <c r="D47" s="196" t="s">
        <v>345</v>
      </c>
      <c r="E47" s="46">
        <v>40</v>
      </c>
      <c r="F47" s="16"/>
      <c r="G47" s="57">
        <f t="shared" si="61"/>
        <v>40</v>
      </c>
      <c r="H47" s="178"/>
      <c r="I47" s="179"/>
      <c r="J47" s="46">
        <f t="shared" si="59"/>
        <v>40</v>
      </c>
      <c r="K47" s="16"/>
      <c r="L47" s="57">
        <f t="shared" si="62"/>
        <v>40</v>
      </c>
      <c r="M47" s="46"/>
      <c r="N47" s="16"/>
      <c r="O47" s="57">
        <f t="shared" si="63"/>
        <v>0</v>
      </c>
      <c r="P47" s="57">
        <f t="shared" si="57"/>
        <v>0</v>
      </c>
      <c r="Q47" s="46"/>
      <c r="R47" s="16"/>
      <c r="S47" s="57">
        <f t="shared" si="64"/>
        <v>0</v>
      </c>
      <c r="T47" s="57">
        <f t="shared" si="65"/>
        <v>0</v>
      </c>
      <c r="U47" s="46">
        <v>40</v>
      </c>
      <c r="V47" s="16"/>
      <c r="W47" s="57">
        <f t="shared" si="66"/>
        <v>40</v>
      </c>
      <c r="X47" s="57">
        <f>W47/$L47*100</f>
        <v>100</v>
      </c>
      <c r="Y47" s="46">
        <v>40</v>
      </c>
      <c r="Z47" s="16"/>
      <c r="AA47" s="57">
        <f t="shared" si="67"/>
        <v>40</v>
      </c>
      <c r="AB47" s="57">
        <f t="shared" si="68"/>
        <v>100</v>
      </c>
      <c r="AC47" s="354">
        <f t="shared" si="60"/>
        <v>0</v>
      </c>
      <c r="AD47" s="46">
        <v>40</v>
      </c>
      <c r="AE47" s="16"/>
      <c r="AF47" s="57">
        <f t="shared" si="69"/>
        <v>40</v>
      </c>
      <c r="AG47" s="57">
        <f t="shared" si="70"/>
        <v>100</v>
      </c>
      <c r="AH47" s="46">
        <v>40</v>
      </c>
      <c r="AI47" s="466">
        <f t="shared" si="1"/>
        <v>1</v>
      </c>
      <c r="AJ47" s="57" t="s">
        <v>368</v>
      </c>
      <c r="AK47" s="302" t="s">
        <v>197</v>
      </c>
      <c r="AL47" s="289" t="s">
        <v>71</v>
      </c>
    </row>
    <row r="48" spans="1:38" ht="12.75" customHeight="1" x14ac:dyDescent="0.2">
      <c r="A48" s="136"/>
      <c r="B48" s="29">
        <v>3319</v>
      </c>
      <c r="C48" s="29">
        <v>112</v>
      </c>
      <c r="D48" s="196" t="s">
        <v>344</v>
      </c>
      <c r="E48" s="46">
        <v>280</v>
      </c>
      <c r="F48" s="16"/>
      <c r="G48" s="57">
        <f t="shared" si="61"/>
        <v>280</v>
      </c>
      <c r="H48" s="178">
        <v>-39</v>
      </c>
      <c r="I48" s="179"/>
      <c r="J48" s="46">
        <f t="shared" si="59"/>
        <v>241</v>
      </c>
      <c r="K48" s="16"/>
      <c r="L48" s="57">
        <f t="shared" si="62"/>
        <v>241</v>
      </c>
      <c r="M48" s="46"/>
      <c r="N48" s="16"/>
      <c r="O48" s="57">
        <f t="shared" si="63"/>
        <v>0</v>
      </c>
      <c r="P48" s="57">
        <f t="shared" si="57"/>
        <v>0</v>
      </c>
      <c r="Q48" s="46">
        <v>240.3</v>
      </c>
      <c r="R48" s="16"/>
      <c r="S48" s="57">
        <f t="shared" si="64"/>
        <v>240.3</v>
      </c>
      <c r="T48" s="57">
        <f t="shared" si="65"/>
        <v>99.709543568464738</v>
      </c>
      <c r="U48" s="46">
        <v>240.3</v>
      </c>
      <c r="V48" s="16"/>
      <c r="W48" s="57">
        <f t="shared" si="66"/>
        <v>240.3</v>
      </c>
      <c r="X48" s="57">
        <f>W48/$L48*100</f>
        <v>99.709543568464738</v>
      </c>
      <c r="Y48" s="46">
        <v>240.3</v>
      </c>
      <c r="Z48" s="16"/>
      <c r="AA48" s="57">
        <f t="shared" si="67"/>
        <v>240.3</v>
      </c>
      <c r="AB48" s="57">
        <f t="shared" si="68"/>
        <v>99.709543568464738</v>
      </c>
      <c r="AC48" s="354">
        <f t="shared" si="60"/>
        <v>0.69999999999998863</v>
      </c>
      <c r="AD48" s="46">
        <v>241</v>
      </c>
      <c r="AE48" s="16"/>
      <c r="AF48" s="57">
        <f t="shared" si="69"/>
        <v>241</v>
      </c>
      <c r="AG48" s="57">
        <f t="shared" si="70"/>
        <v>86.071428571428584</v>
      </c>
      <c r="AH48" s="46">
        <v>241</v>
      </c>
      <c r="AI48" s="466">
        <f t="shared" si="1"/>
        <v>1</v>
      </c>
      <c r="AJ48" s="57"/>
      <c r="AK48" s="302" t="s">
        <v>342</v>
      </c>
      <c r="AL48" s="289" t="s">
        <v>71</v>
      </c>
    </row>
    <row r="49" spans="1:182" x14ac:dyDescent="0.2">
      <c r="A49" s="136"/>
      <c r="B49" s="29">
        <v>3322</v>
      </c>
      <c r="C49" s="29">
        <v>111</v>
      </c>
      <c r="D49" s="196" t="s">
        <v>320</v>
      </c>
      <c r="E49" s="46">
        <v>206</v>
      </c>
      <c r="F49" s="16"/>
      <c r="G49" s="57">
        <f t="shared" si="61"/>
        <v>206</v>
      </c>
      <c r="H49" s="176">
        <v>33</v>
      </c>
      <c r="I49" s="177"/>
      <c r="J49" s="46">
        <f t="shared" si="59"/>
        <v>239</v>
      </c>
      <c r="K49" s="16"/>
      <c r="L49" s="57">
        <f t="shared" si="62"/>
        <v>239</v>
      </c>
      <c r="M49" s="46">
        <v>103.59899</v>
      </c>
      <c r="N49" s="16"/>
      <c r="O49" s="57">
        <f t="shared" si="63"/>
        <v>103.59899</v>
      </c>
      <c r="P49" s="57">
        <f t="shared" si="57"/>
        <v>43.346857740585776</v>
      </c>
      <c r="Q49" s="46">
        <v>136.89899</v>
      </c>
      <c r="R49" s="16"/>
      <c r="S49" s="57">
        <f t="shared" si="64"/>
        <v>136.89899</v>
      </c>
      <c r="T49" s="57">
        <f t="shared" si="65"/>
        <v>57.279912133891209</v>
      </c>
      <c r="U49" s="46">
        <v>238.85029</v>
      </c>
      <c r="V49" s="16"/>
      <c r="W49" s="57">
        <f t="shared" si="66"/>
        <v>238.85029</v>
      </c>
      <c r="X49" s="57">
        <f t="shared" ref="X49:X54" si="71">W49/$L49*100</f>
        <v>99.937359832635991</v>
      </c>
      <c r="Y49" s="46">
        <v>238.85029</v>
      </c>
      <c r="Z49" s="16"/>
      <c r="AA49" s="57">
        <f t="shared" si="67"/>
        <v>238.85029</v>
      </c>
      <c r="AB49" s="57">
        <f t="shared" si="68"/>
        <v>99.937359832635991</v>
      </c>
      <c r="AC49" s="354">
        <f t="shared" si="60"/>
        <v>0.1497099999999989</v>
      </c>
      <c r="AD49" s="46"/>
      <c r="AE49" s="16"/>
      <c r="AF49" s="57">
        <f t="shared" si="69"/>
        <v>0</v>
      </c>
      <c r="AG49" s="57">
        <f t="shared" si="70"/>
        <v>0</v>
      </c>
      <c r="AH49" s="46">
        <v>0</v>
      </c>
      <c r="AI49" s="466">
        <f t="shared" si="1"/>
        <v>0</v>
      </c>
      <c r="AJ49" s="57" t="s">
        <v>438</v>
      </c>
      <c r="AK49" s="305" t="s">
        <v>326</v>
      </c>
      <c r="AL49" s="290" t="s">
        <v>117</v>
      </c>
    </row>
    <row r="50" spans="1:182" x14ac:dyDescent="0.2">
      <c r="A50" s="136"/>
      <c r="B50" s="29">
        <v>3322.3326000000002</v>
      </c>
      <c r="C50" s="29" t="s">
        <v>248</v>
      </c>
      <c r="D50" s="196" t="s">
        <v>142</v>
      </c>
      <c r="E50" s="46">
        <f>1780+239+150+90+30+350</f>
        <v>2639</v>
      </c>
      <c r="F50" s="16"/>
      <c r="G50" s="57">
        <f t="shared" si="61"/>
        <v>2639</v>
      </c>
      <c r="H50" s="182">
        <f>-33-237+299.99123</f>
        <v>29.991229999999973</v>
      </c>
      <c r="I50" s="177"/>
      <c r="J50" s="46">
        <f t="shared" si="59"/>
        <v>2668.9912300000001</v>
      </c>
      <c r="K50" s="16"/>
      <c r="L50" s="57">
        <f t="shared" si="62"/>
        <v>2668.9912300000001</v>
      </c>
      <c r="M50" s="46"/>
      <c r="N50" s="16"/>
      <c r="O50" s="57">
        <f t="shared" si="63"/>
        <v>0</v>
      </c>
      <c r="P50" s="57">
        <f>O50/$L50*100</f>
        <v>0</v>
      </c>
      <c r="Q50" s="46">
        <v>160.48230000000001</v>
      </c>
      <c r="R50" s="16"/>
      <c r="S50" s="57">
        <f t="shared" si="64"/>
        <v>160.48230000000001</v>
      </c>
      <c r="T50" s="57">
        <f t="shared" si="65"/>
        <v>6.0128447855559273</v>
      </c>
      <c r="U50" s="46">
        <v>1623.5893000000001</v>
      </c>
      <c r="V50" s="16"/>
      <c r="W50" s="57">
        <f t="shared" si="66"/>
        <v>1623.5893000000001</v>
      </c>
      <c r="X50" s="57">
        <f t="shared" si="71"/>
        <v>60.831571185042819</v>
      </c>
      <c r="Y50" s="46">
        <v>2617.0432999999998</v>
      </c>
      <c r="Z50" s="16"/>
      <c r="AA50" s="57">
        <f t="shared" si="67"/>
        <v>2617.0432999999998</v>
      </c>
      <c r="AB50" s="57">
        <f t="shared" si="68"/>
        <v>98.053649280818348</v>
      </c>
      <c r="AC50" s="354">
        <f t="shared" si="60"/>
        <v>51.94793000000027</v>
      </c>
      <c r="AD50" s="46">
        <f>2450+30+270+200</f>
        <v>2950</v>
      </c>
      <c r="AE50" s="16"/>
      <c r="AF50" s="57">
        <f t="shared" si="69"/>
        <v>2950</v>
      </c>
      <c r="AG50" s="57">
        <f t="shared" si="70"/>
        <v>111.78476695718076</v>
      </c>
      <c r="AH50" s="46">
        <v>3320</v>
      </c>
      <c r="AI50" s="466">
        <f t="shared" si="1"/>
        <v>1.2439156647210114</v>
      </c>
      <c r="AJ50" s="57"/>
      <c r="AK50" s="305" t="s">
        <v>326</v>
      </c>
      <c r="AL50" s="290" t="s">
        <v>117</v>
      </c>
    </row>
    <row r="51" spans="1:182" x14ac:dyDescent="0.2">
      <c r="A51" s="136"/>
      <c r="B51" s="29">
        <v>3326</v>
      </c>
      <c r="C51" s="29">
        <v>103</v>
      </c>
      <c r="D51" s="196" t="s">
        <v>234</v>
      </c>
      <c r="E51" s="46">
        <v>80</v>
      </c>
      <c r="F51" s="16"/>
      <c r="G51" s="57">
        <f t="shared" si="61"/>
        <v>80</v>
      </c>
      <c r="H51" s="176">
        <v>-30</v>
      </c>
      <c r="I51" s="177"/>
      <c r="J51" s="46">
        <f t="shared" si="59"/>
        <v>50</v>
      </c>
      <c r="K51" s="16"/>
      <c r="L51" s="57">
        <f t="shared" si="62"/>
        <v>50</v>
      </c>
      <c r="M51" s="46"/>
      <c r="N51" s="16"/>
      <c r="O51" s="57">
        <f t="shared" si="63"/>
        <v>0</v>
      </c>
      <c r="P51" s="57">
        <f>O51/$L51*100</f>
        <v>0</v>
      </c>
      <c r="Q51" s="46">
        <v>0.15</v>
      </c>
      <c r="R51" s="16"/>
      <c r="S51" s="57">
        <f t="shared" si="64"/>
        <v>0.15</v>
      </c>
      <c r="T51" s="57">
        <f t="shared" si="65"/>
        <v>0.3</v>
      </c>
      <c r="U51" s="46">
        <v>4.367</v>
      </c>
      <c r="V51" s="16"/>
      <c r="W51" s="57">
        <f t="shared" si="66"/>
        <v>4.367</v>
      </c>
      <c r="X51" s="57">
        <f t="shared" si="71"/>
        <v>8.734</v>
      </c>
      <c r="Y51" s="46">
        <v>66.44</v>
      </c>
      <c r="Z51" s="16"/>
      <c r="AA51" s="57">
        <f t="shared" si="67"/>
        <v>66.44</v>
      </c>
      <c r="AB51" s="57">
        <f t="shared" si="68"/>
        <v>132.88</v>
      </c>
      <c r="AC51" s="354">
        <f t="shared" si="60"/>
        <v>-16.439999999999998</v>
      </c>
      <c r="AD51" s="46">
        <v>50</v>
      </c>
      <c r="AE51" s="16"/>
      <c r="AF51" s="57">
        <f t="shared" si="69"/>
        <v>50</v>
      </c>
      <c r="AG51" s="57">
        <f t="shared" si="70"/>
        <v>62.5</v>
      </c>
      <c r="AH51" s="46">
        <v>50</v>
      </c>
      <c r="AI51" s="466">
        <f t="shared" si="1"/>
        <v>1</v>
      </c>
      <c r="AJ51" s="57"/>
      <c r="AK51" s="305" t="s">
        <v>326</v>
      </c>
      <c r="AL51" s="290" t="s">
        <v>117</v>
      </c>
    </row>
    <row r="52" spans="1:182" x14ac:dyDescent="0.2">
      <c r="A52" s="136"/>
      <c r="B52" s="29">
        <v>3349</v>
      </c>
      <c r="C52" s="29">
        <v>42</v>
      </c>
      <c r="D52" s="196" t="s">
        <v>73</v>
      </c>
      <c r="E52" s="46">
        <v>379</v>
      </c>
      <c r="F52" s="16"/>
      <c r="G52" s="57">
        <f t="shared" si="61"/>
        <v>379</v>
      </c>
      <c r="H52" s="176">
        <v>-38</v>
      </c>
      <c r="I52" s="177"/>
      <c r="J52" s="46">
        <f t="shared" si="59"/>
        <v>341</v>
      </c>
      <c r="K52" s="16"/>
      <c r="L52" s="57">
        <f t="shared" si="62"/>
        <v>341</v>
      </c>
      <c r="M52" s="46">
        <f>84.345+2.2</f>
        <v>86.545000000000002</v>
      </c>
      <c r="N52" s="16"/>
      <c r="O52" s="57">
        <f t="shared" si="63"/>
        <v>86.545000000000002</v>
      </c>
      <c r="P52" s="57">
        <f>O52/$L52*100</f>
        <v>25.379765395894427</v>
      </c>
      <c r="Q52" s="46">
        <f>165.855+2.2</f>
        <v>168.05499999999998</v>
      </c>
      <c r="R52" s="16"/>
      <c r="S52" s="57">
        <f t="shared" si="64"/>
        <v>168.05499999999998</v>
      </c>
      <c r="T52" s="57">
        <f t="shared" si="65"/>
        <v>49.282991202346032</v>
      </c>
      <c r="U52" s="46">
        <f>227.43+2.2</f>
        <v>229.63</v>
      </c>
      <c r="V52" s="16"/>
      <c r="W52" s="57">
        <f t="shared" si="66"/>
        <v>229.63</v>
      </c>
      <c r="X52" s="57">
        <f t="shared" si="71"/>
        <v>67.340175953079168</v>
      </c>
      <c r="Y52" s="46">
        <v>308.94</v>
      </c>
      <c r="Z52" s="16"/>
      <c r="AA52" s="57">
        <f t="shared" si="67"/>
        <v>308.94</v>
      </c>
      <c r="AB52" s="57">
        <f t="shared" si="68"/>
        <v>90.598240469208207</v>
      </c>
      <c r="AC52" s="354">
        <f t="shared" si="60"/>
        <v>32.06</v>
      </c>
      <c r="AD52" s="46">
        <v>341</v>
      </c>
      <c r="AE52" s="16"/>
      <c r="AF52" s="57">
        <f t="shared" si="69"/>
        <v>341</v>
      </c>
      <c r="AG52" s="57">
        <f t="shared" si="70"/>
        <v>89.973614775725594</v>
      </c>
      <c r="AH52" s="190">
        <v>341</v>
      </c>
      <c r="AI52" s="466">
        <f t="shared" si="1"/>
        <v>1</v>
      </c>
      <c r="AJ52" s="57"/>
      <c r="AK52" s="369" t="s">
        <v>374</v>
      </c>
      <c r="AL52" s="368" t="s">
        <v>69</v>
      </c>
      <c r="FZ52" s="113">
        <f>SUM(Q52:FY52)</f>
        <v>2766.5050224003589</v>
      </c>
    </row>
    <row r="53" spans="1:182" x14ac:dyDescent="0.2">
      <c r="A53" s="136"/>
      <c r="B53" s="29">
        <v>3392</v>
      </c>
      <c r="C53" s="29">
        <v>312</v>
      </c>
      <c r="D53" s="196" t="s">
        <v>252</v>
      </c>
      <c r="E53" s="46">
        <v>3553</v>
      </c>
      <c r="F53" s="16"/>
      <c r="G53" s="57">
        <f t="shared" si="61"/>
        <v>3553</v>
      </c>
      <c r="H53" s="182">
        <f>21.47169-100+38+21.17657</f>
        <v>-19.351740000000003</v>
      </c>
      <c r="I53" s="401"/>
      <c r="J53" s="46">
        <f t="shared" si="59"/>
        <v>3533.6482599999999</v>
      </c>
      <c r="K53" s="418">
        <f>F53+I53</f>
        <v>0</v>
      </c>
      <c r="L53" s="57">
        <f t="shared" si="62"/>
        <v>3533.6482599999999</v>
      </c>
      <c r="M53" s="46">
        <v>888.25</v>
      </c>
      <c r="N53" s="16"/>
      <c r="O53" s="57">
        <f t="shared" si="63"/>
        <v>888.25</v>
      </c>
      <c r="P53" s="57">
        <f>O53/$L53*100</f>
        <v>25.136910485821812</v>
      </c>
      <c r="Q53" s="46">
        <v>1776.5</v>
      </c>
      <c r="R53" s="16"/>
      <c r="S53" s="57">
        <f t="shared" si="64"/>
        <v>1776.5</v>
      </c>
      <c r="T53" s="57">
        <f t="shared" si="65"/>
        <v>50.273820971643623</v>
      </c>
      <c r="U53" s="46">
        <f>2589.75+21.47169</f>
        <v>2611.2216899999999</v>
      </c>
      <c r="V53" s="16"/>
      <c r="W53" s="57">
        <f t="shared" si="66"/>
        <v>2611.2216899999999</v>
      </c>
      <c r="X53" s="57">
        <f t="shared" si="71"/>
        <v>73.895914303592846</v>
      </c>
      <c r="Y53" s="46">
        <f>3453+38+42.64826</f>
        <v>3533.6482599999999</v>
      </c>
      <c r="Z53" s="16"/>
      <c r="AA53" s="57">
        <f t="shared" si="67"/>
        <v>3533.6482599999999</v>
      </c>
      <c r="AB53" s="57">
        <f t="shared" si="68"/>
        <v>100</v>
      </c>
      <c r="AC53" s="354">
        <f t="shared" si="60"/>
        <v>0</v>
      </c>
      <c r="AD53" s="46">
        <v>3553</v>
      </c>
      <c r="AE53" s="16"/>
      <c r="AF53" s="57">
        <f t="shared" si="69"/>
        <v>3553</v>
      </c>
      <c r="AG53" s="57">
        <f t="shared" si="70"/>
        <v>100</v>
      </c>
      <c r="AH53" s="46">
        <v>3453</v>
      </c>
      <c r="AI53" s="466">
        <f t="shared" si="1"/>
        <v>0.97717705496811391</v>
      </c>
      <c r="AJ53" s="57" t="s">
        <v>279</v>
      </c>
      <c r="AK53" s="302" t="s">
        <v>197</v>
      </c>
      <c r="AL53" s="289" t="s">
        <v>71</v>
      </c>
    </row>
    <row r="54" spans="1:182" x14ac:dyDescent="0.2">
      <c r="A54" s="136"/>
      <c r="B54" s="29">
        <v>3392</v>
      </c>
      <c r="C54" s="29" t="s">
        <v>247</v>
      </c>
      <c r="D54" s="196" t="s">
        <v>246</v>
      </c>
      <c r="E54" s="46">
        <f>355+302</f>
        <v>657</v>
      </c>
      <c r="F54" s="16"/>
      <c r="G54" s="57">
        <f t="shared" si="61"/>
        <v>657</v>
      </c>
      <c r="H54" s="178"/>
      <c r="I54" s="179"/>
      <c r="J54" s="46">
        <f t="shared" si="59"/>
        <v>657</v>
      </c>
      <c r="K54" s="16"/>
      <c r="L54" s="57">
        <f t="shared" si="62"/>
        <v>657</v>
      </c>
      <c r="M54" s="46"/>
      <c r="N54" s="16"/>
      <c r="O54" s="57">
        <f t="shared" si="63"/>
        <v>0</v>
      </c>
      <c r="P54" s="57">
        <f>O54/$L54*100</f>
        <v>0</v>
      </c>
      <c r="Q54" s="46"/>
      <c r="R54" s="16"/>
      <c r="S54" s="57">
        <f t="shared" si="64"/>
        <v>0</v>
      </c>
      <c r="T54" s="57">
        <f t="shared" si="65"/>
        <v>0</v>
      </c>
      <c r="U54" s="46">
        <v>656.02700000000004</v>
      </c>
      <c r="V54" s="16"/>
      <c r="W54" s="57">
        <f t="shared" si="66"/>
        <v>656.02700000000004</v>
      </c>
      <c r="X54" s="57">
        <f t="shared" si="71"/>
        <v>99.851902587519035</v>
      </c>
      <c r="Y54" s="46">
        <v>656.02700000000004</v>
      </c>
      <c r="Z54" s="16"/>
      <c r="AA54" s="57">
        <f t="shared" si="67"/>
        <v>656.02700000000004</v>
      </c>
      <c r="AB54" s="57">
        <f t="shared" si="68"/>
        <v>99.851902587519035</v>
      </c>
      <c r="AC54" s="354">
        <f t="shared" si="60"/>
        <v>0.97299999999995634</v>
      </c>
      <c r="AD54" s="46">
        <f>355+300</f>
        <v>655</v>
      </c>
      <c r="AE54" s="16"/>
      <c r="AF54" s="57">
        <f t="shared" si="69"/>
        <v>655</v>
      </c>
      <c r="AG54" s="57">
        <f t="shared" si="70"/>
        <v>99.695585996955856</v>
      </c>
      <c r="AH54" s="46">
        <v>655</v>
      </c>
      <c r="AI54" s="466">
        <f t="shared" si="1"/>
        <v>0.9969558599695586</v>
      </c>
      <c r="AJ54" s="57"/>
      <c r="AK54" s="302" t="s">
        <v>197</v>
      </c>
      <c r="AL54" s="289" t="s">
        <v>71</v>
      </c>
    </row>
    <row r="55" spans="1:182" x14ac:dyDescent="0.2">
      <c r="A55" s="136"/>
      <c r="B55" s="29">
        <v>3399</v>
      </c>
      <c r="C55" s="29">
        <v>313</v>
      </c>
      <c r="D55" s="196" t="s">
        <v>102</v>
      </c>
      <c r="E55" s="46">
        <v>150</v>
      </c>
      <c r="F55" s="16"/>
      <c r="G55" s="57">
        <f>E55+F55</f>
        <v>150</v>
      </c>
      <c r="H55" s="176">
        <v>-15</v>
      </c>
      <c r="I55" s="177"/>
      <c r="J55" s="46">
        <f t="shared" si="59"/>
        <v>135</v>
      </c>
      <c r="K55" s="16"/>
      <c r="L55" s="57">
        <f>SUM(J55:K55)</f>
        <v>135</v>
      </c>
      <c r="M55" s="46">
        <v>5.194</v>
      </c>
      <c r="N55" s="16"/>
      <c r="O55" s="57">
        <f>M55+N55</f>
        <v>5.194</v>
      </c>
      <c r="P55" s="57">
        <f t="shared" ref="P55:P63" si="72">O55/$L55*100</f>
        <v>3.8474074074074069</v>
      </c>
      <c r="Q55" s="46">
        <f>14.297+0.8</f>
        <v>15.097000000000001</v>
      </c>
      <c r="R55" s="16"/>
      <c r="S55" s="57">
        <f>Q55+R55</f>
        <v>15.097000000000001</v>
      </c>
      <c r="T55" s="57">
        <f t="shared" si="5"/>
        <v>11.182962962962964</v>
      </c>
      <c r="U55" s="46">
        <v>15.196999999999999</v>
      </c>
      <c r="V55" s="16"/>
      <c r="W55" s="57">
        <f>U55+V55</f>
        <v>15.196999999999999</v>
      </c>
      <c r="X55" s="57">
        <f t="shared" si="7"/>
        <v>11.257037037037037</v>
      </c>
      <c r="Y55" s="46">
        <v>27.187999999999999</v>
      </c>
      <c r="Z55" s="16"/>
      <c r="AA55" s="57">
        <f>Y55+Z55</f>
        <v>27.187999999999999</v>
      </c>
      <c r="AB55" s="57">
        <f t="shared" si="9"/>
        <v>20.139259259259259</v>
      </c>
      <c r="AC55" s="354">
        <f t="shared" si="60"/>
        <v>107.812</v>
      </c>
      <c r="AD55" s="46">
        <v>135</v>
      </c>
      <c r="AE55" s="16"/>
      <c r="AF55" s="57">
        <f>AD55+AE55</f>
        <v>135</v>
      </c>
      <c r="AG55" s="57">
        <f t="shared" ref="AG55:AG63" si="73">AF55/$G55*100</f>
        <v>90</v>
      </c>
      <c r="AH55" s="46">
        <v>153</v>
      </c>
      <c r="AI55" s="466">
        <f t="shared" si="1"/>
        <v>1.1333333333333333</v>
      </c>
      <c r="AJ55" s="57" t="s">
        <v>280</v>
      </c>
      <c r="AK55" s="369" t="s">
        <v>265</v>
      </c>
      <c r="AL55" s="378" t="s">
        <v>341</v>
      </c>
    </row>
    <row r="56" spans="1:182" x14ac:dyDescent="0.2">
      <c r="A56" s="137">
        <v>34</v>
      </c>
      <c r="B56" s="24">
        <v>3400</v>
      </c>
      <c r="C56" s="24"/>
      <c r="D56" s="373" t="s">
        <v>74</v>
      </c>
      <c r="E56" s="58">
        <f t="shared" ref="E56:O56" si="74">SUM(E57:E63)</f>
        <v>6240</v>
      </c>
      <c r="F56" s="59">
        <f t="shared" si="74"/>
        <v>9640</v>
      </c>
      <c r="G56" s="60">
        <f t="shared" si="74"/>
        <v>15880</v>
      </c>
      <c r="H56" s="180">
        <f t="shared" si="74"/>
        <v>-655</v>
      </c>
      <c r="I56" s="181">
        <f t="shared" si="74"/>
        <v>0</v>
      </c>
      <c r="J56" s="58">
        <f t="shared" si="74"/>
        <v>5585</v>
      </c>
      <c r="K56" s="59">
        <f t="shared" si="74"/>
        <v>9640</v>
      </c>
      <c r="L56" s="60">
        <f t="shared" si="74"/>
        <v>15225</v>
      </c>
      <c r="M56" s="58">
        <f t="shared" si="74"/>
        <v>1168.97272</v>
      </c>
      <c r="N56" s="59">
        <f t="shared" si="74"/>
        <v>0</v>
      </c>
      <c r="O56" s="60">
        <f t="shared" si="74"/>
        <v>1168.97272</v>
      </c>
      <c r="P56" s="60">
        <f t="shared" si="72"/>
        <v>7.6779817405582911</v>
      </c>
      <c r="Q56" s="58">
        <f>SUM(Q57:Q63)</f>
        <v>2836.1467199999997</v>
      </c>
      <c r="R56" s="59">
        <f>SUM(R57:R63)</f>
        <v>1000</v>
      </c>
      <c r="S56" s="60">
        <f>SUM(S57:S63)</f>
        <v>3836.1467199999997</v>
      </c>
      <c r="T56" s="60">
        <f t="shared" si="5"/>
        <v>25.196365977011492</v>
      </c>
      <c r="U56" s="58">
        <f>SUM(U57:U63)</f>
        <v>4386.9697200000001</v>
      </c>
      <c r="V56" s="59">
        <f>SUM(V57:V63)</f>
        <v>6400</v>
      </c>
      <c r="W56" s="60">
        <f>SUM(W57:W63)</f>
        <v>10786.969719999999</v>
      </c>
      <c r="X56" s="60">
        <f t="shared" si="7"/>
        <v>70.850375829228241</v>
      </c>
      <c r="Y56" s="58">
        <f>SUM(Y57:Y63)</f>
        <v>5499.9047200000005</v>
      </c>
      <c r="Z56" s="59">
        <f>SUM(Z57:Z63)</f>
        <v>9640</v>
      </c>
      <c r="AA56" s="60">
        <f>SUM(AA57:AA63)</f>
        <v>15139.90472</v>
      </c>
      <c r="AB56" s="60">
        <f t="shared" si="9"/>
        <v>99.441081904761901</v>
      </c>
      <c r="AC56" s="355">
        <f>SUM(AC57:AC63)</f>
        <v>85.095280000000002</v>
      </c>
      <c r="AD56" s="58">
        <f>SUM(AD57:AD63)</f>
        <v>5520</v>
      </c>
      <c r="AE56" s="59">
        <f>SUM(AE57:AE63)</f>
        <v>9050</v>
      </c>
      <c r="AF56" s="60">
        <f>SUM(AF57:AF63)</f>
        <v>14570</v>
      </c>
      <c r="AG56" s="60">
        <f t="shared" si="73"/>
        <v>91.750629722921914</v>
      </c>
      <c r="AH56" s="58">
        <f>SUM(AH57:AH63)</f>
        <v>13127</v>
      </c>
      <c r="AI56" s="467">
        <f t="shared" si="1"/>
        <v>0.86220032840722494</v>
      </c>
      <c r="AJ56" s="60"/>
      <c r="AK56" s="304"/>
      <c r="AL56" s="74"/>
    </row>
    <row r="57" spans="1:182" ht="13.5" customHeight="1" x14ac:dyDescent="0.2">
      <c r="A57" s="136"/>
      <c r="B57" s="29">
        <v>3412</v>
      </c>
      <c r="C57" s="29">
        <v>506</v>
      </c>
      <c r="D57" s="196" t="s">
        <v>323</v>
      </c>
      <c r="E57" s="46">
        <v>4500</v>
      </c>
      <c r="F57" s="16"/>
      <c r="G57" s="57">
        <f t="shared" ref="G57:G63" si="75">E57+F57</f>
        <v>4500</v>
      </c>
      <c r="H57" s="178">
        <v>-180</v>
      </c>
      <c r="I57" s="177"/>
      <c r="J57" s="46">
        <f t="shared" ref="J57:K61" si="76">E57+H57</f>
        <v>4320</v>
      </c>
      <c r="K57" s="16">
        <f t="shared" si="76"/>
        <v>0</v>
      </c>
      <c r="L57" s="57">
        <f t="shared" ref="L57:L63" si="77">SUM(J57:K57)</f>
        <v>4320</v>
      </c>
      <c r="M57" s="46">
        <v>1125</v>
      </c>
      <c r="N57" s="16"/>
      <c r="O57" s="57">
        <f t="shared" ref="O57:O63" si="78">M57+N57</f>
        <v>1125</v>
      </c>
      <c r="P57" s="57">
        <f t="shared" si="72"/>
        <v>26.041666666666668</v>
      </c>
      <c r="Q57" s="46">
        <v>2160</v>
      </c>
      <c r="R57" s="16"/>
      <c r="S57" s="57">
        <f t="shared" ref="S57:S63" si="79">Q57+R57</f>
        <v>2160</v>
      </c>
      <c r="T57" s="57">
        <f t="shared" si="5"/>
        <v>50</v>
      </c>
      <c r="U57" s="46">
        <v>3240</v>
      </c>
      <c r="V57" s="16"/>
      <c r="W57" s="57">
        <f t="shared" ref="W57:W63" si="80">U57+V57</f>
        <v>3240</v>
      </c>
      <c r="X57" s="57">
        <f t="shared" si="7"/>
        <v>75</v>
      </c>
      <c r="Y57" s="46">
        <v>4320</v>
      </c>
      <c r="Z57" s="16"/>
      <c r="AA57" s="57">
        <f t="shared" ref="AA57:AA63" si="81">Y57+Z57</f>
        <v>4320</v>
      </c>
      <c r="AB57" s="57">
        <f t="shared" si="9"/>
        <v>100</v>
      </c>
      <c r="AC57" s="354">
        <f t="shared" ref="AC57:AC63" si="82">L57-AA57</f>
        <v>0</v>
      </c>
      <c r="AD57" s="46">
        <v>4320</v>
      </c>
      <c r="AE57" s="16"/>
      <c r="AF57" s="57">
        <f t="shared" ref="AF57:AF63" si="83">AD57+AE57</f>
        <v>4320</v>
      </c>
      <c r="AG57" s="57">
        <f t="shared" si="73"/>
        <v>96</v>
      </c>
      <c r="AH57" s="46">
        <v>4427</v>
      </c>
      <c r="AI57" s="466">
        <f t="shared" si="1"/>
        <v>1.0247685185185185</v>
      </c>
      <c r="AJ57" s="57" t="s">
        <v>325</v>
      </c>
      <c r="AK57" s="302" t="s">
        <v>197</v>
      </c>
      <c r="AL57" s="289" t="s">
        <v>71</v>
      </c>
    </row>
    <row r="58" spans="1:182" ht="13.5" customHeight="1" x14ac:dyDescent="0.2">
      <c r="A58" s="136"/>
      <c r="B58" s="29">
        <v>3412</v>
      </c>
      <c r="C58" s="29">
        <v>506</v>
      </c>
      <c r="D58" s="196" t="s">
        <v>329</v>
      </c>
      <c r="E58" s="46"/>
      <c r="F58" s="16">
        <f>3640+6000</f>
        <v>9640</v>
      </c>
      <c r="G58" s="57">
        <f t="shared" si="75"/>
        <v>9640</v>
      </c>
      <c r="H58" s="178"/>
      <c r="I58" s="177"/>
      <c r="J58" s="46">
        <f t="shared" si="76"/>
        <v>0</v>
      </c>
      <c r="K58" s="16">
        <f t="shared" si="76"/>
        <v>9640</v>
      </c>
      <c r="L58" s="57">
        <f t="shared" si="77"/>
        <v>9640</v>
      </c>
      <c r="M58" s="46"/>
      <c r="N58" s="16"/>
      <c r="O58" s="57">
        <f t="shared" si="78"/>
        <v>0</v>
      </c>
      <c r="P58" s="57">
        <f t="shared" si="72"/>
        <v>0</v>
      </c>
      <c r="Q58" s="46"/>
      <c r="R58" s="16">
        <v>1000</v>
      </c>
      <c r="S58" s="57">
        <f t="shared" si="79"/>
        <v>1000</v>
      </c>
      <c r="T58" s="57">
        <f t="shared" si="5"/>
        <v>10.37344398340249</v>
      </c>
      <c r="U58" s="46"/>
      <c r="V58" s="16">
        <v>6400</v>
      </c>
      <c r="W58" s="57">
        <f t="shared" si="80"/>
        <v>6400</v>
      </c>
      <c r="X58" s="57">
        <f t="shared" si="7"/>
        <v>66.390041493775925</v>
      </c>
      <c r="Y58" s="46"/>
      <c r="Z58" s="16">
        <v>9640</v>
      </c>
      <c r="AA58" s="57">
        <f t="shared" si="81"/>
        <v>9640</v>
      </c>
      <c r="AB58" s="57">
        <f t="shared" si="9"/>
        <v>100</v>
      </c>
      <c r="AC58" s="354">
        <f t="shared" si="82"/>
        <v>0</v>
      </c>
      <c r="AD58" s="46"/>
      <c r="AE58" s="16">
        <f>7500+1550</f>
        <v>9050</v>
      </c>
      <c r="AF58" s="57">
        <f t="shared" si="83"/>
        <v>9050</v>
      </c>
      <c r="AG58" s="57">
        <f t="shared" si="73"/>
        <v>93.879668049792528</v>
      </c>
      <c r="AH58" s="46">
        <v>7500</v>
      </c>
      <c r="AI58" s="466">
        <f t="shared" si="1"/>
        <v>0.77800829875518673</v>
      </c>
      <c r="AJ58" s="57" t="s">
        <v>340</v>
      </c>
      <c r="AK58" s="302" t="s">
        <v>197</v>
      </c>
      <c r="AL58" s="289" t="s">
        <v>71</v>
      </c>
    </row>
    <row r="59" spans="1:182" ht="13.5" customHeight="1" x14ac:dyDescent="0.2">
      <c r="A59" s="136"/>
      <c r="B59" s="29">
        <v>3412</v>
      </c>
      <c r="C59" s="29">
        <v>506</v>
      </c>
      <c r="D59" s="196" t="s">
        <v>323</v>
      </c>
      <c r="E59" s="46">
        <v>300</v>
      </c>
      <c r="F59" s="16"/>
      <c r="G59" s="57">
        <f t="shared" si="75"/>
        <v>300</v>
      </c>
      <c r="H59" s="178">
        <v>-300</v>
      </c>
      <c r="I59" s="177"/>
      <c r="J59" s="46">
        <f t="shared" si="76"/>
        <v>0</v>
      </c>
      <c r="K59" s="16"/>
      <c r="L59" s="57">
        <f t="shared" si="77"/>
        <v>0</v>
      </c>
      <c r="M59" s="46"/>
      <c r="N59" s="16"/>
      <c r="O59" s="57">
        <f t="shared" si="78"/>
        <v>0</v>
      </c>
      <c r="P59" s="57"/>
      <c r="Q59" s="46"/>
      <c r="R59" s="16"/>
      <c r="S59" s="57">
        <f t="shared" si="79"/>
        <v>0</v>
      </c>
      <c r="T59" s="57"/>
      <c r="U59" s="46">
        <v>0</v>
      </c>
      <c r="V59" s="16"/>
      <c r="W59" s="57">
        <f t="shared" si="80"/>
        <v>0</v>
      </c>
      <c r="X59" s="57"/>
      <c r="Y59" s="46"/>
      <c r="Z59" s="16"/>
      <c r="AA59" s="57">
        <f t="shared" si="81"/>
        <v>0</v>
      </c>
      <c r="AB59" s="57"/>
      <c r="AC59" s="354">
        <f t="shared" si="82"/>
        <v>0</v>
      </c>
      <c r="AD59" s="46"/>
      <c r="AE59" s="16"/>
      <c r="AF59" s="57">
        <f t="shared" si="83"/>
        <v>0</v>
      </c>
      <c r="AG59" s="57">
        <f t="shared" si="73"/>
        <v>0</v>
      </c>
      <c r="AH59" s="46">
        <v>0</v>
      </c>
      <c r="AI59" s="466" t="e">
        <f t="shared" si="1"/>
        <v>#DIV/0!</v>
      </c>
      <c r="AJ59" s="57"/>
      <c r="AK59" s="302" t="s">
        <v>197</v>
      </c>
      <c r="AL59" s="289" t="s">
        <v>71</v>
      </c>
    </row>
    <row r="60" spans="1:182" ht="13.5" customHeight="1" x14ac:dyDescent="0.2">
      <c r="A60" s="136"/>
      <c r="B60" s="29">
        <v>3412</v>
      </c>
      <c r="C60" s="29">
        <v>216</v>
      </c>
      <c r="D60" s="196" t="s">
        <v>328</v>
      </c>
      <c r="E60" s="46">
        <f>172+73</f>
        <v>245</v>
      </c>
      <c r="F60" s="16"/>
      <c r="G60" s="57">
        <f t="shared" si="75"/>
        <v>245</v>
      </c>
      <c r="H60" s="178"/>
      <c r="I60" s="177"/>
      <c r="J60" s="46">
        <f t="shared" si="76"/>
        <v>245</v>
      </c>
      <c r="K60" s="16">
        <f t="shared" si="76"/>
        <v>0</v>
      </c>
      <c r="L60" s="57">
        <f t="shared" si="77"/>
        <v>245</v>
      </c>
      <c r="M60" s="46">
        <v>43.972720000000002</v>
      </c>
      <c r="N60" s="16"/>
      <c r="O60" s="57">
        <f t="shared" si="78"/>
        <v>43.972720000000002</v>
      </c>
      <c r="P60" s="57">
        <f t="shared" si="72"/>
        <v>17.948048979591839</v>
      </c>
      <c r="Q60" s="46">
        <v>89.946719999999999</v>
      </c>
      <c r="R60" s="16"/>
      <c r="S60" s="57">
        <f t="shared" si="79"/>
        <v>89.946719999999999</v>
      </c>
      <c r="T60" s="57">
        <f t="shared" si="5"/>
        <v>36.712946938775509</v>
      </c>
      <c r="U60" s="46">
        <v>131.96972</v>
      </c>
      <c r="V60" s="16"/>
      <c r="W60" s="57">
        <f t="shared" si="80"/>
        <v>131.96972</v>
      </c>
      <c r="X60" s="57">
        <f t="shared" si="7"/>
        <v>53.865191836734695</v>
      </c>
      <c r="Y60" s="46">
        <v>178.40472</v>
      </c>
      <c r="Z60" s="16"/>
      <c r="AA60" s="57">
        <f t="shared" si="81"/>
        <v>178.40472</v>
      </c>
      <c r="AB60" s="57">
        <f t="shared" ref="AB60:AB65" si="84">AA60/$L60*100</f>
        <v>72.818253061224496</v>
      </c>
      <c r="AC60" s="354">
        <f t="shared" si="82"/>
        <v>66.595280000000002</v>
      </c>
      <c r="AD60" s="46">
        <v>200</v>
      </c>
      <c r="AE60" s="16"/>
      <c r="AF60" s="57">
        <f t="shared" si="83"/>
        <v>200</v>
      </c>
      <c r="AG60" s="57">
        <f t="shared" si="73"/>
        <v>81.632653061224488</v>
      </c>
      <c r="AH60" s="46">
        <v>200</v>
      </c>
      <c r="AI60" s="466">
        <f t="shared" si="1"/>
        <v>0.81632653061224492</v>
      </c>
      <c r="AJ60" s="57"/>
      <c r="AK60" s="303" t="s">
        <v>306</v>
      </c>
      <c r="AL60" s="436" t="s">
        <v>68</v>
      </c>
    </row>
    <row r="61" spans="1:182" ht="13.5" customHeight="1" x14ac:dyDescent="0.2">
      <c r="A61" s="136"/>
      <c r="B61" s="29">
        <v>3419</v>
      </c>
      <c r="C61" s="29">
        <v>105</v>
      </c>
      <c r="D61" s="196" t="s">
        <v>346</v>
      </c>
      <c r="E61" s="46">
        <v>50</v>
      </c>
      <c r="F61" s="16"/>
      <c r="G61" s="57">
        <f t="shared" si="75"/>
        <v>50</v>
      </c>
      <c r="H61" s="182">
        <v>-50</v>
      </c>
      <c r="I61" s="177"/>
      <c r="J61" s="46">
        <f>E61+H61</f>
        <v>0</v>
      </c>
      <c r="K61" s="16">
        <f t="shared" si="76"/>
        <v>0</v>
      </c>
      <c r="L61" s="57">
        <f t="shared" si="77"/>
        <v>0</v>
      </c>
      <c r="M61" s="46"/>
      <c r="N61" s="16"/>
      <c r="O61" s="57">
        <f t="shared" si="78"/>
        <v>0</v>
      </c>
      <c r="P61" s="57" t="e">
        <f t="shared" si="72"/>
        <v>#DIV/0!</v>
      </c>
      <c r="Q61" s="46"/>
      <c r="R61" s="16"/>
      <c r="S61" s="57">
        <f t="shared" si="79"/>
        <v>0</v>
      </c>
      <c r="T61" s="57" t="e">
        <f t="shared" si="5"/>
        <v>#DIV/0!</v>
      </c>
      <c r="U61" s="46">
        <v>0</v>
      </c>
      <c r="V61" s="16"/>
      <c r="W61" s="57">
        <f t="shared" si="80"/>
        <v>0</v>
      </c>
      <c r="X61" s="57" t="e">
        <f>W61/$L61*100</f>
        <v>#DIV/0!</v>
      </c>
      <c r="Y61" s="46"/>
      <c r="Z61" s="16"/>
      <c r="AA61" s="57">
        <f t="shared" si="81"/>
        <v>0</v>
      </c>
      <c r="AB61" s="57"/>
      <c r="AC61" s="354">
        <f t="shared" si="82"/>
        <v>0</v>
      </c>
      <c r="AD61" s="46">
        <v>45</v>
      </c>
      <c r="AE61" s="16"/>
      <c r="AF61" s="57">
        <f t="shared" si="83"/>
        <v>45</v>
      </c>
      <c r="AG61" s="57">
        <f t="shared" si="73"/>
        <v>90</v>
      </c>
      <c r="AH61" s="46">
        <v>45</v>
      </c>
      <c r="AI61" s="466" t="e">
        <f t="shared" si="1"/>
        <v>#DIV/0!</v>
      </c>
      <c r="AJ61" s="57" t="s">
        <v>471</v>
      </c>
      <c r="AK61" s="302" t="s">
        <v>342</v>
      </c>
      <c r="AL61" s="289" t="s">
        <v>71</v>
      </c>
    </row>
    <row r="62" spans="1:182" ht="13.5" customHeight="1" x14ac:dyDescent="0.2">
      <c r="A62" s="136"/>
      <c r="B62" s="29">
        <v>3419</v>
      </c>
      <c r="C62" s="29">
        <v>104</v>
      </c>
      <c r="D62" s="196" t="s">
        <v>337</v>
      </c>
      <c r="E62" s="46">
        <f>50+45+20+50+30</f>
        <v>195</v>
      </c>
      <c r="F62" s="16"/>
      <c r="G62" s="57">
        <f t="shared" si="75"/>
        <v>195</v>
      </c>
      <c r="H62" s="182">
        <v>-30</v>
      </c>
      <c r="I62" s="177"/>
      <c r="J62" s="46">
        <f>E62+H62</f>
        <v>165</v>
      </c>
      <c r="K62" s="16"/>
      <c r="L62" s="57">
        <f>SUM(J62:K62)</f>
        <v>165</v>
      </c>
      <c r="M62" s="46"/>
      <c r="N62" s="16"/>
      <c r="O62" s="57">
        <f t="shared" si="78"/>
        <v>0</v>
      </c>
      <c r="P62" s="57"/>
      <c r="Q62" s="46">
        <v>145</v>
      </c>
      <c r="R62" s="16"/>
      <c r="S62" s="57">
        <f t="shared" si="79"/>
        <v>145</v>
      </c>
      <c r="T62" s="57"/>
      <c r="U62" s="46">
        <v>165</v>
      </c>
      <c r="V62" s="16"/>
      <c r="W62" s="57">
        <f t="shared" si="80"/>
        <v>165</v>
      </c>
      <c r="X62" s="57">
        <f>W62/$L62*100</f>
        <v>100</v>
      </c>
      <c r="Y62" s="46">
        <v>165</v>
      </c>
      <c r="Z62" s="16"/>
      <c r="AA62" s="57">
        <f t="shared" si="81"/>
        <v>165</v>
      </c>
      <c r="AB62" s="57"/>
      <c r="AC62" s="354">
        <f t="shared" si="82"/>
        <v>0</v>
      </c>
      <c r="AD62" s="46">
        <v>100</v>
      </c>
      <c r="AE62" s="16"/>
      <c r="AF62" s="57">
        <f t="shared" si="83"/>
        <v>100</v>
      </c>
      <c r="AG62" s="57">
        <f t="shared" si="73"/>
        <v>51.282051282051277</v>
      </c>
      <c r="AH62" s="46">
        <v>100</v>
      </c>
      <c r="AI62" s="466">
        <f t="shared" si="1"/>
        <v>0.60606060606060608</v>
      </c>
      <c r="AJ62" s="57"/>
      <c r="AK62" s="302" t="s">
        <v>342</v>
      </c>
      <c r="AL62" s="289" t="s">
        <v>71</v>
      </c>
    </row>
    <row r="63" spans="1:182" ht="12.75" customHeight="1" x14ac:dyDescent="0.2">
      <c r="A63" s="136"/>
      <c r="B63" s="29">
        <v>3421</v>
      </c>
      <c r="C63" s="29">
        <v>105</v>
      </c>
      <c r="D63" s="196" t="s">
        <v>335</v>
      </c>
      <c r="E63" s="46">
        <v>950</v>
      </c>
      <c r="F63" s="16"/>
      <c r="G63" s="57">
        <f t="shared" si="75"/>
        <v>950</v>
      </c>
      <c r="H63" s="178">
        <v>-95</v>
      </c>
      <c r="I63" s="177"/>
      <c r="J63" s="46">
        <f>E63+H63</f>
        <v>855</v>
      </c>
      <c r="K63" s="16"/>
      <c r="L63" s="57">
        <f t="shared" si="77"/>
        <v>855</v>
      </c>
      <c r="M63" s="46"/>
      <c r="N63" s="16"/>
      <c r="O63" s="57">
        <f t="shared" si="78"/>
        <v>0</v>
      </c>
      <c r="P63" s="57">
        <f t="shared" si="72"/>
        <v>0</v>
      </c>
      <c r="Q63" s="46">
        <v>441.2</v>
      </c>
      <c r="R63" s="16"/>
      <c r="S63" s="57">
        <f t="shared" si="79"/>
        <v>441.2</v>
      </c>
      <c r="T63" s="57">
        <f>S63/$L63*100</f>
        <v>51.602339181286553</v>
      </c>
      <c r="U63" s="46">
        <v>850</v>
      </c>
      <c r="V63" s="16"/>
      <c r="W63" s="57">
        <f t="shared" si="80"/>
        <v>850</v>
      </c>
      <c r="X63" s="417">
        <f>W63/$L63*100</f>
        <v>99.415204678362571</v>
      </c>
      <c r="Y63" s="46">
        <v>836.5</v>
      </c>
      <c r="Z63" s="16"/>
      <c r="AA63" s="57">
        <f t="shared" si="81"/>
        <v>836.5</v>
      </c>
      <c r="AB63" s="417">
        <f t="shared" si="84"/>
        <v>97.836257309941516</v>
      </c>
      <c r="AC63" s="354">
        <f t="shared" si="82"/>
        <v>18.5</v>
      </c>
      <c r="AD63" s="46">
        <v>855</v>
      </c>
      <c r="AE63" s="16"/>
      <c r="AF63" s="57">
        <f t="shared" si="83"/>
        <v>855</v>
      </c>
      <c r="AG63" s="57">
        <f t="shared" si="73"/>
        <v>90</v>
      </c>
      <c r="AH63" s="46">
        <v>855</v>
      </c>
      <c r="AI63" s="470">
        <f t="shared" si="1"/>
        <v>1</v>
      </c>
      <c r="AJ63" s="57"/>
      <c r="AK63" s="302" t="s">
        <v>342</v>
      </c>
      <c r="AL63" s="289" t="s">
        <v>71</v>
      </c>
    </row>
    <row r="64" spans="1:182" x14ac:dyDescent="0.2">
      <c r="A64" s="137">
        <v>35</v>
      </c>
      <c r="B64" s="24">
        <v>3500</v>
      </c>
      <c r="C64" s="24"/>
      <c r="D64" s="373" t="s">
        <v>114</v>
      </c>
      <c r="E64" s="58">
        <f>SUM(E65:E65)</f>
        <v>351</v>
      </c>
      <c r="F64" s="59">
        <f>SUM(F65:F65)</f>
        <v>792</v>
      </c>
      <c r="G64" s="60">
        <f>SUM(G65:G65)</f>
        <v>1143</v>
      </c>
      <c r="H64" s="180">
        <f t="shared" ref="H64:AA64" si="85">SUM(H65:H65)</f>
        <v>0</v>
      </c>
      <c r="I64" s="181">
        <f t="shared" si="85"/>
        <v>0</v>
      </c>
      <c r="J64" s="58">
        <f t="shared" si="85"/>
        <v>351</v>
      </c>
      <c r="K64" s="59">
        <f t="shared" si="85"/>
        <v>792</v>
      </c>
      <c r="L64" s="60">
        <f t="shared" si="85"/>
        <v>1143</v>
      </c>
      <c r="M64" s="58">
        <f t="shared" si="85"/>
        <v>0</v>
      </c>
      <c r="N64" s="59">
        <f t="shared" si="85"/>
        <v>0</v>
      </c>
      <c r="O64" s="60">
        <f t="shared" si="85"/>
        <v>0</v>
      </c>
      <c r="P64" s="60"/>
      <c r="Q64" s="58">
        <f t="shared" si="85"/>
        <v>0</v>
      </c>
      <c r="R64" s="59">
        <f t="shared" si="85"/>
        <v>0</v>
      </c>
      <c r="S64" s="60">
        <f t="shared" si="85"/>
        <v>0</v>
      </c>
      <c r="T64" s="60"/>
      <c r="U64" s="58">
        <f t="shared" si="85"/>
        <v>230.56549999999999</v>
      </c>
      <c r="V64" s="59">
        <f t="shared" si="85"/>
        <v>0</v>
      </c>
      <c r="W64" s="60">
        <f t="shared" si="85"/>
        <v>230.56549999999999</v>
      </c>
      <c r="X64" s="460">
        <f t="shared" ref="X64" si="86">W64/$L64*100</f>
        <v>20.17195975503062</v>
      </c>
      <c r="Y64" s="58">
        <f t="shared" si="85"/>
        <v>230.56549999999999</v>
      </c>
      <c r="Z64" s="59">
        <f t="shared" si="85"/>
        <v>0</v>
      </c>
      <c r="AA64" s="60">
        <f t="shared" si="85"/>
        <v>230.56549999999999</v>
      </c>
      <c r="AB64" s="57">
        <f t="shared" si="84"/>
        <v>20.17195975503062</v>
      </c>
      <c r="AC64" s="355">
        <f>SUM(AC65:AC65)</f>
        <v>912.43450000000007</v>
      </c>
      <c r="AD64" s="58">
        <f t="shared" ref="AD64:AH64" si="87">SUM(AD65:AD65)</f>
        <v>130</v>
      </c>
      <c r="AE64" s="59">
        <f t="shared" si="87"/>
        <v>792</v>
      </c>
      <c r="AF64" s="60">
        <f t="shared" si="87"/>
        <v>922</v>
      </c>
      <c r="AG64" s="60"/>
      <c r="AH64" s="58">
        <f t="shared" si="87"/>
        <v>922</v>
      </c>
      <c r="AI64" s="471">
        <f t="shared" si="1"/>
        <v>0.80664916885389326</v>
      </c>
      <c r="AJ64" s="60"/>
      <c r="AK64" s="58"/>
      <c r="AL64" s="295"/>
    </row>
    <row r="65" spans="1:38" x14ac:dyDescent="0.2">
      <c r="A65" s="90"/>
      <c r="B65" s="32">
        <v>3522</v>
      </c>
      <c r="C65" s="32">
        <v>233</v>
      </c>
      <c r="D65" s="343" t="s">
        <v>303</v>
      </c>
      <c r="E65" s="190">
        <f>221+130</f>
        <v>351</v>
      </c>
      <c r="F65" s="16">
        <v>792</v>
      </c>
      <c r="G65" s="404">
        <f>E65+F65</f>
        <v>1143</v>
      </c>
      <c r="H65" s="185"/>
      <c r="I65" s="342"/>
      <c r="J65" s="46">
        <f>E65+H65</f>
        <v>351</v>
      </c>
      <c r="K65" s="16">
        <f>F65+I65</f>
        <v>792</v>
      </c>
      <c r="L65" s="57">
        <f>SUM(J65:K65)</f>
        <v>1143</v>
      </c>
      <c r="M65" s="190"/>
      <c r="N65" s="16"/>
      <c r="O65" s="404">
        <f>M65+N65</f>
        <v>0</v>
      </c>
      <c r="P65" s="56"/>
      <c r="Q65" s="190"/>
      <c r="R65" s="16"/>
      <c r="S65" s="404">
        <f>Q65+R65</f>
        <v>0</v>
      </c>
      <c r="T65" s="56"/>
      <c r="U65" s="190">
        <v>230.56549999999999</v>
      </c>
      <c r="V65" s="16"/>
      <c r="W65" s="404">
        <f>U65+V65</f>
        <v>230.56549999999999</v>
      </c>
      <c r="X65" s="57">
        <f t="shared" ref="X65" si="88">W65/$L65*100</f>
        <v>20.17195975503062</v>
      </c>
      <c r="Y65" s="190">
        <v>230.56549999999999</v>
      </c>
      <c r="Z65" s="16">
        <v>0</v>
      </c>
      <c r="AA65" s="404">
        <f>Y65+Z65</f>
        <v>230.56549999999999</v>
      </c>
      <c r="AB65" s="57">
        <f t="shared" si="84"/>
        <v>20.17195975503062</v>
      </c>
      <c r="AC65" s="354">
        <f>L65-AA65</f>
        <v>912.43450000000007</v>
      </c>
      <c r="AD65" s="190">
        <v>130</v>
      </c>
      <c r="AE65" s="16">
        <v>792</v>
      </c>
      <c r="AF65" s="404">
        <f>AD65+AE65</f>
        <v>922</v>
      </c>
      <c r="AG65" s="56"/>
      <c r="AH65" s="190">
        <v>922</v>
      </c>
      <c r="AI65" s="466">
        <f t="shared" si="1"/>
        <v>0.80664916885389326</v>
      </c>
      <c r="AJ65" s="404" t="s">
        <v>355</v>
      </c>
      <c r="AK65" s="302" t="s">
        <v>197</v>
      </c>
      <c r="AL65" s="289" t="s">
        <v>71</v>
      </c>
    </row>
    <row r="66" spans="1:38" x14ac:dyDescent="0.2">
      <c r="A66" s="137">
        <v>36</v>
      </c>
      <c r="B66" s="24">
        <v>3600</v>
      </c>
      <c r="C66" s="24"/>
      <c r="D66" s="373" t="s">
        <v>75</v>
      </c>
      <c r="E66" s="58">
        <f t="shared" ref="E66:O66" si="89">SUM(E67:E87)</f>
        <v>15302</v>
      </c>
      <c r="F66" s="59">
        <f t="shared" si="89"/>
        <v>22650</v>
      </c>
      <c r="G66" s="60">
        <f t="shared" si="89"/>
        <v>37952</v>
      </c>
      <c r="H66" s="180">
        <f t="shared" si="89"/>
        <v>187</v>
      </c>
      <c r="I66" s="181">
        <f t="shared" si="89"/>
        <v>955</v>
      </c>
      <c r="J66" s="58">
        <f t="shared" si="89"/>
        <v>15489</v>
      </c>
      <c r="K66" s="59">
        <f t="shared" si="89"/>
        <v>23605</v>
      </c>
      <c r="L66" s="60">
        <f t="shared" si="89"/>
        <v>39094</v>
      </c>
      <c r="M66" s="58">
        <f t="shared" si="89"/>
        <v>2669.2876400000005</v>
      </c>
      <c r="N66" s="59">
        <f t="shared" si="89"/>
        <v>15.52</v>
      </c>
      <c r="O66" s="60">
        <f t="shared" si="89"/>
        <v>2684.8076400000004</v>
      </c>
      <c r="P66" s="60">
        <f>O66/$L66*100</f>
        <v>6.8675695503146272</v>
      </c>
      <c r="Q66" s="58">
        <f>SUM(Q67:Q87)</f>
        <v>6970.9703099999979</v>
      </c>
      <c r="R66" s="59">
        <f>SUM(R67:R87)</f>
        <v>2963.1424299999999</v>
      </c>
      <c r="S66" s="60">
        <f>SUM(S67:S87)</f>
        <v>9934.1127400000005</v>
      </c>
      <c r="T66" s="60">
        <f>S66/$L66*100</f>
        <v>25.410837315189035</v>
      </c>
      <c r="U66" s="58">
        <f>SUM(U67:U87)</f>
        <v>8577.338499999998</v>
      </c>
      <c r="V66" s="59">
        <f>SUM(V67:V87)</f>
        <v>5122.5728300000001</v>
      </c>
      <c r="W66" s="60">
        <f>SUM(W67:W87)</f>
        <v>13699.911329999999</v>
      </c>
      <c r="X66" s="60">
        <f t="shared" ref="X66:X68" si="90">W66/$L66*100</f>
        <v>35.043513915178799</v>
      </c>
      <c r="Y66" s="58">
        <f>SUM(Y67:Y87)</f>
        <v>14312.955739999999</v>
      </c>
      <c r="Z66" s="59">
        <f>SUM(Z67:Z87)</f>
        <v>13817.398749999998</v>
      </c>
      <c r="AA66" s="60">
        <f>SUM(AA67:AA87)</f>
        <v>28130.354490000005</v>
      </c>
      <c r="AB66" s="60">
        <f t="shared" ref="AB66:AB68" si="91">AA66/$L66*100</f>
        <v>71.955682432086775</v>
      </c>
      <c r="AC66" s="355">
        <f>SUM(AC67:AC87)</f>
        <v>10963.645510000002</v>
      </c>
      <c r="AD66" s="58">
        <f>SUM(AD67:AD87)</f>
        <v>13512</v>
      </c>
      <c r="AE66" s="59">
        <f>SUM(AE67:AE87)</f>
        <v>12897</v>
      </c>
      <c r="AF66" s="60">
        <f>SUM(AF67:AF87)</f>
        <v>26409</v>
      </c>
      <c r="AG66" s="60">
        <f t="shared" ref="AG66:AG73" si="92">AF66/$G66*100</f>
        <v>69.585265598650921</v>
      </c>
      <c r="AH66" s="58">
        <f>SUM(AH67:AH87)</f>
        <v>25360</v>
      </c>
      <c r="AI66" s="467">
        <f t="shared" si="1"/>
        <v>0.64869289405023789</v>
      </c>
      <c r="AJ66" s="60"/>
      <c r="AK66" s="58"/>
      <c r="AL66" s="295"/>
    </row>
    <row r="67" spans="1:38" ht="12" customHeight="1" x14ac:dyDescent="0.2">
      <c r="A67" s="136"/>
      <c r="B67" s="29">
        <v>3612</v>
      </c>
      <c r="C67" s="29" t="s">
        <v>285</v>
      </c>
      <c r="D67" s="196" t="s">
        <v>124</v>
      </c>
      <c r="E67" s="46">
        <f>8006-500</f>
        <v>7506</v>
      </c>
      <c r="F67" s="16"/>
      <c r="G67" s="57">
        <f t="shared" ref="G67:G87" si="93">E67+F67</f>
        <v>7506</v>
      </c>
      <c r="H67" s="182">
        <v>-100</v>
      </c>
      <c r="I67" s="179"/>
      <c r="J67" s="46">
        <f t="shared" ref="J67:J87" si="94">E67+H67</f>
        <v>7406</v>
      </c>
      <c r="K67" s="16"/>
      <c r="L67" s="57">
        <f t="shared" ref="L67:L87" si="95">SUM(J67:K67)</f>
        <v>7406</v>
      </c>
      <c r="M67" s="46">
        <v>716.20092</v>
      </c>
      <c r="N67" s="16"/>
      <c r="O67" s="57">
        <f t="shared" ref="O67:O68" si="96">M67+N67</f>
        <v>716.20092</v>
      </c>
      <c r="P67" s="57">
        <f>O67/$L67*100</f>
        <v>9.670549824466649</v>
      </c>
      <c r="Q67" s="46">
        <v>3211.5647399999998</v>
      </c>
      <c r="R67" s="16"/>
      <c r="S67" s="57">
        <f t="shared" ref="S67:S87" si="97">Q67+R67</f>
        <v>3211.5647399999998</v>
      </c>
      <c r="T67" s="57">
        <f>S67/$L67*100</f>
        <v>43.364363219011608</v>
      </c>
      <c r="U67" s="46">
        <v>4001.27189</v>
      </c>
      <c r="V67" s="16"/>
      <c r="W67" s="57">
        <f t="shared" ref="W67:W87" si="98">U67+V67</f>
        <v>4001.27189</v>
      </c>
      <c r="X67" s="57">
        <f t="shared" si="90"/>
        <v>54.027435727788273</v>
      </c>
      <c r="Y67" s="46">
        <v>6996.4728599999999</v>
      </c>
      <c r="Z67" s="16"/>
      <c r="AA67" s="57">
        <f t="shared" ref="AA67:AA87" si="99">Y67+Z67</f>
        <v>6996.4728599999999</v>
      </c>
      <c r="AB67" s="57">
        <f t="shared" si="91"/>
        <v>94.470332973264917</v>
      </c>
      <c r="AC67" s="354">
        <f t="shared" ref="AC67:AC87" si="100">L67-AA67</f>
        <v>409.52714000000014</v>
      </c>
      <c r="AD67" s="46">
        <v>6559</v>
      </c>
      <c r="AE67" s="16"/>
      <c r="AF67" s="57">
        <f t="shared" ref="AF67:AF87" si="101">AD67+AE67</f>
        <v>6559</v>
      </c>
      <c r="AG67" s="57">
        <f t="shared" si="92"/>
        <v>87.383426592059692</v>
      </c>
      <c r="AH67" s="46">
        <v>6559</v>
      </c>
      <c r="AI67" s="466">
        <f t="shared" si="1"/>
        <v>0.88563327032136108</v>
      </c>
      <c r="AJ67" s="57" t="s">
        <v>472</v>
      </c>
      <c r="AK67" s="299" t="s">
        <v>327</v>
      </c>
      <c r="AL67" s="296" t="s">
        <v>284</v>
      </c>
    </row>
    <row r="68" spans="1:38" x14ac:dyDescent="0.2">
      <c r="A68" s="136"/>
      <c r="B68" s="29">
        <v>3612</v>
      </c>
      <c r="C68" s="29" t="s">
        <v>285</v>
      </c>
      <c r="D68" s="196" t="s">
        <v>125</v>
      </c>
      <c r="E68" s="46">
        <v>1980</v>
      </c>
      <c r="F68" s="16"/>
      <c r="G68" s="57">
        <f t="shared" si="93"/>
        <v>1980</v>
      </c>
      <c r="H68" s="176"/>
      <c r="I68" s="177"/>
      <c r="J68" s="46">
        <f t="shared" si="94"/>
        <v>1980</v>
      </c>
      <c r="K68" s="16"/>
      <c r="L68" s="57">
        <f t="shared" si="95"/>
        <v>1980</v>
      </c>
      <c r="M68" s="46">
        <v>605.24498000000006</v>
      </c>
      <c r="N68" s="16"/>
      <c r="O68" s="57">
        <f t="shared" si="96"/>
        <v>605.24498000000006</v>
      </c>
      <c r="P68" s="57">
        <f t="shared" ref="P68:P70" si="102">O68/$L68*100</f>
        <v>30.567928282828287</v>
      </c>
      <c r="Q68" s="46">
        <v>1213.41158</v>
      </c>
      <c r="R68" s="16"/>
      <c r="S68" s="57">
        <f t="shared" si="97"/>
        <v>1213.41158</v>
      </c>
      <c r="T68" s="57">
        <f t="shared" ref="T68:T72" si="103">S68/$L68*100</f>
        <v>61.283413131313125</v>
      </c>
      <c r="U68" s="46">
        <v>1524.4579699999999</v>
      </c>
      <c r="V68" s="16"/>
      <c r="W68" s="57">
        <f t="shared" si="98"/>
        <v>1524.4579699999999</v>
      </c>
      <c r="X68" s="57">
        <f t="shared" si="90"/>
        <v>76.992826767676775</v>
      </c>
      <c r="Y68" s="46">
        <v>2106.0985300000002</v>
      </c>
      <c r="Z68" s="16"/>
      <c r="AA68" s="57">
        <f t="shared" si="99"/>
        <v>2106.0985300000002</v>
      </c>
      <c r="AB68" s="57">
        <f t="shared" si="91"/>
        <v>106.36861262626263</v>
      </c>
      <c r="AC68" s="354">
        <f t="shared" si="100"/>
        <v>-126.09853000000021</v>
      </c>
      <c r="AD68" s="46">
        <v>1960</v>
      </c>
      <c r="AE68" s="16"/>
      <c r="AF68" s="57">
        <f t="shared" si="101"/>
        <v>1960</v>
      </c>
      <c r="AG68" s="57">
        <f t="shared" si="92"/>
        <v>98.98989898989899</v>
      </c>
      <c r="AH68" s="46">
        <v>1960</v>
      </c>
      <c r="AI68" s="466">
        <f t="shared" si="1"/>
        <v>0.98989898989898994</v>
      </c>
      <c r="AJ68" s="57" t="s">
        <v>291</v>
      </c>
      <c r="AK68" s="299" t="s">
        <v>327</v>
      </c>
      <c r="AL68" s="296" t="s">
        <v>284</v>
      </c>
    </row>
    <row r="69" spans="1:38" x14ac:dyDescent="0.2">
      <c r="A69" s="136"/>
      <c r="B69" s="29">
        <v>3612</v>
      </c>
      <c r="C69" s="29">
        <v>324</v>
      </c>
      <c r="D69" s="375" t="s">
        <v>336</v>
      </c>
      <c r="E69" s="46">
        <v>40</v>
      </c>
      <c r="F69" s="16">
        <v>4800</v>
      </c>
      <c r="G69" s="57">
        <f t="shared" ref="G69:G86" si="104">E69+F69</f>
        <v>4840</v>
      </c>
      <c r="H69" s="176"/>
      <c r="I69" s="177"/>
      <c r="J69" s="46">
        <f t="shared" ref="J69:J86" si="105">E69+H69</f>
        <v>40</v>
      </c>
      <c r="K69" s="16">
        <f>F69+I69</f>
        <v>4800</v>
      </c>
      <c r="L69" s="57">
        <f t="shared" ref="L69:L86" si="106">SUM(J69:K69)</f>
        <v>4840</v>
      </c>
      <c r="M69" s="46"/>
      <c r="N69" s="16">
        <v>14.52</v>
      </c>
      <c r="O69" s="57">
        <f t="shared" ref="O69:O86" si="107">M69+N69</f>
        <v>14.52</v>
      </c>
      <c r="P69" s="57">
        <f t="shared" si="102"/>
        <v>0.3</v>
      </c>
      <c r="Q69" s="46"/>
      <c r="R69" s="16">
        <v>486.03872999999999</v>
      </c>
      <c r="S69" s="57">
        <f t="shared" ref="S69:S86" si="108">Q69+R69</f>
        <v>486.03872999999999</v>
      </c>
      <c r="T69" s="57">
        <f t="shared" si="103"/>
        <v>10.042122520661156</v>
      </c>
      <c r="U69" s="46"/>
      <c r="V69" s="16">
        <f>2312.66613-U69</f>
        <v>2312.6661300000001</v>
      </c>
      <c r="W69" s="57">
        <f t="shared" ref="W69:W86" si="109">U69+V69</f>
        <v>2312.6661300000001</v>
      </c>
      <c r="X69" s="57">
        <f>W69/$L69*100</f>
        <v>47.782358057851241</v>
      </c>
      <c r="Y69" s="46"/>
      <c r="Z69" s="16">
        <v>3628.4276599999998</v>
      </c>
      <c r="AA69" s="57">
        <f t="shared" ref="AA69:AA86" si="110">Y69+Z69</f>
        <v>3628.4276599999998</v>
      </c>
      <c r="AB69" s="57">
        <f>AA69/$L69*100</f>
        <v>74.967513636363634</v>
      </c>
      <c r="AC69" s="354">
        <f t="shared" si="100"/>
        <v>1211.5723400000002</v>
      </c>
      <c r="AD69" s="46"/>
      <c r="AE69" s="16">
        <v>927</v>
      </c>
      <c r="AF69" s="57">
        <f t="shared" ref="AF69:AF86" si="111">AD69+AE69</f>
        <v>927</v>
      </c>
      <c r="AG69" s="57">
        <f t="shared" si="92"/>
        <v>19.152892561983471</v>
      </c>
      <c r="AH69" s="46">
        <v>50</v>
      </c>
      <c r="AI69" s="466">
        <f t="shared" si="1"/>
        <v>1.0330578512396695E-2</v>
      </c>
      <c r="AJ69" s="486" t="s">
        <v>358</v>
      </c>
      <c r="AK69" s="303" t="s">
        <v>384</v>
      </c>
      <c r="AL69" s="290" t="s">
        <v>117</v>
      </c>
    </row>
    <row r="70" spans="1:38" x14ac:dyDescent="0.2">
      <c r="A70" s="136"/>
      <c r="B70" s="29">
        <v>3612</v>
      </c>
      <c r="C70" s="29">
        <v>326</v>
      </c>
      <c r="D70" s="196" t="s">
        <v>343</v>
      </c>
      <c r="E70" s="46"/>
      <c r="F70" s="16">
        <v>17200</v>
      </c>
      <c r="G70" s="57">
        <f t="shared" si="104"/>
        <v>17200</v>
      </c>
      <c r="H70" s="176"/>
      <c r="I70" s="177"/>
      <c r="J70" s="46">
        <f t="shared" si="105"/>
        <v>0</v>
      </c>
      <c r="K70" s="16">
        <f>F70+I70</f>
        <v>17200</v>
      </c>
      <c r="L70" s="57">
        <f t="shared" si="106"/>
        <v>17200</v>
      </c>
      <c r="M70" s="46"/>
      <c r="N70" s="16">
        <v>1</v>
      </c>
      <c r="O70" s="57">
        <f t="shared" si="107"/>
        <v>1</v>
      </c>
      <c r="P70" s="57">
        <f t="shared" si="102"/>
        <v>5.8139534883720929E-3</v>
      </c>
      <c r="Q70" s="46"/>
      <c r="R70" s="16">
        <v>2477.1037000000001</v>
      </c>
      <c r="S70" s="57">
        <f t="shared" si="108"/>
        <v>2477.1037000000001</v>
      </c>
      <c r="T70" s="57">
        <f t="shared" si="103"/>
        <v>14.401765697674417</v>
      </c>
      <c r="U70" s="46"/>
      <c r="V70" s="16">
        <f>2759.2317+34.824</f>
        <v>2794.0556999999999</v>
      </c>
      <c r="W70" s="57">
        <f t="shared" si="109"/>
        <v>2794.0556999999999</v>
      </c>
      <c r="X70" s="57">
        <f>W70/$L70*100</f>
        <v>16.24450988372093</v>
      </c>
      <c r="Y70" s="46"/>
      <c r="Z70" s="16">
        <f>4644.52829+4082</f>
        <v>8726.5282900000002</v>
      </c>
      <c r="AA70" s="57">
        <f t="shared" si="110"/>
        <v>8726.5282900000002</v>
      </c>
      <c r="AB70" s="57">
        <f t="shared" ref="AB70:AB75" si="112">AA70/$L70*100</f>
        <v>50.735629593023255</v>
      </c>
      <c r="AC70" s="354">
        <f t="shared" si="100"/>
        <v>8473.4717099999998</v>
      </c>
      <c r="AD70" s="46"/>
      <c r="AE70" s="16">
        <f>11150-750</f>
        <v>10400</v>
      </c>
      <c r="AF70" s="57">
        <f t="shared" si="111"/>
        <v>10400</v>
      </c>
      <c r="AG70" s="57">
        <f t="shared" si="92"/>
        <v>60.465116279069761</v>
      </c>
      <c r="AH70" s="46">
        <v>10000</v>
      </c>
      <c r="AI70" s="466">
        <f t="shared" si="1"/>
        <v>0.58139534883720934</v>
      </c>
      <c r="AJ70" s="57" t="s">
        <v>473</v>
      </c>
      <c r="AK70" s="303" t="s">
        <v>384</v>
      </c>
      <c r="AL70" s="290" t="s">
        <v>117</v>
      </c>
    </row>
    <row r="71" spans="1:38" x14ac:dyDescent="0.2">
      <c r="A71" s="136"/>
      <c r="B71" s="29">
        <v>3612</v>
      </c>
      <c r="C71" s="29">
        <v>327</v>
      </c>
      <c r="D71" s="196" t="s">
        <v>380</v>
      </c>
      <c r="E71" s="46"/>
      <c r="F71" s="16">
        <v>300</v>
      </c>
      <c r="G71" s="57">
        <f t="shared" si="104"/>
        <v>300</v>
      </c>
      <c r="H71" s="176"/>
      <c r="I71" s="177">
        <v>-100</v>
      </c>
      <c r="J71" s="46">
        <f t="shared" si="105"/>
        <v>0</v>
      </c>
      <c r="K71" s="16">
        <f>F71+I71</f>
        <v>200</v>
      </c>
      <c r="L71" s="57">
        <f t="shared" si="106"/>
        <v>200</v>
      </c>
      <c r="M71" s="46"/>
      <c r="N71" s="16"/>
      <c r="O71" s="57">
        <f t="shared" si="107"/>
        <v>0</v>
      </c>
      <c r="P71" s="57"/>
      <c r="Q71" s="46"/>
      <c r="R71" s="16"/>
      <c r="S71" s="57">
        <f t="shared" si="108"/>
        <v>0</v>
      </c>
      <c r="T71" s="57">
        <f t="shared" si="103"/>
        <v>0</v>
      </c>
      <c r="U71" s="46"/>
      <c r="V71" s="16"/>
      <c r="W71" s="57">
        <f t="shared" si="109"/>
        <v>0</v>
      </c>
      <c r="X71" s="57"/>
      <c r="Y71" s="46"/>
      <c r="Z71" s="16">
        <v>199.97</v>
      </c>
      <c r="AA71" s="57">
        <f t="shared" si="110"/>
        <v>199.97</v>
      </c>
      <c r="AB71" s="57">
        <f t="shared" si="112"/>
        <v>99.984999999999999</v>
      </c>
      <c r="AC71" s="354">
        <f t="shared" si="100"/>
        <v>3.0000000000001137E-2</v>
      </c>
      <c r="AD71" s="46"/>
      <c r="AE71" s="16">
        <v>600</v>
      </c>
      <c r="AF71" s="57">
        <f t="shared" si="111"/>
        <v>600</v>
      </c>
      <c r="AG71" s="57">
        <f t="shared" si="92"/>
        <v>200</v>
      </c>
      <c r="AH71" s="46">
        <v>600</v>
      </c>
      <c r="AI71" s="466">
        <f t="shared" si="1"/>
        <v>3</v>
      </c>
      <c r="AJ71" s="57"/>
      <c r="AK71" s="303" t="s">
        <v>384</v>
      </c>
      <c r="AL71" s="290" t="s">
        <v>117</v>
      </c>
    </row>
    <row r="72" spans="1:38" s="449" customFormat="1" x14ac:dyDescent="0.2">
      <c r="A72" s="136"/>
      <c r="B72" s="29">
        <v>3612</v>
      </c>
      <c r="C72" s="29">
        <v>328</v>
      </c>
      <c r="D72" s="196" t="s">
        <v>409</v>
      </c>
      <c r="E72" s="46"/>
      <c r="F72" s="16"/>
      <c r="G72" s="57"/>
      <c r="H72" s="176"/>
      <c r="I72" s="177">
        <v>1115</v>
      </c>
      <c r="J72" s="46">
        <f t="shared" ref="J72" si="113">E72+H72</f>
        <v>0</v>
      </c>
      <c r="K72" s="16">
        <f>F72+I72</f>
        <v>1115</v>
      </c>
      <c r="L72" s="57">
        <f t="shared" ref="L72" si="114">SUM(J72:K72)</f>
        <v>1115</v>
      </c>
      <c r="M72" s="46"/>
      <c r="N72" s="16"/>
      <c r="O72" s="57"/>
      <c r="P72" s="57"/>
      <c r="Q72" s="46"/>
      <c r="R72" s="16"/>
      <c r="S72" s="57">
        <f t="shared" si="108"/>
        <v>0</v>
      </c>
      <c r="T72" s="57">
        <f t="shared" si="103"/>
        <v>0</v>
      </c>
      <c r="U72" s="46"/>
      <c r="V72" s="16"/>
      <c r="W72" s="57">
        <f t="shared" si="109"/>
        <v>0</v>
      </c>
      <c r="X72" s="57"/>
      <c r="Y72" s="46"/>
      <c r="Z72" s="16">
        <v>981</v>
      </c>
      <c r="AA72" s="57">
        <f t="shared" si="110"/>
        <v>981</v>
      </c>
      <c r="AB72" s="57">
        <f t="shared" si="112"/>
        <v>87.982062780269061</v>
      </c>
      <c r="AC72" s="354">
        <f t="shared" si="100"/>
        <v>134</v>
      </c>
      <c r="AD72" s="46"/>
      <c r="AE72" s="16"/>
      <c r="AF72" s="57">
        <f t="shared" si="111"/>
        <v>0</v>
      </c>
      <c r="AG72" s="57"/>
      <c r="AH72" s="46">
        <v>0</v>
      </c>
      <c r="AI72" s="466">
        <f t="shared" ref="AI72:AI124" si="115">AH72/L72</f>
        <v>0</v>
      </c>
      <c r="AJ72" s="57"/>
      <c r="AK72" s="302" t="s">
        <v>197</v>
      </c>
      <c r="AL72" s="289" t="s">
        <v>71</v>
      </c>
    </row>
    <row r="73" spans="1:38" x14ac:dyDescent="0.2">
      <c r="A73" s="136"/>
      <c r="B73" s="29">
        <v>3613</v>
      </c>
      <c r="C73" s="29">
        <v>305</v>
      </c>
      <c r="D73" s="375" t="s">
        <v>462</v>
      </c>
      <c r="E73" s="46">
        <f>243+146</f>
        <v>389</v>
      </c>
      <c r="F73" s="16"/>
      <c r="G73" s="57">
        <f t="shared" si="104"/>
        <v>389</v>
      </c>
      <c r="H73" s="176"/>
      <c r="I73" s="177"/>
      <c r="J73" s="46">
        <f t="shared" si="105"/>
        <v>389</v>
      </c>
      <c r="K73" s="16"/>
      <c r="L73" s="57">
        <f t="shared" si="106"/>
        <v>389</v>
      </c>
      <c r="M73" s="46">
        <v>100.123</v>
      </c>
      <c r="N73" s="16"/>
      <c r="O73" s="57">
        <f t="shared" si="107"/>
        <v>100.123</v>
      </c>
      <c r="P73" s="57">
        <f t="shared" ref="P73:P78" si="116">O73/$L73*100</f>
        <v>25.738560411311056</v>
      </c>
      <c r="Q73" s="46">
        <v>198.066</v>
      </c>
      <c r="R73" s="16"/>
      <c r="S73" s="57">
        <f t="shared" si="108"/>
        <v>198.066</v>
      </c>
      <c r="T73" s="57">
        <f t="shared" ref="T73:T78" si="117">S73/$L73*100</f>
        <v>50.916709511568129</v>
      </c>
      <c r="U73" s="46">
        <v>293.822</v>
      </c>
      <c r="V73" s="16"/>
      <c r="W73" s="57">
        <f t="shared" si="109"/>
        <v>293.822</v>
      </c>
      <c r="X73" s="57">
        <f t="shared" ref="X73:X79" si="118">W73/$L73*100</f>
        <v>75.532647814910021</v>
      </c>
      <c r="Y73" s="46">
        <v>387.38200000000001</v>
      </c>
      <c r="Z73" s="16"/>
      <c r="AA73" s="57">
        <f t="shared" si="110"/>
        <v>387.38200000000001</v>
      </c>
      <c r="AB73" s="57">
        <f t="shared" si="112"/>
        <v>99.584061696658097</v>
      </c>
      <c r="AC73" s="354">
        <f t="shared" si="100"/>
        <v>1.617999999999995</v>
      </c>
      <c r="AD73" s="46">
        <f>207+146+62</f>
        <v>415</v>
      </c>
      <c r="AE73" s="16"/>
      <c r="AF73" s="57">
        <f t="shared" si="111"/>
        <v>415</v>
      </c>
      <c r="AG73" s="57">
        <f t="shared" si="92"/>
        <v>106.68380462724936</v>
      </c>
      <c r="AH73" s="46">
        <f>207+146</f>
        <v>353</v>
      </c>
      <c r="AI73" s="466">
        <f t="shared" si="115"/>
        <v>0.90745501285347041</v>
      </c>
      <c r="AJ73" s="57" t="s">
        <v>322</v>
      </c>
      <c r="AK73" s="303" t="s">
        <v>306</v>
      </c>
      <c r="AL73" s="290" t="s">
        <v>117</v>
      </c>
    </row>
    <row r="74" spans="1:38" x14ac:dyDescent="0.2">
      <c r="A74" s="136"/>
      <c r="B74" s="29">
        <v>3613</v>
      </c>
      <c r="C74" s="29">
        <v>316</v>
      </c>
      <c r="D74" s="196" t="s">
        <v>313</v>
      </c>
      <c r="E74" s="46">
        <v>398</v>
      </c>
      <c r="F74" s="16"/>
      <c r="G74" s="57">
        <f t="shared" si="104"/>
        <v>398</v>
      </c>
      <c r="H74" s="176"/>
      <c r="I74" s="177"/>
      <c r="J74" s="46">
        <f t="shared" si="105"/>
        <v>398</v>
      </c>
      <c r="K74" s="16">
        <f>F74+I74</f>
        <v>0</v>
      </c>
      <c r="L74" s="57">
        <f t="shared" si="106"/>
        <v>398</v>
      </c>
      <c r="M74" s="46">
        <v>98.469830000000002</v>
      </c>
      <c r="N74" s="16"/>
      <c r="O74" s="57">
        <f t="shared" si="107"/>
        <v>98.469830000000002</v>
      </c>
      <c r="P74" s="57">
        <f t="shared" si="116"/>
        <v>24.741163316582913</v>
      </c>
      <c r="Q74" s="46">
        <v>165.42883</v>
      </c>
      <c r="R74" s="16"/>
      <c r="S74" s="57">
        <f t="shared" si="108"/>
        <v>165.42883</v>
      </c>
      <c r="T74" s="57">
        <f t="shared" si="117"/>
        <v>41.565032663316586</v>
      </c>
      <c r="U74" s="46">
        <v>230.07482999999999</v>
      </c>
      <c r="V74" s="16"/>
      <c r="W74" s="57">
        <f t="shared" si="109"/>
        <v>230.07482999999999</v>
      </c>
      <c r="X74" s="57">
        <f t="shared" si="118"/>
        <v>57.807746231155775</v>
      </c>
      <c r="Y74" s="46">
        <v>322.05682999999999</v>
      </c>
      <c r="Z74" s="16"/>
      <c r="AA74" s="57">
        <f t="shared" si="110"/>
        <v>322.05682999999999</v>
      </c>
      <c r="AB74" s="57">
        <f t="shared" si="112"/>
        <v>80.91880150753768</v>
      </c>
      <c r="AC74" s="354">
        <f t="shared" si="100"/>
        <v>75.943170000000009</v>
      </c>
      <c r="AD74" s="46">
        <v>287</v>
      </c>
      <c r="AE74" s="16"/>
      <c r="AF74" s="57">
        <f t="shared" si="111"/>
        <v>287</v>
      </c>
      <c r="AG74" s="57">
        <f t="shared" ref="AG74:AG78" si="119">AF74/$G74*100</f>
        <v>72.110552763819086</v>
      </c>
      <c r="AH74" s="46">
        <v>287</v>
      </c>
      <c r="AI74" s="466">
        <f t="shared" si="115"/>
        <v>0.72110552763819091</v>
      </c>
      <c r="AJ74" s="57"/>
      <c r="AK74" s="303" t="s">
        <v>304</v>
      </c>
      <c r="AL74" s="290" t="s">
        <v>68</v>
      </c>
    </row>
    <row r="75" spans="1:38" x14ac:dyDescent="0.2">
      <c r="A75" s="136"/>
      <c r="B75" s="29">
        <v>3613</v>
      </c>
      <c r="C75" s="29">
        <v>317</v>
      </c>
      <c r="D75" s="196" t="s">
        <v>199</v>
      </c>
      <c r="E75" s="46">
        <v>134</v>
      </c>
      <c r="F75" s="16"/>
      <c r="G75" s="57">
        <f t="shared" si="104"/>
        <v>134</v>
      </c>
      <c r="H75" s="176">
        <v>16</v>
      </c>
      <c r="I75" s="179"/>
      <c r="J75" s="46">
        <f t="shared" si="105"/>
        <v>150</v>
      </c>
      <c r="K75" s="16"/>
      <c r="L75" s="57">
        <f t="shared" si="106"/>
        <v>150</v>
      </c>
      <c r="M75" s="46">
        <v>8.4</v>
      </c>
      <c r="N75" s="16"/>
      <c r="O75" s="57">
        <f t="shared" si="107"/>
        <v>8.4</v>
      </c>
      <c r="P75" s="57">
        <f t="shared" si="116"/>
        <v>5.6000000000000005</v>
      </c>
      <c r="Q75" s="46">
        <v>91.244</v>
      </c>
      <c r="R75" s="16"/>
      <c r="S75" s="57">
        <f t="shared" si="108"/>
        <v>91.244</v>
      </c>
      <c r="T75" s="57">
        <f t="shared" si="117"/>
        <v>60.829333333333338</v>
      </c>
      <c r="U75" s="46">
        <v>126.116</v>
      </c>
      <c r="V75" s="16"/>
      <c r="W75" s="57">
        <f t="shared" si="109"/>
        <v>126.116</v>
      </c>
      <c r="X75" s="57">
        <f t="shared" si="118"/>
        <v>84.077333333333343</v>
      </c>
      <c r="Y75" s="46">
        <v>195.58500000000001</v>
      </c>
      <c r="Z75" s="16"/>
      <c r="AA75" s="57">
        <f t="shared" si="110"/>
        <v>195.58500000000001</v>
      </c>
      <c r="AB75" s="57">
        <f t="shared" si="112"/>
        <v>130.39000000000001</v>
      </c>
      <c r="AC75" s="354">
        <f t="shared" si="100"/>
        <v>-45.585000000000008</v>
      </c>
      <c r="AD75" s="46">
        <v>150</v>
      </c>
      <c r="AE75" s="16"/>
      <c r="AF75" s="57">
        <f t="shared" si="111"/>
        <v>150</v>
      </c>
      <c r="AG75" s="57">
        <f t="shared" si="119"/>
        <v>111.94029850746267</v>
      </c>
      <c r="AH75" s="46">
        <v>150</v>
      </c>
      <c r="AI75" s="466">
        <f t="shared" si="115"/>
        <v>1</v>
      </c>
      <c r="AJ75" s="57"/>
      <c r="AK75" s="305" t="s">
        <v>304</v>
      </c>
      <c r="AL75" s="290" t="s">
        <v>68</v>
      </c>
    </row>
    <row r="76" spans="1:38" x14ac:dyDescent="0.2">
      <c r="A76" s="136"/>
      <c r="B76" s="29">
        <v>3613</v>
      </c>
      <c r="C76" s="29">
        <v>703</v>
      </c>
      <c r="D76" s="196" t="s">
        <v>126</v>
      </c>
      <c r="E76" s="46">
        <v>300</v>
      </c>
      <c r="F76" s="16"/>
      <c r="G76" s="57">
        <f t="shared" si="104"/>
        <v>300</v>
      </c>
      <c r="H76" s="176">
        <v>-30</v>
      </c>
      <c r="I76" s="177"/>
      <c r="J76" s="46">
        <f t="shared" si="105"/>
        <v>270</v>
      </c>
      <c r="K76" s="16"/>
      <c r="L76" s="57">
        <f t="shared" si="106"/>
        <v>270</v>
      </c>
      <c r="M76" s="46">
        <v>154.96727000000001</v>
      </c>
      <c r="N76" s="16"/>
      <c r="O76" s="57">
        <f t="shared" si="107"/>
        <v>154.96727000000001</v>
      </c>
      <c r="P76" s="57">
        <f t="shared" si="116"/>
        <v>57.395285185185188</v>
      </c>
      <c r="Q76" s="46">
        <v>200.33627999999999</v>
      </c>
      <c r="R76" s="16"/>
      <c r="S76" s="57">
        <f t="shared" si="108"/>
        <v>200.33627999999999</v>
      </c>
      <c r="T76" s="57">
        <f t="shared" si="117"/>
        <v>74.198622222222227</v>
      </c>
      <c r="U76" s="46">
        <v>241.56956</v>
      </c>
      <c r="V76" s="16"/>
      <c r="W76" s="57">
        <f t="shared" si="109"/>
        <v>241.56956</v>
      </c>
      <c r="X76" s="57">
        <f t="shared" si="118"/>
        <v>89.470207407407415</v>
      </c>
      <c r="Y76" s="46">
        <v>268.08593999999999</v>
      </c>
      <c r="Z76" s="16"/>
      <c r="AA76" s="57">
        <f t="shared" si="110"/>
        <v>268.08593999999999</v>
      </c>
      <c r="AB76" s="57">
        <f t="shared" ref="AB76:AB78" si="120">AA76/$L76*100</f>
        <v>99.291088888888893</v>
      </c>
      <c r="AC76" s="354">
        <f t="shared" si="100"/>
        <v>1.9140600000000063</v>
      </c>
      <c r="AD76" s="46">
        <v>309</v>
      </c>
      <c r="AE76" s="16"/>
      <c r="AF76" s="57">
        <f t="shared" si="111"/>
        <v>309</v>
      </c>
      <c r="AG76" s="57">
        <f t="shared" si="119"/>
        <v>103</v>
      </c>
      <c r="AH76" s="46">
        <v>309</v>
      </c>
      <c r="AI76" s="466">
        <f t="shared" si="115"/>
        <v>1.1444444444444444</v>
      </c>
      <c r="AJ76" s="57" t="s">
        <v>474</v>
      </c>
      <c r="AK76" s="299" t="s">
        <v>327</v>
      </c>
      <c r="AL76" s="296" t="s">
        <v>284</v>
      </c>
    </row>
    <row r="77" spans="1:38" x14ac:dyDescent="0.2">
      <c r="A77" s="136"/>
      <c r="B77" s="29">
        <v>3613</v>
      </c>
      <c r="C77" s="29">
        <v>703</v>
      </c>
      <c r="D77" s="196" t="s">
        <v>127</v>
      </c>
      <c r="E77" s="46">
        <v>300</v>
      </c>
      <c r="F77" s="16"/>
      <c r="G77" s="57">
        <f t="shared" si="104"/>
        <v>300</v>
      </c>
      <c r="H77" s="176"/>
      <c r="I77" s="177"/>
      <c r="J77" s="46">
        <f t="shared" si="105"/>
        <v>300</v>
      </c>
      <c r="K77" s="16"/>
      <c r="L77" s="57">
        <f t="shared" si="106"/>
        <v>300</v>
      </c>
      <c r="M77" s="46">
        <v>99.754930000000002</v>
      </c>
      <c r="N77" s="16"/>
      <c r="O77" s="57">
        <f t="shared" si="107"/>
        <v>99.754930000000002</v>
      </c>
      <c r="P77" s="57">
        <f t="shared" si="116"/>
        <v>33.251643333333334</v>
      </c>
      <c r="Q77" s="46">
        <v>165.84710999999999</v>
      </c>
      <c r="R77" s="16"/>
      <c r="S77" s="57">
        <f t="shared" si="108"/>
        <v>165.84710999999999</v>
      </c>
      <c r="T77" s="57">
        <f t="shared" si="117"/>
        <v>55.282369999999993</v>
      </c>
      <c r="U77" s="46">
        <v>234.24263999999999</v>
      </c>
      <c r="V77" s="16"/>
      <c r="W77" s="57">
        <f t="shared" si="109"/>
        <v>234.24263999999999</v>
      </c>
      <c r="X77" s="57">
        <f t="shared" si="118"/>
        <v>78.080879999999993</v>
      </c>
      <c r="Y77" s="46">
        <v>167.37688</v>
      </c>
      <c r="Z77" s="16"/>
      <c r="AA77" s="57">
        <f t="shared" si="110"/>
        <v>167.37688</v>
      </c>
      <c r="AB77" s="57">
        <f t="shared" si="120"/>
        <v>55.792293333333333</v>
      </c>
      <c r="AC77" s="354">
        <f t="shared" si="100"/>
        <v>132.62312</v>
      </c>
      <c r="AD77" s="46">
        <v>300</v>
      </c>
      <c r="AE77" s="16"/>
      <c r="AF77" s="57">
        <f t="shared" si="111"/>
        <v>300</v>
      </c>
      <c r="AG77" s="57">
        <f t="shared" si="119"/>
        <v>100</v>
      </c>
      <c r="AH77" s="46">
        <v>300</v>
      </c>
      <c r="AI77" s="466">
        <f t="shared" si="115"/>
        <v>1</v>
      </c>
      <c r="AJ77" s="57" t="s">
        <v>291</v>
      </c>
      <c r="AK77" s="299" t="s">
        <v>327</v>
      </c>
      <c r="AL77" s="296" t="s">
        <v>284</v>
      </c>
    </row>
    <row r="78" spans="1:38" x14ac:dyDescent="0.2">
      <c r="A78" s="136"/>
      <c r="B78" s="29">
        <v>3631</v>
      </c>
      <c r="C78" s="29">
        <v>107</v>
      </c>
      <c r="D78" s="196" t="s">
        <v>77</v>
      </c>
      <c r="E78" s="46">
        <v>1640</v>
      </c>
      <c r="F78" s="16"/>
      <c r="G78" s="57">
        <f t="shared" si="104"/>
        <v>1640</v>
      </c>
      <c r="H78" s="176">
        <f>-164+240</f>
        <v>76</v>
      </c>
      <c r="I78" s="177"/>
      <c r="J78" s="46">
        <f t="shared" si="105"/>
        <v>1716</v>
      </c>
      <c r="K78" s="16">
        <f>F78+I78</f>
        <v>0</v>
      </c>
      <c r="L78" s="57">
        <f t="shared" si="106"/>
        <v>1716</v>
      </c>
      <c r="M78" s="46">
        <v>472.95299999999997</v>
      </c>
      <c r="N78" s="16"/>
      <c r="O78" s="57">
        <f t="shared" si="107"/>
        <v>472.95299999999997</v>
      </c>
      <c r="P78" s="57">
        <f t="shared" si="116"/>
        <v>27.561363636363634</v>
      </c>
      <c r="Q78" s="46">
        <v>981.45</v>
      </c>
      <c r="R78" s="16"/>
      <c r="S78" s="57">
        <f t="shared" si="108"/>
        <v>981.45</v>
      </c>
      <c r="T78" s="57">
        <f t="shared" si="117"/>
        <v>57.194055944055947</v>
      </c>
      <c r="U78" s="46">
        <v>1344.9960000000001</v>
      </c>
      <c r="V78" s="16"/>
      <c r="W78" s="57">
        <f t="shared" si="109"/>
        <v>1344.9960000000001</v>
      </c>
      <c r="X78" s="57">
        <f t="shared" si="118"/>
        <v>78.379720279720289</v>
      </c>
      <c r="Y78" s="46">
        <v>1708.5419999999999</v>
      </c>
      <c r="Z78" s="16"/>
      <c r="AA78" s="57">
        <f t="shared" si="110"/>
        <v>1708.5419999999999</v>
      </c>
      <c r="AB78" s="57">
        <f t="shared" si="120"/>
        <v>99.565384615384616</v>
      </c>
      <c r="AC78" s="354">
        <f t="shared" si="100"/>
        <v>7.4580000000000837</v>
      </c>
      <c r="AD78" s="46">
        <v>1520</v>
      </c>
      <c r="AE78" s="16"/>
      <c r="AF78" s="57">
        <f t="shared" si="111"/>
        <v>1520</v>
      </c>
      <c r="AG78" s="57">
        <f t="shared" si="119"/>
        <v>92.682926829268297</v>
      </c>
      <c r="AH78" s="46">
        <v>1640</v>
      </c>
      <c r="AI78" s="466">
        <f t="shared" si="115"/>
        <v>0.95571095571095566</v>
      </c>
      <c r="AJ78" s="57"/>
      <c r="AK78" s="303" t="s">
        <v>195</v>
      </c>
      <c r="AL78" s="290" t="s">
        <v>117</v>
      </c>
    </row>
    <row r="79" spans="1:38" x14ac:dyDescent="0.2">
      <c r="A79" s="136"/>
      <c r="B79" s="29">
        <v>3632</v>
      </c>
      <c r="C79" s="29">
        <v>232</v>
      </c>
      <c r="D79" s="196" t="s">
        <v>379</v>
      </c>
      <c r="E79" s="46"/>
      <c r="F79" s="16">
        <v>300</v>
      </c>
      <c r="G79" s="57">
        <f t="shared" si="104"/>
        <v>300</v>
      </c>
      <c r="H79" s="176"/>
      <c r="I79" s="177">
        <f>-100+40</f>
        <v>-60</v>
      </c>
      <c r="J79" s="46">
        <f t="shared" si="105"/>
        <v>0</v>
      </c>
      <c r="K79" s="16">
        <f>F79+I79</f>
        <v>240</v>
      </c>
      <c r="L79" s="57">
        <f t="shared" si="106"/>
        <v>240</v>
      </c>
      <c r="M79" s="46"/>
      <c r="N79" s="16"/>
      <c r="O79" s="57">
        <f t="shared" si="107"/>
        <v>0</v>
      </c>
      <c r="P79" s="57"/>
      <c r="Q79" s="46"/>
      <c r="R79" s="16"/>
      <c r="S79" s="57">
        <f t="shared" si="108"/>
        <v>0</v>
      </c>
      <c r="T79" s="57"/>
      <c r="U79" s="46"/>
      <c r="V79" s="16">
        <v>15.851000000000001</v>
      </c>
      <c r="W79" s="57">
        <f t="shared" si="109"/>
        <v>15.851000000000001</v>
      </c>
      <c r="X79" s="57">
        <f t="shared" si="118"/>
        <v>6.6045833333333333</v>
      </c>
      <c r="Y79" s="46"/>
      <c r="Z79" s="16">
        <v>231.47300000000001</v>
      </c>
      <c r="AA79" s="57">
        <f t="shared" si="110"/>
        <v>231.47300000000001</v>
      </c>
      <c r="AB79" s="57"/>
      <c r="AC79" s="354">
        <f t="shared" si="100"/>
        <v>8.5269999999999868</v>
      </c>
      <c r="AD79" s="46"/>
      <c r="AE79" s="16">
        <v>950</v>
      </c>
      <c r="AF79" s="57">
        <f t="shared" si="111"/>
        <v>950</v>
      </c>
      <c r="AG79" s="57"/>
      <c r="AH79" s="46">
        <v>950</v>
      </c>
      <c r="AI79" s="466">
        <f t="shared" si="115"/>
        <v>3.9583333333333335</v>
      </c>
      <c r="AJ79" s="57"/>
      <c r="AK79" s="303" t="s">
        <v>384</v>
      </c>
      <c r="AL79" s="290" t="s">
        <v>117</v>
      </c>
    </row>
    <row r="80" spans="1:38" x14ac:dyDescent="0.2">
      <c r="A80" s="136"/>
      <c r="B80" s="29">
        <v>3632</v>
      </c>
      <c r="C80" s="29">
        <v>238</v>
      </c>
      <c r="D80" s="196" t="s">
        <v>38</v>
      </c>
      <c r="E80" s="46">
        <v>351</v>
      </c>
      <c r="F80" s="16">
        <v>50</v>
      </c>
      <c r="G80" s="57">
        <f t="shared" si="104"/>
        <v>401</v>
      </c>
      <c r="H80" s="176"/>
      <c r="I80" s="177"/>
      <c r="J80" s="46">
        <f t="shared" si="105"/>
        <v>351</v>
      </c>
      <c r="K80" s="16">
        <f>F80+I80</f>
        <v>50</v>
      </c>
      <c r="L80" s="57">
        <f t="shared" si="106"/>
        <v>401</v>
      </c>
      <c r="M80" s="46">
        <v>74.966999999999999</v>
      </c>
      <c r="N80" s="16"/>
      <c r="O80" s="57">
        <f t="shared" si="107"/>
        <v>74.966999999999999</v>
      </c>
      <c r="P80" s="57">
        <f t="shared" ref="P80:P86" si="121">O80/$L80*100</f>
        <v>18.69501246882793</v>
      </c>
      <c r="Q80" s="46">
        <v>188.46700000000001</v>
      </c>
      <c r="R80" s="16"/>
      <c r="S80" s="57">
        <f t="shared" si="108"/>
        <v>188.46700000000001</v>
      </c>
      <c r="T80" s="57">
        <f t="shared" ref="T80:T86" si="122">S80/$L80*100</f>
        <v>46.999251870324194</v>
      </c>
      <c r="U80" s="46">
        <v>232.744</v>
      </c>
      <c r="V80" s="16"/>
      <c r="W80" s="57">
        <f t="shared" si="109"/>
        <v>232.744</v>
      </c>
      <c r="X80" s="57">
        <f t="shared" ref="X80:X86" si="123">W80/$L80*100</f>
        <v>58.040897755610978</v>
      </c>
      <c r="Y80" s="46">
        <f>382.3698-Z80</f>
        <v>332.37</v>
      </c>
      <c r="Z80" s="16">
        <v>49.9998</v>
      </c>
      <c r="AA80" s="57">
        <f t="shared" si="110"/>
        <v>382.3698</v>
      </c>
      <c r="AB80" s="57">
        <f t="shared" ref="AB80:AB86" si="124">AA80/$L80*100</f>
        <v>95.354064837905241</v>
      </c>
      <c r="AC80" s="354">
        <f t="shared" si="100"/>
        <v>18.630200000000002</v>
      </c>
      <c r="AD80" s="46">
        <v>351</v>
      </c>
      <c r="AE80" s="16">
        <v>20</v>
      </c>
      <c r="AF80" s="57">
        <f t="shared" si="111"/>
        <v>371</v>
      </c>
      <c r="AG80" s="57">
        <f t="shared" ref="AG80:AG86" si="125">AF80/$G80*100</f>
        <v>92.518703241895267</v>
      </c>
      <c r="AH80" s="46">
        <v>401</v>
      </c>
      <c r="AI80" s="466">
        <f t="shared" si="115"/>
        <v>1</v>
      </c>
      <c r="AJ80" s="57"/>
      <c r="AK80" s="305" t="s">
        <v>304</v>
      </c>
      <c r="AL80" s="290" t="s">
        <v>68</v>
      </c>
    </row>
    <row r="81" spans="1:38" x14ac:dyDescent="0.2">
      <c r="A81" s="136"/>
      <c r="B81" s="29">
        <v>3635</v>
      </c>
      <c r="C81" s="29">
        <v>248</v>
      </c>
      <c r="D81" s="196" t="s">
        <v>202</v>
      </c>
      <c r="E81" s="46">
        <v>50</v>
      </c>
      <c r="F81" s="16"/>
      <c r="G81" s="57">
        <f t="shared" si="104"/>
        <v>50</v>
      </c>
      <c r="H81" s="176">
        <v>-20</v>
      </c>
      <c r="I81" s="177"/>
      <c r="J81" s="46">
        <f t="shared" si="105"/>
        <v>30</v>
      </c>
      <c r="K81" s="16"/>
      <c r="L81" s="57">
        <f t="shared" si="106"/>
        <v>30</v>
      </c>
      <c r="M81" s="46"/>
      <c r="N81" s="16"/>
      <c r="O81" s="57">
        <f t="shared" si="107"/>
        <v>0</v>
      </c>
      <c r="P81" s="57">
        <f t="shared" si="121"/>
        <v>0</v>
      </c>
      <c r="Q81" s="46"/>
      <c r="R81" s="16"/>
      <c r="S81" s="57">
        <f t="shared" si="108"/>
        <v>0</v>
      </c>
      <c r="T81" s="57">
        <f t="shared" si="122"/>
        <v>0</v>
      </c>
      <c r="U81" s="46">
        <v>0</v>
      </c>
      <c r="V81" s="16"/>
      <c r="W81" s="57">
        <f t="shared" si="109"/>
        <v>0</v>
      </c>
      <c r="X81" s="57">
        <f t="shared" si="123"/>
        <v>0</v>
      </c>
      <c r="Y81" s="46">
        <v>0</v>
      </c>
      <c r="Z81" s="16"/>
      <c r="AA81" s="57">
        <f t="shared" si="110"/>
        <v>0</v>
      </c>
      <c r="AB81" s="57">
        <f t="shared" si="124"/>
        <v>0</v>
      </c>
      <c r="AC81" s="354">
        <f t="shared" si="100"/>
        <v>30</v>
      </c>
      <c r="AD81" s="46">
        <v>90</v>
      </c>
      <c r="AE81" s="16"/>
      <c r="AF81" s="57">
        <f t="shared" si="111"/>
        <v>90</v>
      </c>
      <c r="AG81" s="57">
        <f t="shared" si="125"/>
        <v>180</v>
      </c>
      <c r="AH81" s="46">
        <v>90</v>
      </c>
      <c r="AI81" s="466">
        <f t="shared" si="115"/>
        <v>3</v>
      </c>
      <c r="AJ81" s="57" t="s">
        <v>475</v>
      </c>
      <c r="AK81" s="306" t="s">
        <v>201</v>
      </c>
      <c r="AL81" s="297" t="s">
        <v>200</v>
      </c>
    </row>
    <row r="82" spans="1:38" x14ac:dyDescent="0.2">
      <c r="A82" s="136"/>
      <c r="B82" s="29">
        <v>3636</v>
      </c>
      <c r="C82" s="29">
        <v>249</v>
      </c>
      <c r="D82" s="196" t="s">
        <v>250</v>
      </c>
      <c r="E82" s="46">
        <f>238-42</f>
        <v>196</v>
      </c>
      <c r="F82" s="16"/>
      <c r="G82" s="57">
        <f t="shared" si="104"/>
        <v>196</v>
      </c>
      <c r="H82" s="182">
        <v>-20</v>
      </c>
      <c r="I82" s="177"/>
      <c r="J82" s="46">
        <f t="shared" si="105"/>
        <v>176</v>
      </c>
      <c r="K82" s="16"/>
      <c r="L82" s="57">
        <f t="shared" si="106"/>
        <v>176</v>
      </c>
      <c r="M82" s="46">
        <f>2.4+7.2</f>
        <v>9.6</v>
      </c>
      <c r="N82" s="16"/>
      <c r="O82" s="57">
        <f t="shared" si="107"/>
        <v>9.6</v>
      </c>
      <c r="P82" s="57">
        <f t="shared" si="121"/>
        <v>5.4545454545454541</v>
      </c>
      <c r="Q82" s="46">
        <v>22.81</v>
      </c>
      <c r="R82" s="16"/>
      <c r="S82" s="57">
        <f t="shared" si="108"/>
        <v>22.81</v>
      </c>
      <c r="T82" s="57">
        <f t="shared" si="122"/>
        <v>12.960227272727273</v>
      </c>
      <c r="U82" s="46">
        <v>41.423099999999998</v>
      </c>
      <c r="V82" s="16"/>
      <c r="W82" s="57">
        <f t="shared" si="109"/>
        <v>41.423099999999998</v>
      </c>
      <c r="X82" s="57">
        <f t="shared" si="123"/>
        <v>23.535852272727272</v>
      </c>
      <c r="Y82" s="46">
        <v>54.219850000000001</v>
      </c>
      <c r="Z82" s="16"/>
      <c r="AA82" s="57">
        <f t="shared" si="110"/>
        <v>54.219850000000001</v>
      </c>
      <c r="AB82" s="57">
        <f t="shared" si="124"/>
        <v>30.806732954545456</v>
      </c>
      <c r="AC82" s="354">
        <f t="shared" si="100"/>
        <v>121.78014999999999</v>
      </c>
      <c r="AD82" s="46">
        <v>82</v>
      </c>
      <c r="AE82" s="16"/>
      <c r="AF82" s="57">
        <f t="shared" si="111"/>
        <v>82</v>
      </c>
      <c r="AG82" s="57">
        <f t="shared" si="125"/>
        <v>41.836734693877553</v>
      </c>
      <c r="AH82" s="46">
        <v>152</v>
      </c>
      <c r="AI82" s="466">
        <f t="shared" si="115"/>
        <v>0.86363636363636365</v>
      </c>
      <c r="AJ82" s="16"/>
      <c r="AK82" s="443" t="s">
        <v>374</v>
      </c>
      <c r="AL82" s="290" t="s">
        <v>117</v>
      </c>
    </row>
    <row r="83" spans="1:38" x14ac:dyDescent="0.2">
      <c r="A83" s="136"/>
      <c r="B83" s="29">
        <v>3639</v>
      </c>
      <c r="C83" s="29">
        <v>108</v>
      </c>
      <c r="D83" s="196" t="s">
        <v>95</v>
      </c>
      <c r="E83" s="46">
        <v>800</v>
      </c>
      <c r="F83" s="16"/>
      <c r="G83" s="57">
        <f t="shared" si="104"/>
        <v>800</v>
      </c>
      <c r="H83" s="178">
        <f>-80+400</f>
        <v>320</v>
      </c>
      <c r="I83" s="177"/>
      <c r="J83" s="46">
        <f t="shared" si="105"/>
        <v>1120</v>
      </c>
      <c r="K83" s="16"/>
      <c r="L83" s="57">
        <f t="shared" si="106"/>
        <v>1120</v>
      </c>
      <c r="M83" s="46">
        <v>41.455880000000001</v>
      </c>
      <c r="N83" s="16"/>
      <c r="O83" s="57">
        <f t="shared" si="107"/>
        <v>41.455880000000001</v>
      </c>
      <c r="P83" s="57">
        <f t="shared" si="121"/>
        <v>3.7014178571428573</v>
      </c>
      <c r="Q83" s="46">
        <v>61.897539999999999</v>
      </c>
      <c r="R83" s="16"/>
      <c r="S83" s="57">
        <f t="shared" si="108"/>
        <v>61.897539999999999</v>
      </c>
      <c r="T83" s="57">
        <f t="shared" si="122"/>
        <v>5.5265660714285714</v>
      </c>
      <c r="U83" s="46">
        <v>-387.70760999999999</v>
      </c>
      <c r="V83" s="16"/>
      <c r="W83" s="57">
        <f t="shared" si="109"/>
        <v>-387.70760999999999</v>
      </c>
      <c r="X83" s="57">
        <f t="shared" si="123"/>
        <v>-34.616750892857141</v>
      </c>
      <c r="Y83" s="46">
        <v>842.62288999999998</v>
      </c>
      <c r="Z83" s="16"/>
      <c r="AA83" s="57">
        <f t="shared" si="110"/>
        <v>842.62288999999998</v>
      </c>
      <c r="AB83" s="57">
        <f t="shared" si="124"/>
        <v>75.23418660714286</v>
      </c>
      <c r="AC83" s="354">
        <f t="shared" si="100"/>
        <v>277.37711000000002</v>
      </c>
      <c r="AD83" s="46">
        <v>330</v>
      </c>
      <c r="AE83" s="16"/>
      <c r="AF83" s="57">
        <f t="shared" si="111"/>
        <v>330</v>
      </c>
      <c r="AG83" s="57">
        <f t="shared" si="125"/>
        <v>41.25</v>
      </c>
      <c r="AH83" s="46">
        <v>400</v>
      </c>
      <c r="AI83" s="466">
        <f t="shared" si="115"/>
        <v>0.35714285714285715</v>
      </c>
      <c r="AJ83" s="57"/>
      <c r="AK83" s="303" t="s">
        <v>157</v>
      </c>
      <c r="AL83" s="290" t="s">
        <v>68</v>
      </c>
    </row>
    <row r="84" spans="1:38" x14ac:dyDescent="0.2">
      <c r="A84" s="136"/>
      <c r="B84" s="29">
        <v>3639</v>
      </c>
      <c r="C84" s="29">
        <v>239</v>
      </c>
      <c r="D84" s="196" t="s">
        <v>184</v>
      </c>
      <c r="E84" s="46">
        <v>486</v>
      </c>
      <c r="F84" s="16"/>
      <c r="G84" s="57">
        <f t="shared" si="104"/>
        <v>486</v>
      </c>
      <c r="H84" s="176">
        <v>-49</v>
      </c>
      <c r="I84" s="177"/>
      <c r="J84" s="46">
        <f t="shared" si="105"/>
        <v>437</v>
      </c>
      <c r="K84" s="16"/>
      <c r="L84" s="57">
        <f t="shared" si="106"/>
        <v>437</v>
      </c>
      <c r="M84" s="46">
        <v>130.48600999999999</v>
      </c>
      <c r="N84" s="16"/>
      <c r="O84" s="57">
        <f t="shared" si="107"/>
        <v>130.48600999999999</v>
      </c>
      <c r="P84" s="57">
        <f t="shared" si="121"/>
        <v>29.859498855835238</v>
      </c>
      <c r="Q84" s="46">
        <v>159.37141</v>
      </c>
      <c r="R84" s="16"/>
      <c r="S84" s="57">
        <f t="shared" si="108"/>
        <v>159.37141</v>
      </c>
      <c r="T84" s="57">
        <f t="shared" si="122"/>
        <v>36.469430205949656</v>
      </c>
      <c r="U84" s="46">
        <v>222.35329999999999</v>
      </c>
      <c r="V84" s="16"/>
      <c r="W84" s="57">
        <f t="shared" si="109"/>
        <v>222.35329999999999</v>
      </c>
      <c r="X84" s="57">
        <f t="shared" si="123"/>
        <v>50.881762013729968</v>
      </c>
      <c r="Y84" s="46">
        <v>309.78818000000001</v>
      </c>
      <c r="Z84" s="16"/>
      <c r="AA84" s="57">
        <f t="shared" si="110"/>
        <v>309.78818000000001</v>
      </c>
      <c r="AB84" s="57">
        <f t="shared" si="124"/>
        <v>70.889743707093828</v>
      </c>
      <c r="AC84" s="354">
        <f t="shared" si="100"/>
        <v>127.21181999999999</v>
      </c>
      <c r="AD84" s="46">
        <v>436</v>
      </c>
      <c r="AE84" s="16"/>
      <c r="AF84" s="57">
        <f t="shared" si="111"/>
        <v>436</v>
      </c>
      <c r="AG84" s="57">
        <f t="shared" si="125"/>
        <v>89.711934156378604</v>
      </c>
      <c r="AH84" s="46">
        <v>436</v>
      </c>
      <c r="AI84" s="466">
        <f t="shared" si="115"/>
        <v>0.99771167048054921</v>
      </c>
      <c r="AJ84" s="57"/>
      <c r="AK84" s="303" t="s">
        <v>195</v>
      </c>
      <c r="AL84" s="290" t="s">
        <v>117</v>
      </c>
    </row>
    <row r="85" spans="1:38" x14ac:dyDescent="0.2">
      <c r="A85" s="136"/>
      <c r="B85" s="29">
        <v>3639</v>
      </c>
      <c r="C85" s="29">
        <v>243</v>
      </c>
      <c r="D85" s="196" t="s">
        <v>153</v>
      </c>
      <c r="E85" s="46">
        <f>63+315</f>
        <v>378</v>
      </c>
      <c r="F85" s="16"/>
      <c r="G85" s="57">
        <f t="shared" si="104"/>
        <v>378</v>
      </c>
      <c r="H85" s="176">
        <v>-6</v>
      </c>
      <c r="I85" s="177"/>
      <c r="J85" s="46">
        <f t="shared" si="105"/>
        <v>372</v>
      </c>
      <c r="K85" s="16"/>
      <c r="L85" s="57">
        <f t="shared" si="106"/>
        <v>372</v>
      </c>
      <c r="M85" s="46">
        <f>67.24282+21.442</f>
        <v>88.684820000000002</v>
      </c>
      <c r="N85" s="16"/>
      <c r="O85" s="57">
        <f t="shared" si="107"/>
        <v>88.684820000000002</v>
      </c>
      <c r="P85" s="57">
        <f t="shared" si="121"/>
        <v>23.840005376344088</v>
      </c>
      <c r="Q85" s="46">
        <f>149.56582+23.008</f>
        <v>172.57382000000001</v>
      </c>
      <c r="R85" s="16"/>
      <c r="S85" s="57">
        <f t="shared" si="108"/>
        <v>172.57382000000001</v>
      </c>
      <c r="T85" s="57">
        <f t="shared" si="122"/>
        <v>46.390811827956988</v>
      </c>
      <c r="U85" s="46">
        <f>236.25882+21.788</f>
        <v>258.04681999999997</v>
      </c>
      <c r="V85" s="16"/>
      <c r="W85" s="57">
        <f t="shared" si="109"/>
        <v>258.04681999999997</v>
      </c>
      <c r="X85" s="57">
        <f t="shared" si="123"/>
        <v>69.367424731182794</v>
      </c>
      <c r="Y85" s="46">
        <v>327.58481999999998</v>
      </c>
      <c r="Z85" s="16"/>
      <c r="AA85" s="57">
        <f t="shared" si="110"/>
        <v>327.58481999999998</v>
      </c>
      <c r="AB85" s="57">
        <f t="shared" si="124"/>
        <v>88.060435483870961</v>
      </c>
      <c r="AC85" s="354">
        <f t="shared" si="100"/>
        <v>44.415180000000021</v>
      </c>
      <c r="AD85" s="46">
        <f>61+308</f>
        <v>369</v>
      </c>
      <c r="AE85" s="16"/>
      <c r="AF85" s="57">
        <f t="shared" si="111"/>
        <v>369</v>
      </c>
      <c r="AG85" s="57">
        <f t="shared" si="125"/>
        <v>97.61904761904762</v>
      </c>
      <c r="AH85" s="46">
        <f>61+308</f>
        <v>369</v>
      </c>
      <c r="AI85" s="466">
        <f t="shared" si="115"/>
        <v>0.99193548387096775</v>
      </c>
      <c r="AJ85" s="57"/>
      <c r="AK85" s="305" t="s">
        <v>68</v>
      </c>
      <c r="AL85" s="290" t="s">
        <v>298</v>
      </c>
    </row>
    <row r="86" spans="1:38" x14ac:dyDescent="0.2">
      <c r="A86" s="136"/>
      <c r="B86" s="29">
        <v>3639</v>
      </c>
      <c r="C86" s="29">
        <v>319</v>
      </c>
      <c r="D86" s="196" t="s">
        <v>260</v>
      </c>
      <c r="E86" s="46">
        <v>227</v>
      </c>
      <c r="F86" s="16"/>
      <c r="G86" s="57">
        <f t="shared" si="104"/>
        <v>227</v>
      </c>
      <c r="H86" s="178"/>
      <c r="I86" s="177"/>
      <c r="J86" s="46">
        <f t="shared" si="105"/>
        <v>227</v>
      </c>
      <c r="K86" s="16"/>
      <c r="L86" s="57">
        <f t="shared" si="106"/>
        <v>227</v>
      </c>
      <c r="M86" s="46">
        <v>56.7</v>
      </c>
      <c r="N86" s="16"/>
      <c r="O86" s="57">
        <f t="shared" si="107"/>
        <v>56.7</v>
      </c>
      <c r="P86" s="57">
        <f t="shared" si="121"/>
        <v>24.977973568281939</v>
      </c>
      <c r="Q86" s="46">
        <v>113.4</v>
      </c>
      <c r="R86" s="16"/>
      <c r="S86" s="57">
        <f t="shared" si="108"/>
        <v>113.4</v>
      </c>
      <c r="T86" s="57">
        <f t="shared" si="122"/>
        <v>49.955947136563879</v>
      </c>
      <c r="U86" s="46">
        <v>170.1</v>
      </c>
      <c r="V86" s="16"/>
      <c r="W86" s="57">
        <f t="shared" si="109"/>
        <v>170.1</v>
      </c>
      <c r="X86" s="57">
        <f t="shared" si="123"/>
        <v>74.933920704845818</v>
      </c>
      <c r="Y86" s="46">
        <v>226.8</v>
      </c>
      <c r="Z86" s="16"/>
      <c r="AA86" s="57">
        <f t="shared" si="110"/>
        <v>226.8</v>
      </c>
      <c r="AB86" s="57">
        <f t="shared" si="124"/>
        <v>99.911894273127757</v>
      </c>
      <c r="AC86" s="354">
        <f t="shared" si="100"/>
        <v>0.19999999999998863</v>
      </c>
      <c r="AD86" s="46">
        <v>227</v>
      </c>
      <c r="AE86" s="16"/>
      <c r="AF86" s="57">
        <f t="shared" si="111"/>
        <v>227</v>
      </c>
      <c r="AG86" s="57">
        <f t="shared" si="125"/>
        <v>100</v>
      </c>
      <c r="AH86" s="46">
        <v>227</v>
      </c>
      <c r="AI86" s="466">
        <f t="shared" si="115"/>
        <v>1</v>
      </c>
      <c r="AJ86" s="57" t="s">
        <v>297</v>
      </c>
      <c r="AK86" s="305" t="s">
        <v>304</v>
      </c>
      <c r="AL86" s="290" t="s">
        <v>68</v>
      </c>
    </row>
    <row r="87" spans="1:38" x14ac:dyDescent="0.2">
      <c r="A87" s="138"/>
      <c r="B87" s="35">
        <v>3639</v>
      </c>
      <c r="C87" s="35">
        <v>319.20999999999998</v>
      </c>
      <c r="D87" s="374" t="s">
        <v>258</v>
      </c>
      <c r="E87" s="69">
        <f>36+91</f>
        <v>127</v>
      </c>
      <c r="F87" s="16"/>
      <c r="G87" s="57">
        <f t="shared" si="93"/>
        <v>127</v>
      </c>
      <c r="H87" s="364"/>
      <c r="I87" s="184"/>
      <c r="J87" s="61">
        <f t="shared" si="94"/>
        <v>127</v>
      </c>
      <c r="K87" s="64"/>
      <c r="L87" s="63">
        <f t="shared" si="95"/>
        <v>127</v>
      </c>
      <c r="M87" s="69">
        <f>11.28</f>
        <v>11.28</v>
      </c>
      <c r="N87" s="16"/>
      <c r="O87" s="57">
        <f t="shared" ref="O87" si="126">M87+N87</f>
        <v>11.28</v>
      </c>
      <c r="P87" s="63">
        <f t="shared" ref="P87" si="127">O87/$L87*100</f>
        <v>8.881889763779526</v>
      </c>
      <c r="Q87" s="69">
        <f>25.102</f>
        <v>25.102</v>
      </c>
      <c r="R87" s="16"/>
      <c r="S87" s="57">
        <f t="shared" si="97"/>
        <v>25.102</v>
      </c>
      <c r="T87" s="63">
        <f t="shared" ref="T87:T90" si="128">S87/$L87*100</f>
        <v>19.765354330708661</v>
      </c>
      <c r="U87" s="69">
        <f>0.726+43.102</f>
        <v>43.827999999999996</v>
      </c>
      <c r="V87" s="16"/>
      <c r="W87" s="57">
        <f t="shared" si="98"/>
        <v>43.827999999999996</v>
      </c>
      <c r="X87" s="63">
        <f t="shared" ref="X87:X90" si="129">W87/$L87*100</f>
        <v>34.510236220472443</v>
      </c>
      <c r="Y87" s="69">
        <f>55.249+0.726+11.99496</f>
        <v>67.96996</v>
      </c>
      <c r="Z87" s="16"/>
      <c r="AA87" s="57">
        <f t="shared" si="99"/>
        <v>67.96996</v>
      </c>
      <c r="AB87" s="63">
        <f t="shared" ref="AB87:AB90" si="130">AA87/$L87*100</f>
        <v>53.519653543307086</v>
      </c>
      <c r="AC87" s="354">
        <f t="shared" si="100"/>
        <v>59.03004</v>
      </c>
      <c r="AD87" s="69">
        <f>36+91</f>
        <v>127</v>
      </c>
      <c r="AE87" s="16"/>
      <c r="AF87" s="57">
        <f t="shared" si="101"/>
        <v>127</v>
      </c>
      <c r="AG87" s="63">
        <f t="shared" ref="AG87" si="131">AF87/$G87*100</f>
        <v>100</v>
      </c>
      <c r="AH87" s="69">
        <v>127</v>
      </c>
      <c r="AI87" s="468">
        <f t="shared" si="115"/>
        <v>1</v>
      </c>
      <c r="AJ87" s="63" t="s">
        <v>357</v>
      </c>
      <c r="AK87" s="377" t="s">
        <v>304</v>
      </c>
      <c r="AL87" s="292" t="s">
        <v>68</v>
      </c>
    </row>
    <row r="88" spans="1:38" x14ac:dyDescent="0.2">
      <c r="A88" s="137">
        <v>37</v>
      </c>
      <c r="B88" s="24"/>
      <c r="C88" s="24"/>
      <c r="D88" s="373" t="s">
        <v>115</v>
      </c>
      <c r="E88" s="58">
        <f t="shared" ref="E88:O88" si="132">SUM(E89:E97)</f>
        <v>12522</v>
      </c>
      <c r="F88" s="59">
        <f t="shared" si="132"/>
        <v>103</v>
      </c>
      <c r="G88" s="60">
        <f t="shared" si="132"/>
        <v>12625</v>
      </c>
      <c r="H88" s="180">
        <f t="shared" si="132"/>
        <v>-18.870999999999995</v>
      </c>
      <c r="I88" s="181">
        <f t="shared" si="132"/>
        <v>0</v>
      </c>
      <c r="J88" s="58">
        <f t="shared" si="132"/>
        <v>12503.129000000001</v>
      </c>
      <c r="K88" s="59">
        <f t="shared" si="132"/>
        <v>103</v>
      </c>
      <c r="L88" s="60">
        <f t="shared" si="132"/>
        <v>12606.129000000001</v>
      </c>
      <c r="M88" s="58">
        <f t="shared" si="132"/>
        <v>2348.7623400000002</v>
      </c>
      <c r="N88" s="59">
        <f t="shared" si="132"/>
        <v>0</v>
      </c>
      <c r="O88" s="60">
        <f t="shared" si="132"/>
        <v>2348.7623400000002</v>
      </c>
      <c r="P88" s="60">
        <f t="shared" ref="P88:P125" si="133">O88/$L88*100</f>
        <v>18.631907860057598</v>
      </c>
      <c r="Q88" s="58">
        <f>SUM(Q89:Q97)</f>
        <v>5184.9303799999998</v>
      </c>
      <c r="R88" s="59">
        <f>SUM(R89:R97)</f>
        <v>102.429</v>
      </c>
      <c r="S88" s="60">
        <f>SUM(S89:S97)</f>
        <v>5287.3593799999999</v>
      </c>
      <c r="T88" s="60">
        <f t="shared" si="128"/>
        <v>41.942767522052165</v>
      </c>
      <c r="U88" s="58">
        <f>SUM(U89:U97)</f>
        <v>8297.3876400000008</v>
      </c>
      <c r="V88" s="59">
        <f>SUM(V89:V97)</f>
        <v>102.429</v>
      </c>
      <c r="W88" s="60">
        <f>SUM(W89:W97)</f>
        <v>8399.8166400000009</v>
      </c>
      <c r="X88" s="60">
        <f t="shared" si="129"/>
        <v>66.632799331182483</v>
      </c>
      <c r="Y88" s="58">
        <f>SUM(Y89:Y97)</f>
        <v>11693.07459</v>
      </c>
      <c r="Z88" s="59">
        <f>SUM(Z89:Z97)</f>
        <v>102.429</v>
      </c>
      <c r="AA88" s="60">
        <f>SUM(AA89:AA97)</f>
        <v>11795.50359</v>
      </c>
      <c r="AB88" s="60">
        <f t="shared" si="130"/>
        <v>93.569592933722944</v>
      </c>
      <c r="AC88" s="355">
        <f>SUM(AC89:AC97)</f>
        <v>810.62540999999999</v>
      </c>
      <c r="AD88" s="58">
        <f>SUM(AD89:AD97)</f>
        <v>14441</v>
      </c>
      <c r="AE88" s="59">
        <f>SUM(AE89:AE97)</f>
        <v>2307</v>
      </c>
      <c r="AF88" s="60">
        <f>SUM(AF89:AF97)</f>
        <v>16748</v>
      </c>
      <c r="AG88" s="60">
        <f t="shared" ref="AG88:AG96" si="134">AF88/$G88*100</f>
        <v>132.65742574257428</v>
      </c>
      <c r="AH88" s="58">
        <f>SUM(AH89:AH97)</f>
        <v>16229</v>
      </c>
      <c r="AI88" s="467">
        <f t="shared" si="115"/>
        <v>1.2873896499075965</v>
      </c>
      <c r="AJ88" s="60"/>
      <c r="AK88" s="55"/>
      <c r="AL88" s="74"/>
    </row>
    <row r="89" spans="1:38" x14ac:dyDescent="0.2">
      <c r="A89" s="136"/>
      <c r="B89" s="29">
        <v>3722</v>
      </c>
      <c r="C89" s="29">
        <v>240</v>
      </c>
      <c r="D89" s="196" t="s">
        <v>78</v>
      </c>
      <c r="E89" s="46">
        <v>6522</v>
      </c>
      <c r="F89" s="16"/>
      <c r="G89" s="57">
        <f t="shared" ref="G89:G97" si="135">E89+F89</f>
        <v>6522</v>
      </c>
      <c r="H89" s="182">
        <f>-22+300</f>
        <v>278</v>
      </c>
      <c r="I89" s="177"/>
      <c r="J89" s="46">
        <f t="shared" ref="J89:J97" si="136">E89+H89</f>
        <v>6800</v>
      </c>
      <c r="K89" s="16"/>
      <c r="L89" s="57">
        <f t="shared" ref="L89:L97" si="137">SUM(J89:K89)</f>
        <v>6800</v>
      </c>
      <c r="M89" s="46">
        <v>1423.02124</v>
      </c>
      <c r="N89" s="16"/>
      <c r="O89" s="57">
        <f>M89+N89</f>
        <v>1423.02124</v>
      </c>
      <c r="P89" s="57">
        <f t="shared" si="133"/>
        <v>20.926782941176473</v>
      </c>
      <c r="Q89" s="46">
        <v>3233.1150699999998</v>
      </c>
      <c r="R89" s="16"/>
      <c r="S89" s="57">
        <f>Q89+R89</f>
        <v>3233.1150699999998</v>
      </c>
      <c r="T89" s="57">
        <f t="shared" si="128"/>
        <v>47.545809852941176</v>
      </c>
      <c r="U89" s="46">
        <v>5008.6156300000002</v>
      </c>
      <c r="V89" s="16"/>
      <c r="W89" s="57">
        <f>U89+V89</f>
        <v>5008.6156300000002</v>
      </c>
      <c r="X89" s="57">
        <f t="shared" si="129"/>
        <v>73.656112205882351</v>
      </c>
      <c r="Y89" s="46">
        <v>6867.9931500000002</v>
      </c>
      <c r="Z89" s="16"/>
      <c r="AA89" s="57">
        <f>Y89+Z89</f>
        <v>6867.9931500000002</v>
      </c>
      <c r="AB89" s="57">
        <f t="shared" si="130"/>
        <v>100.99989926470589</v>
      </c>
      <c r="AC89" s="354">
        <f t="shared" ref="AC89:AC97" si="138">L89-AA89</f>
        <v>-67.993150000000242</v>
      </c>
      <c r="AD89" s="46">
        <f>6786+455</f>
        <v>7241</v>
      </c>
      <c r="AE89" s="16"/>
      <c r="AF89" s="57">
        <f>AD89+AE89</f>
        <v>7241</v>
      </c>
      <c r="AG89" s="57">
        <f t="shared" si="134"/>
        <v>111.02422569763877</v>
      </c>
      <c r="AH89" s="46">
        <v>6786</v>
      </c>
      <c r="AI89" s="466">
        <f t="shared" si="115"/>
        <v>0.99794117647058822</v>
      </c>
      <c r="AJ89" s="57"/>
      <c r="AK89" s="303" t="s">
        <v>306</v>
      </c>
      <c r="AL89" s="290" t="s">
        <v>195</v>
      </c>
    </row>
    <row r="90" spans="1:38" x14ac:dyDescent="0.2">
      <c r="A90" s="136"/>
      <c r="B90" s="29">
        <v>3722</v>
      </c>
      <c r="C90" s="29">
        <v>5110</v>
      </c>
      <c r="D90" s="196" t="s">
        <v>271</v>
      </c>
      <c r="E90" s="46">
        <f>208+94</f>
        <v>302</v>
      </c>
      <c r="F90" s="16">
        <v>103</v>
      </c>
      <c r="G90" s="57">
        <f t="shared" si="135"/>
        <v>405</v>
      </c>
      <c r="H90" s="182"/>
      <c r="I90" s="177"/>
      <c r="J90" s="46">
        <f t="shared" si="136"/>
        <v>302</v>
      </c>
      <c r="K90" s="16">
        <f>F90+I90</f>
        <v>103</v>
      </c>
      <c r="L90" s="57">
        <f t="shared" si="137"/>
        <v>405</v>
      </c>
      <c r="M90" s="46"/>
      <c r="N90" s="16"/>
      <c r="O90" s="57">
        <f t="shared" ref="O90:O95" si="139">M90+N90</f>
        <v>0</v>
      </c>
      <c r="P90" s="57">
        <f t="shared" si="133"/>
        <v>0</v>
      </c>
      <c r="Q90" s="46">
        <v>93.412499999999994</v>
      </c>
      <c r="R90" s="16">
        <v>102.429</v>
      </c>
      <c r="S90" s="57">
        <f t="shared" ref="S90:S95" si="140">Q90+R90</f>
        <v>195.8415</v>
      </c>
      <c r="T90" s="57">
        <f t="shared" si="128"/>
        <v>48.355925925925924</v>
      </c>
      <c r="U90" s="46">
        <v>301.41250000000002</v>
      </c>
      <c r="V90" s="16">
        <v>102.429</v>
      </c>
      <c r="W90" s="57">
        <f t="shared" ref="W90:W95" si="141">U90+V90</f>
        <v>403.8415</v>
      </c>
      <c r="X90" s="57">
        <f t="shared" si="129"/>
        <v>99.713950617283956</v>
      </c>
      <c r="Y90" s="46">
        <v>301.41250000000002</v>
      </c>
      <c r="Z90" s="16">
        <v>102.429</v>
      </c>
      <c r="AA90" s="57">
        <f t="shared" ref="AA90:AA95" si="142">Y90+Z90</f>
        <v>403.8415</v>
      </c>
      <c r="AB90" s="57">
        <f t="shared" si="130"/>
        <v>99.713950617283956</v>
      </c>
      <c r="AC90" s="354">
        <f t="shared" si="138"/>
        <v>1.1585000000000036</v>
      </c>
      <c r="AD90" s="46">
        <f>259+135+541</f>
        <v>935</v>
      </c>
      <c r="AE90" s="16">
        <v>177</v>
      </c>
      <c r="AF90" s="57">
        <f t="shared" ref="AF90:AF95" si="143">AD90+AE90</f>
        <v>1112</v>
      </c>
      <c r="AG90" s="57">
        <f t="shared" si="134"/>
        <v>274.5679012345679</v>
      </c>
      <c r="AH90" s="46">
        <f>565+135+177</f>
        <v>877</v>
      </c>
      <c r="AI90" s="466">
        <f t="shared" si="115"/>
        <v>2.1654320987654323</v>
      </c>
      <c r="AJ90" s="57"/>
      <c r="AK90" s="303" t="s">
        <v>306</v>
      </c>
      <c r="AL90" s="290" t="s">
        <v>195</v>
      </c>
    </row>
    <row r="91" spans="1:38" s="449" customFormat="1" x14ac:dyDescent="0.2">
      <c r="A91" s="136"/>
      <c r="B91" s="29">
        <v>3722</v>
      </c>
      <c r="C91" s="445"/>
      <c r="D91" s="196" t="s">
        <v>446</v>
      </c>
      <c r="E91" s="46"/>
      <c r="F91" s="16"/>
      <c r="G91" s="57"/>
      <c r="H91" s="182"/>
      <c r="I91" s="177"/>
      <c r="J91" s="46"/>
      <c r="K91" s="16"/>
      <c r="L91" s="57"/>
      <c r="M91" s="46"/>
      <c r="N91" s="16"/>
      <c r="O91" s="57"/>
      <c r="P91" s="57"/>
      <c r="Q91" s="46"/>
      <c r="R91" s="16"/>
      <c r="S91" s="57"/>
      <c r="T91" s="57"/>
      <c r="U91" s="46"/>
      <c r="V91" s="16"/>
      <c r="W91" s="57"/>
      <c r="X91" s="57"/>
      <c r="Y91" s="46"/>
      <c r="Z91" s="16"/>
      <c r="AA91" s="57"/>
      <c r="AB91" s="57"/>
      <c r="AC91" s="354">
        <f t="shared" si="138"/>
        <v>0</v>
      </c>
      <c r="AD91" s="46"/>
      <c r="AE91" s="16">
        <v>1830</v>
      </c>
      <c r="AF91" s="57">
        <f t="shared" si="143"/>
        <v>1830</v>
      </c>
      <c r="AG91" s="57"/>
      <c r="AH91" s="46">
        <v>1830</v>
      </c>
      <c r="AI91" s="466"/>
      <c r="AJ91" s="57" t="s">
        <v>447</v>
      </c>
      <c r="AK91" s="303" t="s">
        <v>306</v>
      </c>
      <c r="AL91" s="290" t="s">
        <v>117</v>
      </c>
    </row>
    <row r="92" spans="1:38" s="449" customFormat="1" x14ac:dyDescent="0.2">
      <c r="A92" s="136"/>
      <c r="B92" s="29">
        <v>3722</v>
      </c>
      <c r="C92" s="445"/>
      <c r="D92" s="196" t="s">
        <v>485</v>
      </c>
      <c r="E92" s="46"/>
      <c r="F92" s="16"/>
      <c r="G92" s="57"/>
      <c r="H92" s="182"/>
      <c r="I92" s="177"/>
      <c r="J92" s="46"/>
      <c r="K92" s="16"/>
      <c r="L92" s="57"/>
      <c r="M92" s="46"/>
      <c r="N92" s="16"/>
      <c r="O92" s="57"/>
      <c r="P92" s="57"/>
      <c r="Q92" s="46"/>
      <c r="R92" s="16"/>
      <c r="S92" s="57"/>
      <c r="T92" s="57"/>
      <c r="U92" s="46"/>
      <c r="V92" s="16"/>
      <c r="W92" s="57"/>
      <c r="X92" s="57"/>
      <c r="Y92" s="46"/>
      <c r="Z92" s="16"/>
      <c r="AA92" s="57"/>
      <c r="AB92" s="57"/>
      <c r="AC92" s="354"/>
      <c r="AD92" s="46">
        <v>994</v>
      </c>
      <c r="AE92" s="16"/>
      <c r="AF92" s="57">
        <f t="shared" si="143"/>
        <v>994</v>
      </c>
      <c r="AG92" s="57"/>
      <c r="AH92" s="46"/>
      <c r="AI92" s="466"/>
      <c r="AJ92" s="57"/>
      <c r="AK92" s="303"/>
      <c r="AL92" s="497"/>
    </row>
    <row r="93" spans="1:38" s="449" customFormat="1" x14ac:dyDescent="0.2">
      <c r="A93" s="136"/>
      <c r="B93" s="29">
        <v>3722</v>
      </c>
      <c r="C93" s="445">
        <v>250</v>
      </c>
      <c r="D93" s="375" t="s">
        <v>434</v>
      </c>
      <c r="E93" s="46"/>
      <c r="F93" s="16"/>
      <c r="G93" s="57"/>
      <c r="H93" s="182"/>
      <c r="I93" s="177"/>
      <c r="J93" s="46"/>
      <c r="K93" s="16"/>
      <c r="L93" s="57"/>
      <c r="M93" s="46"/>
      <c r="N93" s="16"/>
      <c r="O93" s="57"/>
      <c r="P93" s="57"/>
      <c r="Q93" s="46"/>
      <c r="R93" s="16"/>
      <c r="S93" s="57"/>
      <c r="T93" s="57"/>
      <c r="U93" s="46"/>
      <c r="V93" s="16"/>
      <c r="W93" s="57"/>
      <c r="X93" s="57"/>
      <c r="Y93" s="46"/>
      <c r="Z93" s="16"/>
      <c r="AA93" s="57"/>
      <c r="AB93" s="57"/>
      <c r="AC93" s="354">
        <f t="shared" si="138"/>
        <v>0</v>
      </c>
      <c r="AD93" s="46">
        <v>515</v>
      </c>
      <c r="AE93" s="16">
        <f>239+61</f>
        <v>300</v>
      </c>
      <c r="AF93" s="57">
        <f t="shared" si="143"/>
        <v>815</v>
      </c>
      <c r="AG93" s="57"/>
      <c r="AH93" s="46">
        <v>815</v>
      </c>
      <c r="AI93" s="466"/>
      <c r="AJ93" s="57" t="s">
        <v>435</v>
      </c>
      <c r="AK93" s="303" t="s">
        <v>306</v>
      </c>
      <c r="AL93" s="303" t="s">
        <v>384</v>
      </c>
    </row>
    <row r="94" spans="1:38" x14ac:dyDescent="0.2">
      <c r="A94" s="136"/>
      <c r="B94" s="29">
        <v>3745</v>
      </c>
      <c r="C94" s="29">
        <v>241</v>
      </c>
      <c r="D94" s="196" t="s">
        <v>79</v>
      </c>
      <c r="E94" s="46">
        <f>2144-50+2364</f>
        <v>4458</v>
      </c>
      <c r="F94" s="16"/>
      <c r="G94" s="57">
        <f t="shared" si="135"/>
        <v>4458</v>
      </c>
      <c r="H94" s="182">
        <v>-256</v>
      </c>
      <c r="I94" s="177"/>
      <c r="J94" s="46">
        <f t="shared" si="136"/>
        <v>4202</v>
      </c>
      <c r="K94" s="16"/>
      <c r="L94" s="57">
        <f t="shared" si="137"/>
        <v>4202</v>
      </c>
      <c r="M94" s="46">
        <f>379.575+147.602</f>
        <v>527.17700000000002</v>
      </c>
      <c r="N94" s="16"/>
      <c r="O94" s="57">
        <f t="shared" si="139"/>
        <v>527.17700000000002</v>
      </c>
      <c r="P94" s="57">
        <f>O94/$L94*100</f>
        <v>12.545859114707284</v>
      </c>
      <c r="Q94" s="46">
        <f>1092.64781+142.561</f>
        <v>1235.2088099999999</v>
      </c>
      <c r="R94" s="16"/>
      <c r="S94" s="57">
        <f t="shared" si="140"/>
        <v>1235.2088099999999</v>
      </c>
      <c r="T94" s="57">
        <f>S94/$L94*100</f>
        <v>29.395735602094238</v>
      </c>
      <c r="U94" s="46">
        <f>2023.39761+165.636</f>
        <v>2189.03361</v>
      </c>
      <c r="V94" s="16"/>
      <c r="W94" s="57">
        <f t="shared" si="141"/>
        <v>2189.03361</v>
      </c>
      <c r="X94" s="57">
        <f>W94/$L94*100</f>
        <v>52.09504069490719</v>
      </c>
      <c r="Y94" s="46">
        <v>3494.8046399999998</v>
      </c>
      <c r="Z94" s="16"/>
      <c r="AA94" s="57">
        <f t="shared" si="142"/>
        <v>3494.8046399999998</v>
      </c>
      <c r="AB94" s="57">
        <f>AA94/$L94*100</f>
        <v>83.170029509757256</v>
      </c>
      <c r="AC94" s="354">
        <f t="shared" si="138"/>
        <v>707.19536000000016</v>
      </c>
      <c r="AD94" s="46">
        <f>1885+2316-200</f>
        <v>4001</v>
      </c>
      <c r="AE94" s="16"/>
      <c r="AF94" s="57">
        <f t="shared" si="143"/>
        <v>4001</v>
      </c>
      <c r="AG94" s="57">
        <f t="shared" si="134"/>
        <v>89.748766262898158</v>
      </c>
      <c r="AH94" s="46">
        <f>2444+2316</f>
        <v>4760</v>
      </c>
      <c r="AI94" s="466">
        <f t="shared" si="115"/>
        <v>1.1327939076630176</v>
      </c>
      <c r="AJ94" s="57"/>
      <c r="AK94" s="303" t="s">
        <v>275</v>
      </c>
      <c r="AL94" s="290" t="s">
        <v>195</v>
      </c>
    </row>
    <row r="95" spans="1:38" x14ac:dyDescent="0.2">
      <c r="A95" s="136"/>
      <c r="B95" s="29">
        <v>3745</v>
      </c>
      <c r="C95" s="29">
        <v>242</v>
      </c>
      <c r="D95" s="196" t="s">
        <v>238</v>
      </c>
      <c r="E95" s="46">
        <v>450</v>
      </c>
      <c r="F95" s="16"/>
      <c r="G95" s="57">
        <f t="shared" si="135"/>
        <v>450</v>
      </c>
      <c r="H95" s="178">
        <f>83.129-45</f>
        <v>38.129000000000005</v>
      </c>
      <c r="I95" s="177"/>
      <c r="J95" s="46">
        <f t="shared" si="136"/>
        <v>488.12900000000002</v>
      </c>
      <c r="K95" s="16"/>
      <c r="L95" s="57">
        <f t="shared" si="137"/>
        <v>488.12900000000002</v>
      </c>
      <c r="M95" s="46">
        <v>29</v>
      </c>
      <c r="N95" s="16"/>
      <c r="O95" s="57">
        <f t="shared" si="139"/>
        <v>29</v>
      </c>
      <c r="P95" s="57">
        <f>O95/$L95*100</f>
        <v>5.9410524676878449</v>
      </c>
      <c r="Q95" s="46">
        <v>79.099999999999994</v>
      </c>
      <c r="R95" s="16"/>
      <c r="S95" s="57">
        <f t="shared" si="140"/>
        <v>79.099999999999994</v>
      </c>
      <c r="T95" s="57">
        <f>S95/$L95*100</f>
        <v>16.204732765314088</v>
      </c>
      <c r="U95" s="46">
        <v>254.15674999999999</v>
      </c>
      <c r="V95" s="16"/>
      <c r="W95" s="57">
        <f t="shared" si="141"/>
        <v>254.15674999999999</v>
      </c>
      <c r="X95" s="57">
        <f>W95/$L95*100</f>
        <v>52.067537474724915</v>
      </c>
      <c r="Y95" s="46">
        <f>49.9+319.05075</f>
        <v>368.95074999999997</v>
      </c>
      <c r="Z95" s="16"/>
      <c r="AA95" s="57">
        <f t="shared" si="142"/>
        <v>368.95074999999997</v>
      </c>
      <c r="AB95" s="57">
        <f>AA95/$L95*100</f>
        <v>75.584681508371759</v>
      </c>
      <c r="AC95" s="354">
        <f t="shared" si="138"/>
        <v>119.17825000000005</v>
      </c>
      <c r="AD95" s="46">
        <v>405</v>
      </c>
      <c r="AE95" s="16"/>
      <c r="AF95" s="57">
        <f t="shared" si="143"/>
        <v>405</v>
      </c>
      <c r="AG95" s="57">
        <f t="shared" si="134"/>
        <v>90</v>
      </c>
      <c r="AH95" s="46">
        <v>450</v>
      </c>
      <c r="AI95" s="466">
        <f t="shared" si="115"/>
        <v>0.92188745188259658</v>
      </c>
      <c r="AJ95" s="57"/>
      <c r="AK95" s="303" t="s">
        <v>275</v>
      </c>
      <c r="AL95" s="290" t="s">
        <v>195</v>
      </c>
    </row>
    <row r="96" spans="1:38" x14ac:dyDescent="0.2">
      <c r="A96" s="136"/>
      <c r="B96" s="29">
        <v>3745</v>
      </c>
      <c r="C96" s="29">
        <v>246</v>
      </c>
      <c r="D96" s="196" t="s">
        <v>272</v>
      </c>
      <c r="E96" s="46">
        <f>650+140</f>
        <v>790</v>
      </c>
      <c r="F96" s="16"/>
      <c r="G96" s="57">
        <f t="shared" si="135"/>
        <v>790</v>
      </c>
      <c r="H96" s="182">
        <v>-79</v>
      </c>
      <c r="I96" s="177"/>
      <c r="J96" s="46">
        <f t="shared" si="136"/>
        <v>711</v>
      </c>
      <c r="K96" s="16">
        <f>F96+I96</f>
        <v>0</v>
      </c>
      <c r="L96" s="57">
        <f t="shared" si="137"/>
        <v>711</v>
      </c>
      <c r="M96" s="46">
        <v>369.53750000000002</v>
      </c>
      <c r="N96" s="16"/>
      <c r="O96" s="57">
        <f>M96+N96</f>
        <v>369.53750000000002</v>
      </c>
      <c r="P96" s="57">
        <f>O96/$L96*100</f>
        <v>51.97433192686357</v>
      </c>
      <c r="Q96" s="46">
        <v>543.98958000000005</v>
      </c>
      <c r="R96" s="16"/>
      <c r="S96" s="57">
        <f>Q96+R96</f>
        <v>543.98958000000005</v>
      </c>
      <c r="T96" s="57">
        <f>S96/$L96*100</f>
        <v>76.510489451476801</v>
      </c>
      <c r="U96" s="46">
        <v>543.98958000000005</v>
      </c>
      <c r="V96" s="16"/>
      <c r="W96" s="57">
        <f>U96+V96</f>
        <v>543.98958000000005</v>
      </c>
      <c r="X96" s="57">
        <f>W96/$L96*100</f>
        <v>76.510489451476801</v>
      </c>
      <c r="Y96" s="46">
        <v>659.59298000000001</v>
      </c>
      <c r="Z96" s="16"/>
      <c r="AA96" s="57">
        <f>Y96+Z96</f>
        <v>659.59298000000001</v>
      </c>
      <c r="AB96" s="57">
        <f>AA96/$L96*100</f>
        <v>92.769758087201126</v>
      </c>
      <c r="AC96" s="354">
        <f t="shared" si="138"/>
        <v>51.407019999999989</v>
      </c>
      <c r="AD96" s="46">
        <f>36+100+14+200</f>
        <v>350</v>
      </c>
      <c r="AE96" s="16"/>
      <c r="AF96" s="57">
        <f>AD96+AE96</f>
        <v>350</v>
      </c>
      <c r="AG96" s="57">
        <f t="shared" si="134"/>
        <v>44.303797468354425</v>
      </c>
      <c r="AH96" s="46">
        <v>711</v>
      </c>
      <c r="AI96" s="466">
        <f t="shared" si="115"/>
        <v>1</v>
      </c>
      <c r="AJ96" s="57"/>
      <c r="AK96" s="305" t="s">
        <v>326</v>
      </c>
      <c r="AL96" s="290" t="s">
        <v>117</v>
      </c>
    </row>
    <row r="97" spans="1:38" x14ac:dyDescent="0.2">
      <c r="A97" s="138"/>
      <c r="B97" s="35">
        <v>3745</v>
      </c>
      <c r="C97" s="35">
        <v>1544</v>
      </c>
      <c r="D97" s="374" t="s">
        <v>278</v>
      </c>
      <c r="E97" s="61"/>
      <c r="F97" s="64"/>
      <c r="G97" s="63">
        <f t="shared" si="135"/>
        <v>0</v>
      </c>
      <c r="H97" s="187"/>
      <c r="I97" s="184"/>
      <c r="J97" s="61">
        <f t="shared" si="136"/>
        <v>0</v>
      </c>
      <c r="K97" s="64"/>
      <c r="L97" s="63">
        <f t="shared" si="137"/>
        <v>0</v>
      </c>
      <c r="M97" s="61">
        <v>2.6599999999999999E-2</v>
      </c>
      <c r="N97" s="64"/>
      <c r="O97" s="63">
        <f>M97+N97</f>
        <v>2.6599999999999999E-2</v>
      </c>
      <c r="P97" s="417"/>
      <c r="Q97" s="61">
        <v>0.10442</v>
      </c>
      <c r="R97" s="64"/>
      <c r="S97" s="63">
        <f>Q97+R97</f>
        <v>0.10442</v>
      </c>
      <c r="T97" s="417"/>
      <c r="U97" s="61">
        <v>0.17957000000000001</v>
      </c>
      <c r="V97" s="64"/>
      <c r="W97" s="63">
        <f>U97+V97</f>
        <v>0.17957000000000001</v>
      </c>
      <c r="X97" s="63"/>
      <c r="Y97" s="61">
        <v>0.32057000000000002</v>
      </c>
      <c r="Z97" s="64"/>
      <c r="AA97" s="63">
        <f>Y97+Z97</f>
        <v>0.32057000000000002</v>
      </c>
      <c r="AB97" s="63"/>
      <c r="AC97" s="354">
        <f t="shared" si="138"/>
        <v>-0.32057000000000002</v>
      </c>
      <c r="AD97" s="61"/>
      <c r="AE97" s="64"/>
      <c r="AF97" s="63">
        <f>AD97+AE97</f>
        <v>0</v>
      </c>
      <c r="AG97" s="63"/>
      <c r="AH97" s="61"/>
      <c r="AI97" s="468" t="e">
        <f t="shared" si="115"/>
        <v>#DIV/0!</v>
      </c>
      <c r="AJ97" s="417"/>
      <c r="AK97" s="62"/>
      <c r="AL97" s="57"/>
    </row>
    <row r="98" spans="1:38" x14ac:dyDescent="0.2">
      <c r="A98" s="90">
        <v>43</v>
      </c>
      <c r="B98" s="32">
        <v>4300</v>
      </c>
      <c r="C98" s="32"/>
      <c r="D98" s="366" t="s">
        <v>80</v>
      </c>
      <c r="E98" s="55">
        <f t="shared" ref="E98:O98" si="144">SUM(E99:E103)</f>
        <v>9434</v>
      </c>
      <c r="F98" s="18">
        <f t="shared" si="144"/>
        <v>0</v>
      </c>
      <c r="G98" s="56">
        <f t="shared" si="144"/>
        <v>9434</v>
      </c>
      <c r="H98" s="185">
        <f t="shared" si="144"/>
        <v>8775.9380000000001</v>
      </c>
      <c r="I98" s="186">
        <f t="shared" si="144"/>
        <v>0</v>
      </c>
      <c r="J98" s="55">
        <f t="shared" si="144"/>
        <v>18209.938000000002</v>
      </c>
      <c r="K98" s="18">
        <f t="shared" si="144"/>
        <v>0</v>
      </c>
      <c r="L98" s="56">
        <f t="shared" si="144"/>
        <v>18209.938000000002</v>
      </c>
      <c r="M98" s="55">
        <f t="shared" si="144"/>
        <v>3261.0691400000001</v>
      </c>
      <c r="N98" s="18">
        <f t="shared" si="144"/>
        <v>0</v>
      </c>
      <c r="O98" s="56">
        <f t="shared" si="144"/>
        <v>3261.0691400000001</v>
      </c>
      <c r="P98" s="56">
        <f t="shared" si="133"/>
        <v>17.90818365224527</v>
      </c>
      <c r="Q98" s="55">
        <f>SUM(Q99:Q103)</f>
        <v>10565.223120000001</v>
      </c>
      <c r="R98" s="18">
        <f>SUM(R99:R103)</f>
        <v>0</v>
      </c>
      <c r="S98" s="56">
        <f>SUM(S99:S103)</f>
        <v>10565.223120000001</v>
      </c>
      <c r="T98" s="56">
        <f t="shared" ref="T98:T108" si="145">S98/$L98*100</f>
        <v>58.018995561654293</v>
      </c>
      <c r="U98" s="55">
        <f>SUM(U99:U103)</f>
        <v>14973.920689999999</v>
      </c>
      <c r="V98" s="18">
        <f>SUM(V99:V103)</f>
        <v>0</v>
      </c>
      <c r="W98" s="56">
        <f>SUM(W99:W103)</f>
        <v>14973.920689999999</v>
      </c>
      <c r="X98" s="56">
        <f t="shared" ref="X98:X106" si="146">W98/$L98*100</f>
        <v>82.229388644815799</v>
      </c>
      <c r="Y98" s="55">
        <f>SUM(Y99:Y103)</f>
        <v>17506.80486</v>
      </c>
      <c r="Z98" s="18">
        <f>SUM(Z99:Z103)</f>
        <v>0</v>
      </c>
      <c r="AA98" s="56">
        <f>SUM(AA99:AA103)</f>
        <v>17506.80486</v>
      </c>
      <c r="AB98" s="56">
        <f t="shared" ref="AB98:AB106" si="147">AA98/$L98*100</f>
        <v>96.13873951685062</v>
      </c>
      <c r="AC98" s="355">
        <f>SUM(AC99:AC103)</f>
        <v>703.13313999999968</v>
      </c>
      <c r="AD98" s="55">
        <f>SUM(AD99:AD103)</f>
        <v>9465</v>
      </c>
      <c r="AE98" s="18">
        <f>SUM(AE99:AE103)</f>
        <v>0</v>
      </c>
      <c r="AF98" s="56">
        <f>SUM(AF99:AF103)</f>
        <v>9465</v>
      </c>
      <c r="AG98" s="56">
        <f t="shared" ref="AG98:AG105" si="148">AF98/$G98*100</f>
        <v>100.32859868560526</v>
      </c>
      <c r="AH98" s="55">
        <f>SUM(AH99:AH103)</f>
        <v>9599</v>
      </c>
      <c r="AI98" s="469">
        <f t="shared" si="115"/>
        <v>0.52712974640550669</v>
      </c>
      <c r="AJ98" s="56"/>
      <c r="AK98" s="58"/>
      <c r="AL98" s="295"/>
    </row>
    <row r="99" spans="1:38" x14ac:dyDescent="0.2">
      <c r="A99" s="136"/>
      <c r="B99" s="29">
        <v>4349</v>
      </c>
      <c r="C99" s="445">
        <v>225</v>
      </c>
      <c r="D99" s="375" t="s">
        <v>352</v>
      </c>
      <c r="E99" s="46">
        <v>1967</v>
      </c>
      <c r="F99" s="16"/>
      <c r="G99" s="57">
        <f>E99+F99</f>
        <v>1967</v>
      </c>
      <c r="H99" s="338"/>
      <c r="I99" s="177"/>
      <c r="J99" s="46">
        <f>E99+H99</f>
        <v>1967</v>
      </c>
      <c r="K99" s="16"/>
      <c r="L99" s="57">
        <f>SUM(J99:K99)</f>
        <v>1967</v>
      </c>
      <c r="M99" s="46"/>
      <c r="N99" s="16"/>
      <c r="O99" s="57">
        <f>M99+N99</f>
        <v>0</v>
      </c>
      <c r="P99" s="57"/>
      <c r="Q99" s="46">
        <v>90.4</v>
      </c>
      <c r="R99" s="16"/>
      <c r="S99" s="57">
        <f>Q99+R99</f>
        <v>90.4</v>
      </c>
      <c r="T99" s="57">
        <f t="shared" si="145"/>
        <v>4.5958312150482978</v>
      </c>
      <c r="U99" s="46">
        <v>1397.1410000000001</v>
      </c>
      <c r="V99" s="16"/>
      <c r="W99" s="57">
        <f t="shared" ref="W99:W103" si="149">U99+V99</f>
        <v>1397.1410000000001</v>
      </c>
      <c r="X99" s="57">
        <f t="shared" si="146"/>
        <v>71.029028978139294</v>
      </c>
      <c r="Y99" s="46">
        <v>1501.9369999999999</v>
      </c>
      <c r="Z99" s="16"/>
      <c r="AA99" s="57">
        <f t="shared" ref="AA99:AA103" si="150">Y99+Z99</f>
        <v>1501.9369999999999</v>
      </c>
      <c r="AB99" s="57"/>
      <c r="AC99" s="354">
        <f t="shared" ref="AC99:AC103" si="151">L99-AA99</f>
        <v>465.0630000000001</v>
      </c>
      <c r="AD99" s="46">
        <v>1970</v>
      </c>
      <c r="AE99" s="16"/>
      <c r="AF99" s="57">
        <f t="shared" ref="AF99:AF102" si="152">AD99+AE99</f>
        <v>1970</v>
      </c>
      <c r="AG99" s="57">
        <f t="shared" si="148"/>
        <v>100.15251652262329</v>
      </c>
      <c r="AH99" s="46">
        <v>1967</v>
      </c>
      <c r="AI99" s="466">
        <f t="shared" si="115"/>
        <v>1</v>
      </c>
      <c r="AJ99" s="57" t="s">
        <v>476</v>
      </c>
      <c r="AK99" s="62" t="s">
        <v>273</v>
      </c>
      <c r="AL99" s="57" t="s">
        <v>288</v>
      </c>
    </row>
    <row r="100" spans="1:38" x14ac:dyDescent="0.2">
      <c r="A100" s="136"/>
      <c r="B100" s="29">
        <v>4349</v>
      </c>
      <c r="C100" s="29">
        <v>228</v>
      </c>
      <c r="D100" s="196" t="s">
        <v>203</v>
      </c>
      <c r="E100" s="46">
        <v>58</v>
      </c>
      <c r="F100" s="16"/>
      <c r="G100" s="57">
        <f>E100+F100</f>
        <v>58</v>
      </c>
      <c r="H100" s="338">
        <v>-6</v>
      </c>
      <c r="I100" s="177"/>
      <c r="J100" s="46">
        <f>E100+H100</f>
        <v>52</v>
      </c>
      <c r="K100" s="16"/>
      <c r="L100" s="57">
        <f>SUM(J100:K100)</f>
        <v>52</v>
      </c>
      <c r="M100" s="46">
        <v>1.603</v>
      </c>
      <c r="N100" s="16"/>
      <c r="O100" s="57">
        <f>M100+N100</f>
        <v>1.603</v>
      </c>
      <c r="P100" s="57">
        <f>O100/$L100*100</f>
        <v>3.0826923076923078</v>
      </c>
      <c r="Q100" s="46">
        <v>1.603</v>
      </c>
      <c r="R100" s="16"/>
      <c r="S100" s="57">
        <f>Q100+R100</f>
        <v>1.603</v>
      </c>
      <c r="T100" s="57">
        <f t="shared" si="145"/>
        <v>3.0826923076923078</v>
      </c>
      <c r="U100" s="46">
        <v>9.5410000000000004</v>
      </c>
      <c r="V100" s="16"/>
      <c r="W100" s="57">
        <f t="shared" si="149"/>
        <v>9.5410000000000004</v>
      </c>
      <c r="X100" s="57">
        <f t="shared" si="146"/>
        <v>18.348076923076924</v>
      </c>
      <c r="Y100" s="46">
        <v>32.0867</v>
      </c>
      <c r="Z100" s="16"/>
      <c r="AA100" s="57">
        <f t="shared" si="150"/>
        <v>32.0867</v>
      </c>
      <c r="AB100" s="57">
        <f>AA100/$L100*100</f>
        <v>61.705192307692315</v>
      </c>
      <c r="AC100" s="354">
        <f t="shared" si="151"/>
        <v>19.9133</v>
      </c>
      <c r="AD100" s="46">
        <v>44</v>
      </c>
      <c r="AE100" s="16"/>
      <c r="AF100" s="57">
        <f t="shared" si="152"/>
        <v>44</v>
      </c>
      <c r="AG100" s="57">
        <f t="shared" si="148"/>
        <v>75.862068965517238</v>
      </c>
      <c r="AH100" s="46">
        <v>44</v>
      </c>
      <c r="AI100" s="466">
        <f t="shared" si="115"/>
        <v>0.84615384615384615</v>
      </c>
      <c r="AJ100" s="57"/>
      <c r="AK100" s="62" t="s">
        <v>273</v>
      </c>
      <c r="AL100" s="57" t="s">
        <v>288</v>
      </c>
    </row>
    <row r="101" spans="1:38" x14ac:dyDescent="0.2">
      <c r="A101" s="136"/>
      <c r="B101" s="29">
        <v>4349</v>
      </c>
      <c r="C101" s="29">
        <v>254</v>
      </c>
      <c r="D101" s="196" t="s">
        <v>371</v>
      </c>
      <c r="E101" s="46">
        <v>100</v>
      </c>
      <c r="F101" s="16"/>
      <c r="G101" s="57">
        <f>E101+F101</f>
        <v>100</v>
      </c>
      <c r="H101" s="338"/>
      <c r="I101" s="177"/>
      <c r="J101" s="46">
        <f>E101+H101</f>
        <v>100</v>
      </c>
      <c r="K101" s="16"/>
      <c r="L101" s="57">
        <f>SUM(J101:K101)</f>
        <v>100</v>
      </c>
      <c r="M101" s="46"/>
      <c r="N101" s="16"/>
      <c r="O101" s="57">
        <f>M101+N101</f>
        <v>0</v>
      </c>
      <c r="P101" s="57"/>
      <c r="Q101" s="46">
        <v>100</v>
      </c>
      <c r="R101" s="16"/>
      <c r="S101" s="57">
        <f>Q101+R101</f>
        <v>100</v>
      </c>
      <c r="T101" s="57">
        <f t="shared" si="145"/>
        <v>100</v>
      </c>
      <c r="U101" s="46">
        <v>100</v>
      </c>
      <c r="V101" s="16"/>
      <c r="W101" s="57">
        <f t="shared" si="149"/>
        <v>100</v>
      </c>
      <c r="X101" s="57">
        <f t="shared" si="146"/>
        <v>100</v>
      </c>
      <c r="Y101" s="46">
        <v>100</v>
      </c>
      <c r="Z101" s="16"/>
      <c r="AA101" s="57">
        <f t="shared" si="150"/>
        <v>100</v>
      </c>
      <c r="AB101" s="57"/>
      <c r="AC101" s="354">
        <f t="shared" si="151"/>
        <v>0</v>
      </c>
      <c r="AD101" s="46">
        <v>100</v>
      </c>
      <c r="AE101" s="16"/>
      <c r="AF101" s="57">
        <f t="shared" si="152"/>
        <v>100</v>
      </c>
      <c r="AG101" s="57">
        <f t="shared" si="148"/>
        <v>100</v>
      </c>
      <c r="AH101" s="46">
        <v>100</v>
      </c>
      <c r="AI101" s="466">
        <f t="shared" si="115"/>
        <v>1</v>
      </c>
      <c r="AJ101" s="57" t="s">
        <v>385</v>
      </c>
      <c r="AK101" s="62" t="s">
        <v>273</v>
      </c>
      <c r="AL101" s="57" t="s">
        <v>288</v>
      </c>
    </row>
    <row r="102" spans="1:38" x14ac:dyDescent="0.2">
      <c r="A102" s="136"/>
      <c r="B102" s="29">
        <v>4351</v>
      </c>
      <c r="C102" s="29">
        <v>227</v>
      </c>
      <c r="D102" s="196" t="s">
        <v>39</v>
      </c>
      <c r="E102" s="46">
        <f>574+5447</f>
        <v>6021</v>
      </c>
      <c r="F102" s="16"/>
      <c r="G102" s="57">
        <f t="shared" ref="G102:G103" si="153">E102+F102</f>
        <v>6021</v>
      </c>
      <c r="H102" s="338">
        <f>233.428-166+37</f>
        <v>104.428</v>
      </c>
      <c r="I102" s="177"/>
      <c r="J102" s="46">
        <f t="shared" ref="J102" si="154">E102+H102</f>
        <v>6125.4279999999999</v>
      </c>
      <c r="K102" s="16">
        <f t="shared" ref="J102:K103" si="155">F102+I102</f>
        <v>0</v>
      </c>
      <c r="L102" s="57">
        <f t="shared" ref="L102:L103" si="156">SUM(J102:K102)</f>
        <v>6125.4279999999999</v>
      </c>
      <c r="M102" s="46">
        <f>946.44714+443.115</f>
        <v>1389.56214</v>
      </c>
      <c r="N102" s="16"/>
      <c r="O102" s="57">
        <f t="shared" ref="O102" si="157">M102+N102</f>
        <v>1389.56214</v>
      </c>
      <c r="P102" s="57">
        <f>O102/$L102*100</f>
        <v>22.685143634044838</v>
      </c>
      <c r="Q102" s="46">
        <f>2180.53012+350.35</f>
        <v>2530.8801199999998</v>
      </c>
      <c r="R102" s="16"/>
      <c r="S102" s="57">
        <f t="shared" ref="S102" si="158">Q102+R102</f>
        <v>2530.8801199999998</v>
      </c>
      <c r="T102" s="57">
        <f t="shared" si="145"/>
        <v>41.317604582079817</v>
      </c>
      <c r="U102" s="46">
        <f>3661.29169+392.607</f>
        <v>4053.89869</v>
      </c>
      <c r="V102" s="16"/>
      <c r="W102" s="57">
        <f t="shared" si="149"/>
        <v>4053.89869</v>
      </c>
      <c r="X102" s="57">
        <f t="shared" si="146"/>
        <v>66.181476461726433</v>
      </c>
      <c r="Y102" s="46">
        <v>5907.2711600000002</v>
      </c>
      <c r="Z102" s="16"/>
      <c r="AA102" s="57">
        <f t="shared" si="150"/>
        <v>5907.2711600000002</v>
      </c>
      <c r="AB102" s="57">
        <f t="shared" si="147"/>
        <v>96.438504542049969</v>
      </c>
      <c r="AC102" s="354">
        <f t="shared" si="151"/>
        <v>218.15683999999965</v>
      </c>
      <c r="AD102" s="46">
        <f>594+5447</f>
        <v>6041</v>
      </c>
      <c r="AE102" s="16"/>
      <c r="AF102" s="57">
        <f t="shared" si="152"/>
        <v>6041</v>
      </c>
      <c r="AG102" s="57">
        <f t="shared" si="148"/>
        <v>100.33217073575817</v>
      </c>
      <c r="AH102" s="46">
        <v>6205</v>
      </c>
      <c r="AI102" s="466">
        <f t="shared" si="115"/>
        <v>1.0129904391986977</v>
      </c>
      <c r="AJ102" s="57"/>
      <c r="AK102" s="307" t="s">
        <v>387</v>
      </c>
      <c r="AL102" s="179" t="s">
        <v>386</v>
      </c>
    </row>
    <row r="103" spans="1:38" x14ac:dyDescent="0.2">
      <c r="A103" s="136"/>
      <c r="B103" s="29">
        <v>4355</v>
      </c>
      <c r="C103" s="29">
        <v>307</v>
      </c>
      <c r="D103" s="196" t="s">
        <v>239</v>
      </c>
      <c r="E103" s="46">
        <f>382+906</f>
        <v>1288</v>
      </c>
      <c r="F103" s="16"/>
      <c r="G103" s="57">
        <f t="shared" si="153"/>
        <v>1288</v>
      </c>
      <c r="H103" s="338">
        <f>1774.404+2827.8+1885.2+1182.936-38+579+317+36.17+113</f>
        <v>8677.51</v>
      </c>
      <c r="I103" s="177"/>
      <c r="J103" s="46">
        <f t="shared" si="155"/>
        <v>9965.51</v>
      </c>
      <c r="K103" s="16">
        <f t="shared" si="155"/>
        <v>0</v>
      </c>
      <c r="L103" s="57">
        <f t="shared" si="156"/>
        <v>9965.51</v>
      </c>
      <c r="M103" s="46">
        <f>95.5+1774.404</f>
        <v>1869.904</v>
      </c>
      <c r="N103" s="16"/>
      <c r="O103" s="57">
        <f>M103+N103</f>
        <v>1869.904</v>
      </c>
      <c r="P103" s="57">
        <f>O103/$L103*100</f>
        <v>18.763756195116958</v>
      </c>
      <c r="Q103" s="46">
        <f>172+7670.34</f>
        <v>7842.34</v>
      </c>
      <c r="R103" s="16"/>
      <c r="S103" s="57">
        <f>Q103+R103</f>
        <v>7842.34</v>
      </c>
      <c r="T103" s="57">
        <f t="shared" si="145"/>
        <v>78.694818428760797</v>
      </c>
      <c r="U103" s="46">
        <v>9413.34</v>
      </c>
      <c r="V103" s="16"/>
      <c r="W103" s="57">
        <f t="shared" si="149"/>
        <v>9413.34</v>
      </c>
      <c r="X103" s="57">
        <f t="shared" si="146"/>
        <v>94.459189745431999</v>
      </c>
      <c r="Y103" s="46">
        <f>1250+8715.51</f>
        <v>9965.51</v>
      </c>
      <c r="Z103" s="16"/>
      <c r="AA103" s="57">
        <f t="shared" si="150"/>
        <v>9965.51</v>
      </c>
      <c r="AB103" s="57">
        <f t="shared" si="147"/>
        <v>100</v>
      </c>
      <c r="AC103" s="354">
        <f t="shared" si="151"/>
        <v>0</v>
      </c>
      <c r="AD103" s="46">
        <f>377+933</f>
        <v>1310</v>
      </c>
      <c r="AE103" s="16"/>
      <c r="AF103" s="57">
        <f>AD103+AE103</f>
        <v>1310</v>
      </c>
      <c r="AG103" s="57">
        <f t="shared" si="148"/>
        <v>101.70807453416148</v>
      </c>
      <c r="AH103" s="46">
        <f>377+906</f>
        <v>1283</v>
      </c>
      <c r="AI103" s="466">
        <f t="shared" si="115"/>
        <v>0.12874403818770941</v>
      </c>
      <c r="AJ103" s="57"/>
      <c r="AK103" s="302" t="s">
        <v>197</v>
      </c>
      <c r="AL103" s="289" t="s">
        <v>71</v>
      </c>
    </row>
    <row r="104" spans="1:38" x14ac:dyDescent="0.2">
      <c r="A104" s="137">
        <v>53</v>
      </c>
      <c r="B104" s="24">
        <v>5300</v>
      </c>
      <c r="C104" s="24"/>
      <c r="D104" s="373" t="s">
        <v>104</v>
      </c>
      <c r="E104" s="58">
        <f>SUM(E105:E108)</f>
        <v>3128</v>
      </c>
      <c r="F104" s="59">
        <f>SUM(F105:F108)</f>
        <v>350</v>
      </c>
      <c r="G104" s="60">
        <f>SUM(G105:G108)</f>
        <v>3478</v>
      </c>
      <c r="H104" s="183">
        <f t="shared" ref="H104:O104" si="159">SUM(H105:H108)</f>
        <v>4295.2371699999994</v>
      </c>
      <c r="I104" s="181">
        <f t="shared" si="159"/>
        <v>-74.135999999999996</v>
      </c>
      <c r="J104" s="58">
        <f t="shared" si="159"/>
        <v>7423.2371699999994</v>
      </c>
      <c r="K104" s="59">
        <f t="shared" si="159"/>
        <v>275.86400000000003</v>
      </c>
      <c r="L104" s="60">
        <f t="shared" si="159"/>
        <v>7699.1011699999999</v>
      </c>
      <c r="M104" s="58">
        <f t="shared" si="159"/>
        <v>738.99619000000007</v>
      </c>
      <c r="N104" s="59">
        <f t="shared" si="159"/>
        <v>0</v>
      </c>
      <c r="O104" s="60">
        <f t="shared" si="159"/>
        <v>738.99619000000007</v>
      </c>
      <c r="P104" s="60">
        <f t="shared" si="133"/>
        <v>9.5984735579205296</v>
      </c>
      <c r="Q104" s="58">
        <f t="shared" ref="Q104:S104" si="160">SUM(Q105:Q108)</f>
        <v>3084.3252199999997</v>
      </c>
      <c r="R104" s="59">
        <f t="shared" si="160"/>
        <v>0</v>
      </c>
      <c r="S104" s="60">
        <f t="shared" si="160"/>
        <v>3084.3252199999997</v>
      </c>
      <c r="T104" s="60">
        <f t="shared" si="145"/>
        <v>40.060848037927521</v>
      </c>
      <c r="U104" s="58">
        <f t="shared" ref="U104:W104" si="161">SUM(U105:U108)</f>
        <v>4460.8950699999987</v>
      </c>
      <c r="V104" s="59">
        <f t="shared" si="161"/>
        <v>0</v>
      </c>
      <c r="W104" s="60">
        <f t="shared" si="161"/>
        <v>4460.8950699999987</v>
      </c>
      <c r="X104" s="60">
        <f t="shared" si="146"/>
        <v>57.940465666072015</v>
      </c>
      <c r="Y104" s="58">
        <f t="shared" ref="Y104:AA104" si="162">SUM(Y105:Y108)</f>
        <v>5490.5787399999999</v>
      </c>
      <c r="Z104" s="59">
        <f t="shared" si="162"/>
        <v>215.864</v>
      </c>
      <c r="AA104" s="60">
        <f t="shared" si="162"/>
        <v>5706.4427400000004</v>
      </c>
      <c r="AB104" s="60">
        <f t="shared" si="147"/>
        <v>74.1182978895704</v>
      </c>
      <c r="AC104" s="355">
        <f>SUM(AC105:AC108)</f>
        <v>1992.65843</v>
      </c>
      <c r="AD104" s="58">
        <f t="shared" ref="AD104:AF104" si="163">SUM(AD105:AD108)</f>
        <v>4687</v>
      </c>
      <c r="AE104" s="59">
        <f t="shared" si="163"/>
        <v>0</v>
      </c>
      <c r="AF104" s="60">
        <f t="shared" si="163"/>
        <v>4687</v>
      </c>
      <c r="AG104" s="60">
        <f t="shared" si="148"/>
        <v>134.76135710178264</v>
      </c>
      <c r="AH104" s="58">
        <f t="shared" ref="AH104" si="164">SUM(AH105:AH108)</f>
        <v>2899</v>
      </c>
      <c r="AI104" s="467">
        <f t="shared" si="115"/>
        <v>0.37653746015133871</v>
      </c>
      <c r="AJ104" s="60"/>
      <c r="AK104" s="58"/>
      <c r="AL104" s="74"/>
    </row>
    <row r="105" spans="1:38" x14ac:dyDescent="0.2">
      <c r="A105" s="90"/>
      <c r="B105" s="29">
        <v>5213</v>
      </c>
      <c r="C105" s="33">
        <v>320</v>
      </c>
      <c r="D105" s="196" t="s">
        <v>140</v>
      </c>
      <c r="E105" s="46">
        <v>238</v>
      </c>
      <c r="F105" s="16"/>
      <c r="G105" s="57">
        <f>E105+F105</f>
        <v>238</v>
      </c>
      <c r="H105" s="178">
        <f>2000+50+42.06</f>
        <v>2092.06</v>
      </c>
      <c r="I105" s="186"/>
      <c r="J105" s="46">
        <f t="shared" ref="J105:K108" si="165">E105+H105</f>
        <v>2330.06</v>
      </c>
      <c r="K105" s="16">
        <f t="shared" si="165"/>
        <v>0</v>
      </c>
      <c r="L105" s="57">
        <f>SUM(J105:K105)</f>
        <v>2330.06</v>
      </c>
      <c r="M105" s="46">
        <f>69.66808+27.67602</f>
        <v>97.344099999999997</v>
      </c>
      <c r="N105" s="16"/>
      <c r="O105" s="57">
        <f>M105+N105</f>
        <v>97.344099999999997</v>
      </c>
      <c r="P105" s="57">
        <f>O105/$L105*100</f>
        <v>4.1777507875333679</v>
      </c>
      <c r="Q105" s="46">
        <f>1604.66515+29.947</f>
        <v>1634.6121499999999</v>
      </c>
      <c r="R105" s="16"/>
      <c r="S105" s="57">
        <f>Q105+R105</f>
        <v>1634.6121499999999</v>
      </c>
      <c r="T105" s="57">
        <f t="shared" si="145"/>
        <v>70.153221376273564</v>
      </c>
      <c r="U105" s="46">
        <f>1681.52701+29.947</f>
        <v>1711.4740099999999</v>
      </c>
      <c r="V105" s="16"/>
      <c r="W105" s="57">
        <f>U105+V105</f>
        <v>1711.4740099999999</v>
      </c>
      <c r="X105" s="57">
        <f t="shared" si="146"/>
        <v>73.451928705698563</v>
      </c>
      <c r="Y105" s="46">
        <f>1732.43501+50.78992+5</f>
        <v>1788.2249299999999</v>
      </c>
      <c r="Z105" s="16"/>
      <c r="AA105" s="57">
        <f>Y105+Z105</f>
        <v>1788.2249299999999</v>
      </c>
      <c r="AB105" s="57">
        <f t="shared" si="147"/>
        <v>76.745874784340316</v>
      </c>
      <c r="AC105" s="354">
        <f t="shared" ref="AC105:AC108" si="166">L105-AA105</f>
        <v>541.83507000000009</v>
      </c>
      <c r="AD105" s="46">
        <f>138+100+688</f>
        <v>926</v>
      </c>
      <c r="AE105" s="16"/>
      <c r="AF105" s="57">
        <f>AD105+AE105</f>
        <v>926</v>
      </c>
      <c r="AG105" s="57">
        <f t="shared" si="148"/>
        <v>389.07563025210084</v>
      </c>
      <c r="AH105" s="46">
        <f>138+100</f>
        <v>238</v>
      </c>
      <c r="AI105" s="466">
        <f t="shared" si="115"/>
        <v>0.10214329244740479</v>
      </c>
      <c r="AJ105" s="57"/>
      <c r="AK105" s="443" t="s">
        <v>374</v>
      </c>
      <c r="AL105" s="291" t="s">
        <v>341</v>
      </c>
    </row>
    <row r="106" spans="1:38" s="449" customFormat="1" x14ac:dyDescent="0.2">
      <c r="A106" s="90"/>
      <c r="B106" s="29">
        <v>5269</v>
      </c>
      <c r="C106" s="33">
        <v>2020</v>
      </c>
      <c r="D106" s="196" t="s">
        <v>448</v>
      </c>
      <c r="E106" s="46"/>
      <c r="F106" s="16"/>
      <c r="G106" s="57"/>
      <c r="H106" s="178">
        <v>2000</v>
      </c>
      <c r="I106" s="186"/>
      <c r="J106" s="46">
        <f t="shared" ref="J106" si="167">E106+H106</f>
        <v>2000</v>
      </c>
      <c r="K106" s="16">
        <f t="shared" ref="K106" si="168">F106+I106</f>
        <v>0</v>
      </c>
      <c r="L106" s="57">
        <f>SUM(J106:K106)</f>
        <v>2000</v>
      </c>
      <c r="M106" s="46"/>
      <c r="N106" s="16"/>
      <c r="O106" s="57"/>
      <c r="P106" s="57"/>
      <c r="Q106" s="46">
        <v>323.53300000000002</v>
      </c>
      <c r="R106" s="16"/>
      <c r="S106" s="57">
        <f>Q106+R106</f>
        <v>323.53300000000002</v>
      </c>
      <c r="T106" s="57">
        <f t="shared" si="145"/>
        <v>16.176650000000002</v>
      </c>
      <c r="U106" s="46">
        <v>1004.1892</v>
      </c>
      <c r="V106" s="16"/>
      <c r="W106" s="57">
        <f>U106+V106</f>
        <v>1004.1892</v>
      </c>
      <c r="X106" s="57">
        <f t="shared" si="146"/>
        <v>50.209460000000007</v>
      </c>
      <c r="Y106" s="46">
        <v>1004.1892</v>
      </c>
      <c r="Z106" s="16"/>
      <c r="AA106" s="57">
        <f>Y106+Z106</f>
        <v>1004.1892</v>
      </c>
      <c r="AB106" s="57">
        <f t="shared" si="147"/>
        <v>50.209460000000007</v>
      </c>
      <c r="AC106" s="354">
        <f t="shared" si="166"/>
        <v>995.81079999999997</v>
      </c>
      <c r="AD106" s="46">
        <v>1000</v>
      </c>
      <c r="AE106" s="16"/>
      <c r="AF106" s="57">
        <f>AD106+AE106</f>
        <v>1000</v>
      </c>
      <c r="AG106" s="57"/>
      <c r="AH106" s="46">
        <v>0</v>
      </c>
      <c r="AI106" s="466">
        <f t="shared" si="115"/>
        <v>0</v>
      </c>
      <c r="AJ106" s="57"/>
      <c r="AK106" s="443"/>
      <c r="AL106" s="291"/>
    </row>
    <row r="107" spans="1:38" ht="13.5" customHeight="1" x14ac:dyDescent="0.2">
      <c r="A107" s="136"/>
      <c r="B107" s="29">
        <v>5311</v>
      </c>
      <c r="C107" s="29">
        <v>321</v>
      </c>
      <c r="D107" s="196" t="s">
        <v>81</v>
      </c>
      <c r="E107" s="46">
        <f>448+2011</f>
        <v>2459</v>
      </c>
      <c r="F107" s="16">
        <v>200</v>
      </c>
      <c r="G107" s="57">
        <f>E107+F107</f>
        <v>2659</v>
      </c>
      <c r="H107" s="182">
        <f>-85+140</f>
        <v>55</v>
      </c>
      <c r="I107" s="177">
        <v>-140</v>
      </c>
      <c r="J107" s="46">
        <f t="shared" si="165"/>
        <v>2514</v>
      </c>
      <c r="K107" s="16">
        <f t="shared" si="165"/>
        <v>60</v>
      </c>
      <c r="L107" s="57">
        <f>SUM(J107:K107)</f>
        <v>2574</v>
      </c>
      <c r="M107" s="46">
        <f>413.8213+161.191</f>
        <v>575.01229999999998</v>
      </c>
      <c r="N107" s="16"/>
      <c r="O107" s="57">
        <f>M107+N107</f>
        <v>575.01229999999998</v>
      </c>
      <c r="P107" s="57">
        <f t="shared" si="133"/>
        <v>22.339250194250194</v>
      </c>
      <c r="Q107" s="46">
        <f>905.89707+127.882</f>
        <v>1033.77907</v>
      </c>
      <c r="R107" s="16"/>
      <c r="S107" s="57">
        <f>Q107+R107</f>
        <v>1033.77907</v>
      </c>
      <c r="T107" s="57">
        <f t="shared" si="145"/>
        <v>40.162357031857034</v>
      </c>
      <c r="U107" s="46">
        <f>1425.48553+134.1</f>
        <v>1559.5855299999998</v>
      </c>
      <c r="V107" s="16"/>
      <c r="W107" s="57">
        <f>U107+V107</f>
        <v>1559.5855299999998</v>
      </c>
      <c r="X107" s="57">
        <f t="shared" ref="X107:X125" si="169">W107/$L107*100</f>
        <v>60.589958430458424</v>
      </c>
      <c r="Y107" s="46">
        <v>2151.3232600000001</v>
      </c>
      <c r="Z107" s="16"/>
      <c r="AA107" s="57">
        <f>Y107+Z107</f>
        <v>2151.3232600000001</v>
      </c>
      <c r="AB107" s="57">
        <f t="shared" ref="AB107:AB125" si="170">AA107/$L107*100</f>
        <v>83.578992229992238</v>
      </c>
      <c r="AC107" s="354">
        <f t="shared" si="166"/>
        <v>422.67673999999988</v>
      </c>
      <c r="AD107" s="46">
        <f>353+1970</f>
        <v>2323</v>
      </c>
      <c r="AE107" s="16"/>
      <c r="AF107" s="57">
        <f>AD107+AE107</f>
        <v>2323</v>
      </c>
      <c r="AG107" s="57">
        <f t="shared" ref="AG107:AG114" si="171">AF107/$G107*100</f>
        <v>87.363670552839409</v>
      </c>
      <c r="AH107" s="46">
        <f>353+1970</f>
        <v>2323</v>
      </c>
      <c r="AI107" s="466">
        <f t="shared" si="115"/>
        <v>0.90248640248640244</v>
      </c>
      <c r="AJ107" s="57"/>
      <c r="AK107" s="308" t="s">
        <v>156</v>
      </c>
      <c r="AL107" s="291" t="s">
        <v>281</v>
      </c>
    </row>
    <row r="108" spans="1:38" x14ac:dyDescent="0.2">
      <c r="A108" s="136"/>
      <c r="B108" s="29">
        <v>5512</v>
      </c>
      <c r="C108" s="29">
        <v>223</v>
      </c>
      <c r="D108" s="196" t="s">
        <v>189</v>
      </c>
      <c r="E108" s="46">
        <f>381+50</f>
        <v>431</v>
      </c>
      <c r="F108" s="16">
        <v>150</v>
      </c>
      <c r="G108" s="57">
        <f>E108+F108</f>
        <v>581</v>
      </c>
      <c r="H108" s="338">
        <f>150-43+30.47817+42.963-32.264</f>
        <v>148.17716999999999</v>
      </c>
      <c r="I108" s="401">
        <f>33.6+32.264</f>
        <v>65.864000000000004</v>
      </c>
      <c r="J108" s="46">
        <f t="shared" si="165"/>
        <v>579.17716999999993</v>
      </c>
      <c r="K108" s="16">
        <f t="shared" si="165"/>
        <v>215.864</v>
      </c>
      <c r="L108" s="57">
        <f>SUM(J108:K108)</f>
        <v>795.04116999999997</v>
      </c>
      <c r="M108" s="46">
        <v>66.639790000000005</v>
      </c>
      <c r="N108" s="16"/>
      <c r="O108" s="57">
        <f>M108+N108</f>
        <v>66.639790000000005</v>
      </c>
      <c r="P108" s="57">
        <f t="shared" si="133"/>
        <v>8.3819294540432416</v>
      </c>
      <c r="Q108" s="46">
        <v>92.400999999999996</v>
      </c>
      <c r="R108" s="16"/>
      <c r="S108" s="57">
        <f>Q108+R108</f>
        <v>92.400999999999996</v>
      </c>
      <c r="T108" s="57">
        <f t="shared" si="145"/>
        <v>11.622165428238137</v>
      </c>
      <c r="U108" s="46">
        <f>175.64633+10</f>
        <v>185.64633000000001</v>
      </c>
      <c r="V108" s="16"/>
      <c r="W108" s="57">
        <f>U108+V108</f>
        <v>185.64633000000001</v>
      </c>
      <c r="X108" s="57">
        <f t="shared" si="169"/>
        <v>23.350530388256498</v>
      </c>
      <c r="Y108" s="46">
        <f>762.70535-Z108</f>
        <v>546.84134999999992</v>
      </c>
      <c r="Z108" s="16">
        <v>215.864</v>
      </c>
      <c r="AA108" s="57">
        <f>Y108+Z108</f>
        <v>762.70534999999995</v>
      </c>
      <c r="AB108" s="57">
        <f t="shared" si="170"/>
        <v>95.93281188193059</v>
      </c>
      <c r="AC108" s="354">
        <f t="shared" si="166"/>
        <v>32.335820000000012</v>
      </c>
      <c r="AD108" s="46">
        <f>338+50+50</f>
        <v>438</v>
      </c>
      <c r="AE108" s="16"/>
      <c r="AF108" s="57">
        <f>AD108+AE108</f>
        <v>438</v>
      </c>
      <c r="AG108" s="57">
        <f t="shared" si="171"/>
        <v>75.387263339070572</v>
      </c>
      <c r="AH108" s="46">
        <v>338</v>
      </c>
      <c r="AI108" s="466">
        <f t="shared" si="115"/>
        <v>0.42513521658255765</v>
      </c>
      <c r="AJ108" s="57"/>
      <c r="AK108" s="65" t="s">
        <v>158</v>
      </c>
      <c r="AL108" s="378" t="s">
        <v>281</v>
      </c>
    </row>
    <row r="109" spans="1:38" x14ac:dyDescent="0.2">
      <c r="A109" s="137">
        <v>61</v>
      </c>
      <c r="B109" s="24">
        <v>6100</v>
      </c>
      <c r="C109" s="24"/>
      <c r="D109" s="373" t="s">
        <v>82</v>
      </c>
      <c r="E109" s="58">
        <f t="shared" ref="E109:O109" si="172">SUM(E110:E115)</f>
        <v>62271</v>
      </c>
      <c r="F109" s="59">
        <f t="shared" si="172"/>
        <v>1412</v>
      </c>
      <c r="G109" s="60">
        <f t="shared" si="172"/>
        <v>63683</v>
      </c>
      <c r="H109" s="180">
        <f t="shared" si="172"/>
        <v>-550.15800000000002</v>
      </c>
      <c r="I109" s="181">
        <f t="shared" si="172"/>
        <v>-847</v>
      </c>
      <c r="J109" s="58">
        <f t="shared" si="172"/>
        <v>61720.841999999997</v>
      </c>
      <c r="K109" s="59">
        <f t="shared" si="172"/>
        <v>565</v>
      </c>
      <c r="L109" s="60">
        <f t="shared" si="172"/>
        <v>62285.841999999997</v>
      </c>
      <c r="M109" s="58">
        <f t="shared" si="172"/>
        <v>13887.441689999998</v>
      </c>
      <c r="N109" s="59">
        <f t="shared" si="172"/>
        <v>24.87304</v>
      </c>
      <c r="O109" s="60">
        <f t="shared" si="172"/>
        <v>13912.314729999998</v>
      </c>
      <c r="P109" s="60">
        <f t="shared" si="133"/>
        <v>22.336239317435894</v>
      </c>
      <c r="Q109" s="58">
        <f>SUM(Q110:Q115)</f>
        <v>27668.241409999999</v>
      </c>
      <c r="R109" s="59">
        <f>SUM(R110:R115)</f>
        <v>165.13066000000001</v>
      </c>
      <c r="S109" s="60">
        <f>SUM(S110:S115)</f>
        <v>27833.372069999998</v>
      </c>
      <c r="T109" s="60">
        <f t="shared" ref="T109:T125" si="173">S109/$L109*100</f>
        <v>44.686514906549704</v>
      </c>
      <c r="U109" s="58">
        <f>SUM(U110:U115)</f>
        <v>41524.892800000001</v>
      </c>
      <c r="V109" s="59">
        <f>SUM(V110:V115)</f>
        <v>240.33266</v>
      </c>
      <c r="W109" s="60">
        <f>SUM(W110:W115)</f>
        <v>41765.225460000001</v>
      </c>
      <c r="X109" s="60">
        <f t="shared" si="169"/>
        <v>67.054123567920939</v>
      </c>
      <c r="Y109" s="58">
        <f>SUM(Y110:Y115)</f>
        <v>55501.091669999994</v>
      </c>
      <c r="Z109" s="59">
        <f>SUM(Z110:Z115)</f>
        <v>615.75936000000002</v>
      </c>
      <c r="AA109" s="60">
        <f>SUM(AA110:AA115)</f>
        <v>56116.851029999998</v>
      </c>
      <c r="AB109" s="60">
        <f t="shared" si="170"/>
        <v>90.095677007946691</v>
      </c>
      <c r="AC109" s="355">
        <f>SUM(AC110:AC115)</f>
        <v>6168.9909700000007</v>
      </c>
      <c r="AD109" s="58">
        <f>SUM(AD110:AD115)</f>
        <v>60995</v>
      </c>
      <c r="AE109" s="59">
        <f>SUM(AE110:AE115)</f>
        <v>100</v>
      </c>
      <c r="AF109" s="60">
        <f>SUM(AF110:AF115)</f>
        <v>61095</v>
      </c>
      <c r="AG109" s="60">
        <f t="shared" si="171"/>
        <v>95.936121099822557</v>
      </c>
      <c r="AH109" s="58" t="e">
        <f>SUM(AH110:AH115)</f>
        <v>#REF!</v>
      </c>
      <c r="AI109" s="467" t="e">
        <f t="shared" si="115"/>
        <v>#REF!</v>
      </c>
      <c r="AJ109" s="60"/>
      <c r="AK109" s="304"/>
      <c r="AL109" s="74"/>
    </row>
    <row r="110" spans="1:38" x14ac:dyDescent="0.2">
      <c r="A110" s="136"/>
      <c r="B110" s="29">
        <v>6112</v>
      </c>
      <c r="C110" s="29">
        <v>314</v>
      </c>
      <c r="D110" s="196" t="s">
        <v>83</v>
      </c>
      <c r="E110" s="46">
        <f>3225+60</f>
        <v>3285</v>
      </c>
      <c r="F110" s="16"/>
      <c r="G110" s="57">
        <f t="shared" ref="G110:G115" si="174">E110+F110</f>
        <v>3285</v>
      </c>
      <c r="H110" s="182"/>
      <c r="I110" s="177"/>
      <c r="J110" s="46">
        <f>E110+H110</f>
        <v>3285</v>
      </c>
      <c r="K110" s="16"/>
      <c r="L110" s="57">
        <f t="shared" ref="L110:L115" si="175">SUM(J110:K110)</f>
        <v>3285</v>
      </c>
      <c r="M110" s="46">
        <f>525.296+264.933</f>
        <v>790.22900000000004</v>
      </c>
      <c r="N110" s="16"/>
      <c r="O110" s="57">
        <f>M110+N110</f>
        <v>790.22900000000004</v>
      </c>
      <c r="P110" s="57">
        <f t="shared" si="133"/>
        <v>24.055677321156775</v>
      </c>
      <c r="Q110" s="46">
        <f>1268.739+264.933</f>
        <v>1533.672</v>
      </c>
      <c r="R110" s="16"/>
      <c r="S110" s="57">
        <f>Q110+R110</f>
        <v>1533.672</v>
      </c>
      <c r="T110" s="57">
        <f t="shared" si="173"/>
        <v>46.687123287671234</v>
      </c>
      <c r="U110" s="46">
        <f>2065.092+264.933</f>
        <v>2330.0250000000001</v>
      </c>
      <c r="V110" s="16"/>
      <c r="W110" s="57">
        <f>U110+V110</f>
        <v>2330.0250000000001</v>
      </c>
      <c r="X110" s="57">
        <f t="shared" si="169"/>
        <v>70.92922374429223</v>
      </c>
      <c r="Y110" s="46">
        <v>2845.2469999999998</v>
      </c>
      <c r="Z110" s="16"/>
      <c r="AA110" s="57">
        <f>Y110+Z110</f>
        <v>2845.2469999999998</v>
      </c>
      <c r="AB110" s="57">
        <f t="shared" si="170"/>
        <v>86.613302891933017</v>
      </c>
      <c r="AC110" s="354">
        <f t="shared" ref="AC110:AC115" si="176">L110-AA110</f>
        <v>439.75300000000016</v>
      </c>
      <c r="AD110" s="46">
        <f>3225+60</f>
        <v>3285</v>
      </c>
      <c r="AE110" s="16"/>
      <c r="AF110" s="57">
        <f>AD110+AE110</f>
        <v>3285</v>
      </c>
      <c r="AG110" s="57">
        <f t="shared" si="171"/>
        <v>100</v>
      </c>
      <c r="AH110" s="46">
        <f>3225+60</f>
        <v>3285</v>
      </c>
      <c r="AI110" s="466">
        <f t="shared" si="115"/>
        <v>1</v>
      </c>
      <c r="AJ110" s="57"/>
      <c r="AK110" s="300" t="s">
        <v>281</v>
      </c>
      <c r="AL110" s="291" t="s">
        <v>341</v>
      </c>
    </row>
    <row r="111" spans="1:38" s="449" customFormat="1" x14ac:dyDescent="0.2">
      <c r="A111" s="136"/>
      <c r="B111" s="29">
        <v>6115</v>
      </c>
      <c r="C111" s="29">
        <v>110</v>
      </c>
      <c r="D111" s="196" t="s">
        <v>417</v>
      </c>
      <c r="E111" s="46"/>
      <c r="F111" s="16"/>
      <c r="G111" s="57"/>
      <c r="H111" s="182">
        <v>174</v>
      </c>
      <c r="I111" s="177"/>
      <c r="J111" s="46">
        <f>E111+H111</f>
        <v>174</v>
      </c>
      <c r="K111" s="16"/>
      <c r="L111" s="57">
        <f t="shared" ref="L111" si="177">SUM(J111:K111)</f>
        <v>174</v>
      </c>
      <c r="M111" s="46"/>
      <c r="N111" s="16"/>
      <c r="O111" s="57"/>
      <c r="P111" s="57"/>
      <c r="Q111" s="46"/>
      <c r="R111" s="16"/>
      <c r="S111" s="57"/>
      <c r="T111" s="57"/>
      <c r="U111" s="46">
        <v>0</v>
      </c>
      <c r="V111" s="16"/>
      <c r="W111" s="57">
        <f>U111+V111</f>
        <v>0</v>
      </c>
      <c r="X111" s="57">
        <f t="shared" si="169"/>
        <v>0</v>
      </c>
      <c r="Y111" s="46">
        <v>202.53460999999999</v>
      </c>
      <c r="Z111" s="16"/>
      <c r="AA111" s="57">
        <f>Y111+Z111</f>
        <v>202.53460999999999</v>
      </c>
      <c r="AB111" s="57">
        <f t="shared" si="170"/>
        <v>116.39920114942528</v>
      </c>
      <c r="AC111" s="354">
        <f t="shared" si="176"/>
        <v>-28.534609999999986</v>
      </c>
      <c r="AD111" s="46"/>
      <c r="AE111" s="16"/>
      <c r="AF111" s="57">
        <f>AD111+AE111</f>
        <v>0</v>
      </c>
      <c r="AG111" s="57"/>
      <c r="AH111" s="46"/>
      <c r="AI111" s="466">
        <f t="shared" si="115"/>
        <v>0</v>
      </c>
      <c r="AJ111" s="57"/>
      <c r="AK111" s="300"/>
      <c r="AL111" s="291"/>
    </row>
    <row r="112" spans="1:38" x14ac:dyDescent="0.2">
      <c r="A112" s="136"/>
      <c r="B112" s="29">
        <v>6171</v>
      </c>
      <c r="C112" s="29">
        <v>314</v>
      </c>
      <c r="D112" s="196" t="s">
        <v>97</v>
      </c>
      <c r="E112" s="46">
        <v>57481</v>
      </c>
      <c r="F112" s="16">
        <v>1412</v>
      </c>
      <c r="G112" s="57">
        <f t="shared" si="174"/>
        <v>58893</v>
      </c>
      <c r="H112" s="178">
        <v>-607.15800000000002</v>
      </c>
      <c r="I112" s="179">
        <v>-847</v>
      </c>
      <c r="J112" s="46">
        <f>E112+H112</f>
        <v>56873.841999999997</v>
      </c>
      <c r="K112" s="16">
        <f>F112+I112</f>
        <v>565</v>
      </c>
      <c r="L112" s="57">
        <f t="shared" si="175"/>
        <v>57438.841999999997</v>
      </c>
      <c r="M112" s="46">
        <f>61.45034+9324.37288-N112+3719.209-17.07008</f>
        <v>13063.089099999999</v>
      </c>
      <c r="N112" s="16">
        <v>24.87304</v>
      </c>
      <c r="O112" s="57">
        <f t="shared" ref="O112:O114" si="178">M112+N112</f>
        <v>13087.96214</v>
      </c>
      <c r="P112" s="57">
        <f>O112/$L112*100</f>
        <v>22.785908775807144</v>
      </c>
      <c r="Q112" s="46">
        <f>404.1594+21867.60008-R112+3993.817</f>
        <v>26100.445820000001</v>
      </c>
      <c r="R112" s="16">
        <v>165.13066000000001</v>
      </c>
      <c r="S112" s="57">
        <f t="shared" ref="S112:S114" si="179">Q112+R112</f>
        <v>26265.57648</v>
      </c>
      <c r="T112" s="57">
        <f t="shared" si="173"/>
        <v>45.727900433647321</v>
      </c>
      <c r="U112" s="46">
        <f>504.66097+34894.76232-V112+3751.748</f>
        <v>38910.838629999998</v>
      </c>
      <c r="V112" s="16">
        <v>240.33266</v>
      </c>
      <c r="W112" s="57">
        <f t="shared" ref="W112:W114" si="180">U112+V112</f>
        <v>39151.171289999998</v>
      </c>
      <c r="X112" s="57">
        <f t="shared" si="169"/>
        <v>68.161491295385105</v>
      </c>
      <c r="Y112" s="46">
        <v>51371.796079999993</v>
      </c>
      <c r="Z112" s="16">
        <f>240.33266+375.4267</f>
        <v>615.75936000000002</v>
      </c>
      <c r="AA112" s="57">
        <f t="shared" ref="AA112:AA114" si="181">Y112+Z112</f>
        <v>51987.555439999996</v>
      </c>
      <c r="AB112" s="57">
        <f>AA112/$L112*100</f>
        <v>90.509407275306842</v>
      </c>
      <c r="AC112" s="354">
        <f t="shared" si="176"/>
        <v>5451.2865600000005</v>
      </c>
      <c r="AD112" s="46">
        <v>56828</v>
      </c>
      <c r="AE112" s="16">
        <v>100</v>
      </c>
      <c r="AF112" s="57">
        <f t="shared" ref="AF112:AF114" si="182">AD112+AE112</f>
        <v>56928</v>
      </c>
      <c r="AG112" s="57">
        <f t="shared" si="171"/>
        <v>96.663440476796907</v>
      </c>
      <c r="AH112" s="46" t="e">
        <f>#REF!</f>
        <v>#REF!</v>
      </c>
      <c r="AI112" s="466" t="e">
        <f t="shared" si="115"/>
        <v>#REF!</v>
      </c>
      <c r="AJ112" s="57"/>
      <c r="AK112" s="309" t="s">
        <v>180</v>
      </c>
      <c r="AL112" s="74"/>
    </row>
    <row r="113" spans="1:38" s="449" customFormat="1" x14ac:dyDescent="0.2">
      <c r="A113" s="136"/>
      <c r="B113" s="29">
        <v>6171</v>
      </c>
      <c r="C113" s="445">
        <v>230</v>
      </c>
      <c r="D113" s="413" t="s">
        <v>461</v>
      </c>
      <c r="E113" s="46"/>
      <c r="F113" s="16"/>
      <c r="G113" s="57"/>
      <c r="H113" s="178">
        <v>128</v>
      </c>
      <c r="I113" s="179"/>
      <c r="J113" s="46">
        <f t="shared" ref="J113" si="183">E113+H113</f>
        <v>128</v>
      </c>
      <c r="K113" s="16"/>
      <c r="L113" s="57">
        <f t="shared" ref="L113" si="184">SUM(J113:K113)</f>
        <v>128</v>
      </c>
      <c r="M113" s="46"/>
      <c r="N113" s="16"/>
      <c r="O113" s="57"/>
      <c r="P113" s="57"/>
      <c r="Q113" s="46"/>
      <c r="R113" s="16"/>
      <c r="S113" s="57"/>
      <c r="T113" s="57"/>
      <c r="U113" s="46"/>
      <c r="V113" s="16"/>
      <c r="W113" s="57"/>
      <c r="X113" s="57"/>
      <c r="Y113" s="46">
        <v>128.00200000000001</v>
      </c>
      <c r="Z113" s="16"/>
      <c r="AA113" s="57">
        <f t="shared" ref="AA113" si="185">Y113+Z113</f>
        <v>128.00200000000001</v>
      </c>
      <c r="AB113" s="57">
        <f>AA113/$L113*100</f>
        <v>100.00156250000001</v>
      </c>
      <c r="AC113" s="354">
        <f t="shared" si="176"/>
        <v>-2.0000000000095497E-3</v>
      </c>
      <c r="AD113" s="46">
        <v>82</v>
      </c>
      <c r="AE113" s="16"/>
      <c r="AF113" s="57">
        <f t="shared" si="182"/>
        <v>82</v>
      </c>
      <c r="AG113" s="57"/>
      <c r="AH113" s="46"/>
      <c r="AI113" s="466"/>
      <c r="AJ113" s="57"/>
      <c r="AK113" s="309"/>
      <c r="AL113" s="74"/>
    </row>
    <row r="114" spans="1:38" x14ac:dyDescent="0.2">
      <c r="A114" s="136"/>
      <c r="B114" s="29">
        <v>6171</v>
      </c>
      <c r="C114" s="445">
        <v>15479</v>
      </c>
      <c r="D114" s="375" t="s">
        <v>353</v>
      </c>
      <c r="E114" s="46">
        <v>621</v>
      </c>
      <c r="F114" s="16"/>
      <c r="G114" s="57">
        <f t="shared" si="174"/>
        <v>621</v>
      </c>
      <c r="H114" s="178">
        <v>-189</v>
      </c>
      <c r="I114" s="179"/>
      <c r="J114" s="46">
        <f t="shared" ref="J114" si="186">E114+H114</f>
        <v>432</v>
      </c>
      <c r="K114" s="16"/>
      <c r="L114" s="57">
        <f t="shared" si="175"/>
        <v>432</v>
      </c>
      <c r="M114" s="46"/>
      <c r="N114" s="16"/>
      <c r="O114" s="57">
        <f t="shared" si="178"/>
        <v>0</v>
      </c>
      <c r="P114" s="57">
        <f>O114/$L114*100</f>
        <v>0</v>
      </c>
      <c r="Q114" s="46">
        <v>0</v>
      </c>
      <c r="R114" s="16"/>
      <c r="S114" s="57">
        <f t="shared" si="179"/>
        <v>0</v>
      </c>
      <c r="T114" s="57">
        <f t="shared" si="173"/>
        <v>0</v>
      </c>
      <c r="U114" s="46">
        <f>63.68193+38.915</f>
        <v>102.59693</v>
      </c>
      <c r="V114" s="16"/>
      <c r="W114" s="57">
        <f t="shared" si="180"/>
        <v>102.59693</v>
      </c>
      <c r="X114" s="57">
        <f t="shared" si="169"/>
        <v>23.74928935185185</v>
      </c>
      <c r="Y114" s="46">
        <v>140.98893000000001</v>
      </c>
      <c r="Z114" s="16"/>
      <c r="AA114" s="57">
        <f t="shared" si="181"/>
        <v>140.98893000000001</v>
      </c>
      <c r="AB114" s="57">
        <f>AA114/$L114*100</f>
        <v>32.636326388888889</v>
      </c>
      <c r="AC114" s="354">
        <f t="shared" si="176"/>
        <v>291.01107000000002</v>
      </c>
      <c r="AD114" s="46">
        <v>400</v>
      </c>
      <c r="AE114" s="16"/>
      <c r="AF114" s="57">
        <f t="shared" si="182"/>
        <v>400</v>
      </c>
      <c r="AG114" s="57">
        <f t="shared" si="171"/>
        <v>64.412238325281805</v>
      </c>
      <c r="AH114" s="46">
        <v>530</v>
      </c>
      <c r="AI114" s="466">
        <f t="shared" si="115"/>
        <v>1.2268518518518519</v>
      </c>
      <c r="AJ114" s="486"/>
      <c r="AK114" s="62" t="s">
        <v>273</v>
      </c>
      <c r="AL114" s="57" t="s">
        <v>288</v>
      </c>
    </row>
    <row r="115" spans="1:38" x14ac:dyDescent="0.2">
      <c r="A115" s="136"/>
      <c r="B115" s="29">
        <v>6171</v>
      </c>
      <c r="C115" s="29">
        <v>318</v>
      </c>
      <c r="D115" s="196" t="s">
        <v>235</v>
      </c>
      <c r="E115" s="46">
        <v>884</v>
      </c>
      <c r="F115" s="16"/>
      <c r="G115" s="57">
        <f t="shared" si="174"/>
        <v>884</v>
      </c>
      <c r="H115" s="178">
        <f>44-100</f>
        <v>-56</v>
      </c>
      <c r="I115" s="179"/>
      <c r="J115" s="46">
        <f>E115+H115</f>
        <v>828</v>
      </c>
      <c r="K115" s="16">
        <f>F115+I115</f>
        <v>0</v>
      </c>
      <c r="L115" s="57">
        <f t="shared" si="175"/>
        <v>828</v>
      </c>
      <c r="M115" s="46">
        <v>34.12359</v>
      </c>
      <c r="N115" s="16"/>
      <c r="O115" s="57">
        <f>M115+N115</f>
        <v>34.12359</v>
      </c>
      <c r="P115" s="57">
        <f t="shared" si="133"/>
        <v>4.1212065217391309</v>
      </c>
      <c r="Q115" s="46">
        <v>34.12359</v>
      </c>
      <c r="R115" s="16"/>
      <c r="S115" s="57">
        <f>Q115+R115</f>
        <v>34.12359</v>
      </c>
      <c r="T115" s="57">
        <f t="shared" si="173"/>
        <v>4.1212065217391309</v>
      </c>
      <c r="U115" s="46">
        <v>181.43224000000001</v>
      </c>
      <c r="V115" s="16"/>
      <c r="W115" s="57">
        <f>U115+V115</f>
        <v>181.43224000000001</v>
      </c>
      <c r="X115" s="57">
        <f t="shared" si="169"/>
        <v>21.912106280193239</v>
      </c>
      <c r="Y115" s="46">
        <v>812.52305000000001</v>
      </c>
      <c r="Z115" s="16"/>
      <c r="AA115" s="57">
        <f>Y115+Z115</f>
        <v>812.52305000000001</v>
      </c>
      <c r="AB115" s="57">
        <f t="shared" si="170"/>
        <v>98.130803140096617</v>
      </c>
      <c r="AC115" s="354">
        <f t="shared" si="176"/>
        <v>15.476949999999988</v>
      </c>
      <c r="AD115" s="46">
        <v>400</v>
      </c>
      <c r="AE115" s="16"/>
      <c r="AF115" s="57">
        <f>AD115+AE115</f>
        <v>400</v>
      </c>
      <c r="AG115" s="57">
        <f t="shared" ref="AG115:AG125" si="187">AF115/$G115*100</f>
        <v>45.248868778280546</v>
      </c>
      <c r="AH115" s="46">
        <v>1400</v>
      </c>
      <c r="AI115" s="466">
        <f t="shared" si="115"/>
        <v>1.6908212560386473</v>
      </c>
      <c r="AJ115" s="57"/>
      <c r="AK115" s="301" t="s">
        <v>157</v>
      </c>
      <c r="AL115" s="292" t="s">
        <v>117</v>
      </c>
    </row>
    <row r="116" spans="1:38" x14ac:dyDescent="0.2">
      <c r="A116" s="137" t="s">
        <v>84</v>
      </c>
      <c r="B116" s="24">
        <v>6300</v>
      </c>
      <c r="C116" s="24"/>
      <c r="D116" s="373" t="s">
        <v>85</v>
      </c>
      <c r="E116" s="58">
        <f>SUM(E117:E124)</f>
        <v>10358</v>
      </c>
      <c r="F116" s="59">
        <f>SUM(F117:F124)</f>
        <v>1000</v>
      </c>
      <c r="G116" s="60">
        <f>SUM(G117:G124)</f>
        <v>11358</v>
      </c>
      <c r="H116" s="180">
        <f t="shared" ref="H116:O116" si="188">SUM(H117:H124)</f>
        <v>549.21539999999993</v>
      </c>
      <c r="I116" s="181">
        <f t="shared" si="188"/>
        <v>499.64436000000001</v>
      </c>
      <c r="J116" s="58">
        <f t="shared" si="188"/>
        <v>10907.215400000001</v>
      </c>
      <c r="K116" s="59">
        <f t="shared" si="188"/>
        <v>1499.64436</v>
      </c>
      <c r="L116" s="60">
        <f t="shared" si="188"/>
        <v>12406.859759999999</v>
      </c>
      <c r="M116" s="58">
        <f t="shared" si="188"/>
        <v>8905.4281099999989</v>
      </c>
      <c r="N116" s="59">
        <f t="shared" si="188"/>
        <v>0</v>
      </c>
      <c r="O116" s="60">
        <f t="shared" si="188"/>
        <v>8905.4281099999989</v>
      </c>
      <c r="P116" s="60">
        <f t="shared" si="133"/>
        <v>71.778260432275559</v>
      </c>
      <c r="Q116" s="58">
        <f t="shared" ref="Q116:S116" si="189">SUM(Q117:Q124)</f>
        <v>9192.7916800000003</v>
      </c>
      <c r="R116" s="59">
        <f t="shared" si="189"/>
        <v>0</v>
      </c>
      <c r="S116" s="60">
        <f t="shared" si="189"/>
        <v>9192.7916800000003</v>
      </c>
      <c r="T116" s="60">
        <f t="shared" si="173"/>
        <v>74.094427259005315</v>
      </c>
      <c r="U116" s="58">
        <f t="shared" ref="U116:W116" si="190">SUM(U117:U124)</f>
        <v>9527.1081300000005</v>
      </c>
      <c r="V116" s="59">
        <f t="shared" si="190"/>
        <v>0</v>
      </c>
      <c r="W116" s="60">
        <f t="shared" si="190"/>
        <v>9527.1081300000005</v>
      </c>
      <c r="X116" s="60">
        <f t="shared" si="169"/>
        <v>76.789036986745145</v>
      </c>
      <c r="Y116" s="58">
        <f t="shared" ref="Y116:AA116" si="191">SUM(Y117:Y124)</f>
        <v>9685.0359199999984</v>
      </c>
      <c r="Z116" s="59">
        <f t="shared" si="191"/>
        <v>0</v>
      </c>
      <c r="AA116" s="60">
        <f t="shared" si="191"/>
        <v>9685.0359199999984</v>
      </c>
      <c r="AB116" s="60">
        <f t="shared" si="170"/>
        <v>78.06194401604165</v>
      </c>
      <c r="AC116" s="355">
        <f>SUM(AC117:AC124)</f>
        <v>2721.82384</v>
      </c>
      <c r="AD116" s="58">
        <f t="shared" ref="AD116:AF116" si="192">SUM(AD117:AD124)</f>
        <v>6226</v>
      </c>
      <c r="AE116" s="59">
        <f t="shared" si="192"/>
        <v>1000</v>
      </c>
      <c r="AF116" s="60">
        <f t="shared" si="192"/>
        <v>7226</v>
      </c>
      <c r="AG116" s="60">
        <f t="shared" si="187"/>
        <v>63.62035569642542</v>
      </c>
      <c r="AH116" s="58">
        <f t="shared" ref="AH116" si="193">SUM(AH117:AH124)</f>
        <v>8097</v>
      </c>
      <c r="AI116" s="467">
        <f t="shared" si="115"/>
        <v>0.65262283580450497</v>
      </c>
      <c r="AJ116" s="60"/>
      <c r="AK116" s="304"/>
      <c r="AL116" s="74"/>
    </row>
    <row r="117" spans="1:38" x14ac:dyDescent="0.2">
      <c r="A117" s="136"/>
      <c r="B117" s="29">
        <v>6320</v>
      </c>
      <c r="C117" s="29">
        <v>314</v>
      </c>
      <c r="D117" s="196" t="s">
        <v>190</v>
      </c>
      <c r="E117" s="46">
        <v>190</v>
      </c>
      <c r="F117" s="16"/>
      <c r="G117" s="57">
        <f t="shared" ref="G117:G124" si="194">E117+F117</f>
        <v>190</v>
      </c>
      <c r="H117" s="178">
        <v>-19</v>
      </c>
      <c r="I117" s="177"/>
      <c r="J117" s="46">
        <f t="shared" ref="J117:J124" si="195">E117+H117</f>
        <v>171</v>
      </c>
      <c r="K117" s="16"/>
      <c r="L117" s="57">
        <f t="shared" ref="L117:L124" si="196">SUM(J117:K117)</f>
        <v>171</v>
      </c>
      <c r="M117" s="46">
        <v>154.50800000000001</v>
      </c>
      <c r="N117" s="16"/>
      <c r="O117" s="57">
        <f t="shared" ref="O117:O124" si="197">M117+N117</f>
        <v>154.50800000000001</v>
      </c>
      <c r="P117" s="57">
        <f t="shared" si="133"/>
        <v>90.355555555555569</v>
      </c>
      <c r="Q117" s="46">
        <v>154.50800000000001</v>
      </c>
      <c r="R117" s="16"/>
      <c r="S117" s="57">
        <f t="shared" ref="S117:S124" si="198">Q117+R117</f>
        <v>154.50800000000001</v>
      </c>
      <c r="T117" s="57">
        <f t="shared" si="173"/>
        <v>90.355555555555569</v>
      </c>
      <c r="U117" s="46">
        <v>154.27500000000001</v>
      </c>
      <c r="V117" s="16"/>
      <c r="W117" s="57">
        <f t="shared" ref="W117:W124" si="199">U117+V117</f>
        <v>154.27500000000001</v>
      </c>
      <c r="X117" s="57">
        <f t="shared" si="169"/>
        <v>90.219298245614041</v>
      </c>
      <c r="Y117" s="46">
        <v>154.27500000000001</v>
      </c>
      <c r="Z117" s="16"/>
      <c r="AA117" s="57">
        <f t="shared" ref="AA117:AA124" si="200">Y117+Z117</f>
        <v>154.27500000000001</v>
      </c>
      <c r="AB117" s="57">
        <f t="shared" si="170"/>
        <v>90.219298245614041</v>
      </c>
      <c r="AC117" s="354">
        <f t="shared" ref="AC117:AC124" si="201">L117-AA117</f>
        <v>16.724999999999994</v>
      </c>
      <c r="AD117" s="46">
        <v>160</v>
      </c>
      <c r="AE117" s="16"/>
      <c r="AF117" s="57">
        <f t="shared" ref="AF117:AF124" si="202">AD117+AE117</f>
        <v>160</v>
      </c>
      <c r="AG117" s="57">
        <f t="shared" si="187"/>
        <v>84.210526315789465</v>
      </c>
      <c r="AH117" s="46">
        <v>171</v>
      </c>
      <c r="AI117" s="466">
        <f t="shared" si="115"/>
        <v>1</v>
      </c>
      <c r="AJ117" s="57"/>
      <c r="AK117" s="305" t="s">
        <v>304</v>
      </c>
      <c r="AL117" s="290" t="s">
        <v>68</v>
      </c>
    </row>
    <row r="118" spans="1:38" x14ac:dyDescent="0.2">
      <c r="A118" s="136"/>
      <c r="B118" s="29">
        <v>6399</v>
      </c>
      <c r="C118" s="29">
        <v>314</v>
      </c>
      <c r="D118" s="196" t="s">
        <v>236</v>
      </c>
      <c r="E118" s="46">
        <v>68</v>
      </c>
      <c r="F118" s="16"/>
      <c r="G118" s="57">
        <f t="shared" si="194"/>
        <v>68</v>
      </c>
      <c r="H118" s="178">
        <v>-7</v>
      </c>
      <c r="I118" s="177"/>
      <c r="J118" s="46">
        <f t="shared" si="195"/>
        <v>61</v>
      </c>
      <c r="K118" s="16"/>
      <c r="L118" s="57">
        <f t="shared" si="196"/>
        <v>61</v>
      </c>
      <c r="M118" s="46">
        <v>3.085</v>
      </c>
      <c r="N118" s="16"/>
      <c r="O118" s="57">
        <f t="shared" si="197"/>
        <v>3.085</v>
      </c>
      <c r="P118" s="57">
        <f t="shared" si="133"/>
        <v>5.0573770491803272</v>
      </c>
      <c r="Q118" s="46">
        <v>22.112850000000002</v>
      </c>
      <c r="R118" s="16"/>
      <c r="S118" s="57">
        <f t="shared" si="198"/>
        <v>22.112850000000002</v>
      </c>
      <c r="T118" s="57">
        <f t="shared" si="173"/>
        <v>36.250573770491805</v>
      </c>
      <c r="U118" s="46">
        <v>30.855</v>
      </c>
      <c r="V118" s="16"/>
      <c r="W118" s="57">
        <f t="shared" si="199"/>
        <v>30.855</v>
      </c>
      <c r="X118" s="57">
        <f t="shared" si="169"/>
        <v>50.581967213114751</v>
      </c>
      <c r="Y118" s="46">
        <v>45.768250000000002</v>
      </c>
      <c r="Z118" s="16"/>
      <c r="AA118" s="57">
        <f t="shared" si="200"/>
        <v>45.768250000000002</v>
      </c>
      <c r="AB118" s="57">
        <f t="shared" si="170"/>
        <v>75.029918032786895</v>
      </c>
      <c r="AC118" s="354">
        <f t="shared" si="201"/>
        <v>15.231749999999998</v>
      </c>
      <c r="AD118" s="46">
        <f>61+54</f>
        <v>115</v>
      </c>
      <c r="AE118" s="16"/>
      <c r="AF118" s="57">
        <f t="shared" si="202"/>
        <v>115</v>
      </c>
      <c r="AG118" s="57">
        <f t="shared" si="187"/>
        <v>169.11764705882354</v>
      </c>
      <c r="AH118" s="46">
        <v>61</v>
      </c>
      <c r="AI118" s="466">
        <f t="shared" si="115"/>
        <v>1</v>
      </c>
      <c r="AJ118" s="57"/>
      <c r="AK118" s="310" t="s">
        <v>71</v>
      </c>
      <c r="AL118" s="291" t="s">
        <v>341</v>
      </c>
    </row>
    <row r="119" spans="1:38" x14ac:dyDescent="0.2">
      <c r="A119" s="136"/>
      <c r="B119" s="29">
        <v>6399</v>
      </c>
      <c r="C119" s="29">
        <v>315</v>
      </c>
      <c r="D119" s="196" t="s">
        <v>86</v>
      </c>
      <c r="E119" s="46">
        <v>6525</v>
      </c>
      <c r="F119" s="16"/>
      <c r="G119" s="57">
        <f t="shared" si="194"/>
        <v>6525</v>
      </c>
      <c r="H119" s="178"/>
      <c r="I119" s="177"/>
      <c r="J119" s="46">
        <f t="shared" si="195"/>
        <v>6525</v>
      </c>
      <c r="K119" s="16"/>
      <c r="L119" s="57">
        <f t="shared" si="196"/>
        <v>6525</v>
      </c>
      <c r="M119" s="46">
        <v>6524.98</v>
      </c>
      <c r="N119" s="16"/>
      <c r="O119" s="57">
        <f t="shared" si="197"/>
        <v>6524.98</v>
      </c>
      <c r="P119" s="57">
        <f t="shared" si="133"/>
        <v>99.999693486590033</v>
      </c>
      <c r="Q119" s="46">
        <v>6524.98</v>
      </c>
      <c r="R119" s="16"/>
      <c r="S119" s="57">
        <f t="shared" si="198"/>
        <v>6524.98</v>
      </c>
      <c r="T119" s="57">
        <f t="shared" si="173"/>
        <v>99.999693486590033</v>
      </c>
      <c r="U119" s="46">
        <v>6524.98</v>
      </c>
      <c r="V119" s="16"/>
      <c r="W119" s="57">
        <f t="shared" si="199"/>
        <v>6524.98</v>
      </c>
      <c r="X119" s="57">
        <f t="shared" si="169"/>
        <v>99.999693486590033</v>
      </c>
      <c r="Y119" s="46">
        <v>6524.98</v>
      </c>
      <c r="Z119" s="16"/>
      <c r="AA119" s="57">
        <f t="shared" si="200"/>
        <v>6524.98</v>
      </c>
      <c r="AB119" s="57">
        <f t="shared" si="170"/>
        <v>99.999693486590033</v>
      </c>
      <c r="AC119" s="354">
        <f t="shared" si="201"/>
        <v>2.0000000000436557E-2</v>
      </c>
      <c r="AD119" s="46">
        <v>3024</v>
      </c>
      <c r="AE119" s="16"/>
      <c r="AF119" s="57">
        <f t="shared" si="202"/>
        <v>3024</v>
      </c>
      <c r="AG119" s="57">
        <f t="shared" si="187"/>
        <v>46.344827586206897</v>
      </c>
      <c r="AH119" s="46">
        <v>6525</v>
      </c>
      <c r="AI119" s="466">
        <f t="shared" si="115"/>
        <v>1</v>
      </c>
      <c r="AJ119" s="57" t="s">
        <v>191</v>
      </c>
      <c r="AK119" s="302" t="s">
        <v>197</v>
      </c>
      <c r="AL119" s="289" t="s">
        <v>71</v>
      </c>
    </row>
    <row r="120" spans="1:38" x14ac:dyDescent="0.2">
      <c r="A120" s="136"/>
      <c r="B120" s="29">
        <v>6399</v>
      </c>
      <c r="C120" s="29">
        <v>665</v>
      </c>
      <c r="D120" s="196" t="s">
        <v>240</v>
      </c>
      <c r="E120" s="46">
        <v>1050</v>
      </c>
      <c r="F120" s="16"/>
      <c r="G120" s="57">
        <f t="shared" si="194"/>
        <v>1050</v>
      </c>
      <c r="H120" s="178"/>
      <c r="I120" s="177"/>
      <c r="J120" s="46">
        <f t="shared" si="195"/>
        <v>1050</v>
      </c>
      <c r="K120" s="16"/>
      <c r="L120" s="57">
        <f t="shared" si="196"/>
        <v>1050</v>
      </c>
      <c r="M120" s="46">
        <f>286.47097-0.0195</f>
        <v>286.45147000000003</v>
      </c>
      <c r="N120" s="16"/>
      <c r="O120" s="57">
        <f t="shared" si="197"/>
        <v>286.45147000000003</v>
      </c>
      <c r="P120" s="57">
        <f t="shared" si="133"/>
        <v>27.281092380952384</v>
      </c>
      <c r="Q120" s="46">
        <v>230.84719000000001</v>
      </c>
      <c r="R120" s="16"/>
      <c r="S120" s="57">
        <f t="shared" si="198"/>
        <v>230.84719000000001</v>
      </c>
      <c r="T120" s="57">
        <f t="shared" si="173"/>
        <v>21.985446666666668</v>
      </c>
      <c r="U120" s="46">
        <v>555.65449000000001</v>
      </c>
      <c r="V120" s="16"/>
      <c r="W120" s="57">
        <f t="shared" si="199"/>
        <v>555.65449000000001</v>
      </c>
      <c r="X120" s="57">
        <f t="shared" si="169"/>
        <v>52.919475238095238</v>
      </c>
      <c r="Y120" s="46">
        <v>625.28662999999995</v>
      </c>
      <c r="Z120" s="16"/>
      <c r="AA120" s="57">
        <f t="shared" si="200"/>
        <v>625.28662999999995</v>
      </c>
      <c r="AB120" s="57">
        <f t="shared" si="170"/>
        <v>59.551107619047613</v>
      </c>
      <c r="AC120" s="354">
        <f t="shared" si="201"/>
        <v>424.71337000000005</v>
      </c>
      <c r="AD120" s="46">
        <v>820</v>
      </c>
      <c r="AE120" s="16"/>
      <c r="AF120" s="57">
        <f t="shared" si="202"/>
        <v>820</v>
      </c>
      <c r="AG120" s="57">
        <f t="shared" si="187"/>
        <v>78.095238095238102</v>
      </c>
      <c r="AH120" s="46">
        <v>850</v>
      </c>
      <c r="AI120" s="466">
        <f t="shared" si="115"/>
        <v>0.80952380952380953</v>
      </c>
      <c r="AJ120" s="57"/>
      <c r="AK120" s="302" t="s">
        <v>197</v>
      </c>
      <c r="AL120" s="289" t="s">
        <v>71</v>
      </c>
    </row>
    <row r="121" spans="1:38" x14ac:dyDescent="0.2">
      <c r="A121" s="136"/>
      <c r="B121" s="29">
        <v>6402</v>
      </c>
      <c r="C121" s="29">
        <v>2018</v>
      </c>
      <c r="D121" s="196" t="s">
        <v>310</v>
      </c>
      <c r="E121" s="46">
        <f>1025+769</f>
        <v>1794</v>
      </c>
      <c r="F121" s="16"/>
      <c r="G121" s="57">
        <f t="shared" si="194"/>
        <v>1794</v>
      </c>
      <c r="H121" s="178">
        <v>73.382400000000004</v>
      </c>
      <c r="I121" s="177"/>
      <c r="J121" s="46">
        <f>E121+H121</f>
        <v>1867.3824</v>
      </c>
      <c r="K121" s="16"/>
      <c r="L121" s="57">
        <f>SUM(J121:K121)</f>
        <v>1867.3824</v>
      </c>
      <c r="M121" s="46">
        <v>1793.7750799999999</v>
      </c>
      <c r="N121" s="16"/>
      <c r="O121" s="57">
        <f t="shared" si="197"/>
        <v>1793.7750799999999</v>
      </c>
      <c r="P121" s="57">
        <f t="shared" si="133"/>
        <v>96.058262089221785</v>
      </c>
      <c r="Q121" s="46">
        <v>1793.7550799999999</v>
      </c>
      <c r="R121" s="16"/>
      <c r="S121" s="57">
        <f t="shared" si="198"/>
        <v>1793.7550799999999</v>
      </c>
      <c r="T121" s="57">
        <f t="shared" si="173"/>
        <v>96.057191071309219</v>
      </c>
      <c r="U121" s="46">
        <v>1793.7550799999999</v>
      </c>
      <c r="V121" s="16"/>
      <c r="W121" s="57">
        <f t="shared" si="199"/>
        <v>1793.7550799999999</v>
      </c>
      <c r="X121" s="57">
        <f t="shared" si="169"/>
        <v>96.057191071309219</v>
      </c>
      <c r="Y121" s="46">
        <v>1867.1374800000001</v>
      </c>
      <c r="Z121" s="16"/>
      <c r="AA121" s="57">
        <f t="shared" si="200"/>
        <v>1867.1374800000001</v>
      </c>
      <c r="AB121" s="57">
        <f t="shared" si="170"/>
        <v>99.986884314642793</v>
      </c>
      <c r="AC121" s="354">
        <f t="shared" si="201"/>
        <v>0.24491999999986547</v>
      </c>
      <c r="AD121" s="46">
        <v>202</v>
      </c>
      <c r="AE121" s="16"/>
      <c r="AF121" s="57">
        <f t="shared" si="202"/>
        <v>202</v>
      </c>
      <c r="AG121" s="57"/>
      <c r="AH121" s="46">
        <v>0</v>
      </c>
      <c r="AI121" s="466">
        <f t="shared" si="115"/>
        <v>0</v>
      </c>
      <c r="AJ121" s="57" t="s">
        <v>477</v>
      </c>
      <c r="AK121" s="302" t="s">
        <v>197</v>
      </c>
      <c r="AL121" s="289" t="s">
        <v>71</v>
      </c>
    </row>
    <row r="122" spans="1:38" x14ac:dyDescent="0.2">
      <c r="A122" s="136"/>
      <c r="B122" s="29">
        <v>6409</v>
      </c>
      <c r="C122" s="29">
        <v>100</v>
      </c>
      <c r="D122" s="196" t="s">
        <v>159</v>
      </c>
      <c r="E122" s="46">
        <v>493</v>
      </c>
      <c r="F122" s="16"/>
      <c r="G122" s="57">
        <f t="shared" si="194"/>
        <v>493</v>
      </c>
      <c r="H122" s="178">
        <v>-3</v>
      </c>
      <c r="I122" s="177"/>
      <c r="J122" s="46">
        <f t="shared" si="195"/>
        <v>490</v>
      </c>
      <c r="K122" s="16"/>
      <c r="L122" s="57">
        <f t="shared" si="196"/>
        <v>490</v>
      </c>
      <c r="M122" s="46">
        <f>142.62856</f>
        <v>142.62855999999999</v>
      </c>
      <c r="N122" s="16"/>
      <c r="O122" s="57">
        <f t="shared" si="197"/>
        <v>142.62855999999999</v>
      </c>
      <c r="P122" s="57">
        <f t="shared" si="133"/>
        <v>29.107869387755102</v>
      </c>
      <c r="Q122" s="46">
        <v>466.58855999999997</v>
      </c>
      <c r="R122" s="16"/>
      <c r="S122" s="57">
        <f t="shared" si="198"/>
        <v>466.58855999999997</v>
      </c>
      <c r="T122" s="57">
        <f t="shared" si="173"/>
        <v>95.222155102040801</v>
      </c>
      <c r="U122" s="46">
        <v>467.58855999999997</v>
      </c>
      <c r="V122" s="16"/>
      <c r="W122" s="57">
        <f t="shared" si="199"/>
        <v>467.58855999999997</v>
      </c>
      <c r="X122" s="57">
        <f t="shared" si="169"/>
        <v>95.426236734693873</v>
      </c>
      <c r="Y122" s="46">
        <v>467.58855999999997</v>
      </c>
      <c r="Z122" s="16"/>
      <c r="AA122" s="57">
        <f t="shared" si="200"/>
        <v>467.58855999999997</v>
      </c>
      <c r="AB122" s="57">
        <f t="shared" si="170"/>
        <v>95.426236734693873</v>
      </c>
      <c r="AC122" s="354">
        <f t="shared" si="201"/>
        <v>22.411440000000027</v>
      </c>
      <c r="AD122" s="46">
        <v>533</v>
      </c>
      <c r="AE122" s="16"/>
      <c r="AF122" s="57">
        <f t="shared" si="202"/>
        <v>533</v>
      </c>
      <c r="AG122" s="57">
        <f t="shared" si="187"/>
        <v>108.11359026369169</v>
      </c>
      <c r="AH122" s="46">
        <v>490</v>
      </c>
      <c r="AI122" s="466">
        <f t="shared" si="115"/>
        <v>1</v>
      </c>
      <c r="AJ122" s="57"/>
      <c r="AK122" s="302" t="s">
        <v>197</v>
      </c>
      <c r="AL122" s="291" t="s">
        <v>281</v>
      </c>
    </row>
    <row r="123" spans="1:38" s="449" customFormat="1" x14ac:dyDescent="0.2">
      <c r="A123" s="136"/>
      <c r="B123" s="29"/>
      <c r="C123" s="29"/>
      <c r="D123" s="196" t="s">
        <v>570</v>
      </c>
      <c r="E123" s="46"/>
      <c r="F123" s="16"/>
      <c r="G123" s="57"/>
      <c r="H123" s="178"/>
      <c r="I123" s="177"/>
      <c r="J123" s="46"/>
      <c r="K123" s="16"/>
      <c r="L123" s="57"/>
      <c r="M123" s="46"/>
      <c r="N123" s="16"/>
      <c r="O123" s="57"/>
      <c r="P123" s="57"/>
      <c r="Q123" s="46"/>
      <c r="R123" s="16"/>
      <c r="S123" s="57"/>
      <c r="T123" s="57"/>
      <c r="U123" s="46"/>
      <c r="V123" s="16"/>
      <c r="W123" s="57"/>
      <c r="X123" s="57"/>
      <c r="Y123" s="46"/>
      <c r="Z123" s="16"/>
      <c r="AA123" s="57"/>
      <c r="AB123" s="57"/>
      <c r="AC123" s="354"/>
      <c r="AD123" s="46">
        <f>1098</f>
        <v>1098</v>
      </c>
      <c r="AE123" s="16"/>
      <c r="AF123" s="57">
        <f t="shared" si="202"/>
        <v>1098</v>
      </c>
      <c r="AG123" s="57"/>
      <c r="AH123" s="46"/>
      <c r="AI123" s="466"/>
      <c r="AJ123" s="57"/>
      <c r="AK123" s="302"/>
      <c r="AL123" s="291"/>
    </row>
    <row r="124" spans="1:38" x14ac:dyDescent="0.2">
      <c r="A124" s="136"/>
      <c r="B124" s="29">
        <v>6409</v>
      </c>
      <c r="C124" s="29"/>
      <c r="D124" s="376" t="s">
        <v>143</v>
      </c>
      <c r="E124" s="46">
        <v>238</v>
      </c>
      <c r="F124" s="16">
        <v>1000</v>
      </c>
      <c r="G124" s="57">
        <f t="shared" si="194"/>
        <v>1238</v>
      </c>
      <c r="H124" s="178">
        <f>297.804+47.898-391+320+235.131-5</f>
        <v>504.83299999999997</v>
      </c>
      <c r="I124" s="179">
        <f>276+223.64436</f>
        <v>499.64436000000001</v>
      </c>
      <c r="J124" s="46">
        <f t="shared" si="195"/>
        <v>742.83299999999997</v>
      </c>
      <c r="K124" s="16">
        <f>F124+I124</f>
        <v>1499.64436</v>
      </c>
      <c r="L124" s="57">
        <f t="shared" si="196"/>
        <v>2242.4773599999999</v>
      </c>
      <c r="M124" s="46"/>
      <c r="N124" s="16"/>
      <c r="O124" s="57">
        <f t="shared" si="197"/>
        <v>0</v>
      </c>
      <c r="P124" s="57">
        <f t="shared" si="133"/>
        <v>0</v>
      </c>
      <c r="Q124" s="46"/>
      <c r="R124" s="16"/>
      <c r="S124" s="57">
        <f t="shared" si="198"/>
        <v>0</v>
      </c>
      <c r="T124" s="57">
        <f t="shared" si="173"/>
        <v>0</v>
      </c>
      <c r="U124" s="46"/>
      <c r="V124" s="16"/>
      <c r="W124" s="57">
        <f t="shared" si="199"/>
        <v>0</v>
      </c>
      <c r="X124" s="57">
        <f t="shared" si="169"/>
        <v>0</v>
      </c>
      <c r="Y124" s="46"/>
      <c r="Z124" s="16"/>
      <c r="AA124" s="57">
        <f t="shared" si="200"/>
        <v>0</v>
      </c>
      <c r="AB124" s="57">
        <f t="shared" si="170"/>
        <v>0</v>
      </c>
      <c r="AC124" s="354">
        <f t="shared" si="201"/>
        <v>2242.4773599999999</v>
      </c>
      <c r="AD124" s="46">
        <v>274</v>
      </c>
      <c r="AE124" s="16">
        <v>1000</v>
      </c>
      <c r="AF124" s="57">
        <f t="shared" si="202"/>
        <v>1274</v>
      </c>
      <c r="AG124" s="57">
        <f t="shared" si="187"/>
        <v>102.90791599353797</v>
      </c>
      <c r="AH124" s="46"/>
      <c r="AI124" s="466">
        <f t="shared" si="115"/>
        <v>0</v>
      </c>
      <c r="AJ124" s="57"/>
      <c r="AK124" s="311" t="s">
        <v>71</v>
      </c>
      <c r="AL124" s="289" t="s">
        <v>289</v>
      </c>
    </row>
    <row r="125" spans="1:38" ht="13.5" thickBot="1" x14ac:dyDescent="0.25">
      <c r="A125" s="139"/>
      <c r="B125" s="100"/>
      <c r="C125" s="100"/>
      <c r="D125" s="101" t="s">
        <v>87</v>
      </c>
      <c r="E125" s="170">
        <f t="shared" ref="E125:O125" si="203">SUM(E5+E7+E13+E30+E44+E56+E64+E66+E88+E98+E104+E109+E116)</f>
        <v>160389</v>
      </c>
      <c r="F125" s="327">
        <f t="shared" si="203"/>
        <v>63661</v>
      </c>
      <c r="G125" s="327">
        <f t="shared" si="203"/>
        <v>224050</v>
      </c>
      <c r="H125" s="188">
        <f t="shared" si="203"/>
        <v>9003.4120599999987</v>
      </c>
      <c r="I125" s="188">
        <f t="shared" si="203"/>
        <v>-3557.4916400000002</v>
      </c>
      <c r="J125" s="170">
        <f t="shared" si="203"/>
        <v>169392.41206</v>
      </c>
      <c r="K125" s="327">
        <f t="shared" si="203"/>
        <v>60103.50836</v>
      </c>
      <c r="L125" s="327">
        <f t="shared" si="203"/>
        <v>229495.92042000001</v>
      </c>
      <c r="M125" s="170">
        <f t="shared" si="203"/>
        <v>37347.760409999995</v>
      </c>
      <c r="N125" s="327">
        <f t="shared" si="203"/>
        <v>1829.0816599999998</v>
      </c>
      <c r="O125" s="327">
        <f t="shared" si="203"/>
        <v>39176.842069999999</v>
      </c>
      <c r="P125" s="327">
        <f t="shared" si="133"/>
        <v>17.070822870534055</v>
      </c>
      <c r="Q125" s="170">
        <f>SUM(Q5+Q7+Q13+Q30+Q44+Q56+Q64+Q66+Q88+Q98+Q104+Q109+Q116)</f>
        <v>77667.99368</v>
      </c>
      <c r="R125" s="327">
        <f>SUM(R5+R7+R13+R30+R44+R56+R64+R66+R88+R98+R104+R109+R116)</f>
        <v>16720.065739999998</v>
      </c>
      <c r="S125" s="327">
        <f>SUM(S5+S7+S13+S30+S44+S56+S64+S66+S88+S98+S104+S109+S116)</f>
        <v>94388.059420000005</v>
      </c>
      <c r="T125" s="327">
        <f t="shared" si="173"/>
        <v>41.128425833130542</v>
      </c>
      <c r="U125" s="170">
        <f>SUM(U5+U7+U13+U30+U44+U56+U64+U66+U88+U98+U104+U109+U116)</f>
        <v>116351.68585000001</v>
      </c>
      <c r="V125" s="327">
        <f>SUM(V5+V7+V13+V30+V44+V56+V64+V66+V88+V98+V104+V109+V116)</f>
        <v>32816.208400000003</v>
      </c>
      <c r="W125" s="327">
        <f>SUM(W5+W7+W13+W30+W44+W56+W64+W66+W88+W98+W104+W109+W116)</f>
        <v>149167.89425000001</v>
      </c>
      <c r="X125" s="327">
        <f t="shared" si="169"/>
        <v>64.998059214738177</v>
      </c>
      <c r="Y125" s="170">
        <f>SUM(Y5+Y7+Y13+Y30+Y44+Y56+Y64+Y66+Y88+Y98+Y104+Y109+Y116)</f>
        <v>152651.95565999998</v>
      </c>
      <c r="Z125" s="327">
        <f>SUM(Z5+Z7+Z13+Z30+Z44+Z56+Z64+Z66+Z88+Z98+Z104+Z109+Z116)</f>
        <v>45417.460800000001</v>
      </c>
      <c r="AA125" s="327">
        <f>SUM(AA5+AA7+AA13+AA30+AA44+AA56+AA64+AA66+AA88+AA98+AA104+AA109+AA116)</f>
        <v>198069.41646000001</v>
      </c>
      <c r="AB125" s="327">
        <f t="shared" si="170"/>
        <v>86.306290803563556</v>
      </c>
      <c r="AC125" s="434">
        <f>SUM(AC5+AC7+AC13+AC30+AC44+AC56+AC64+AC66+AC88+AC98+AC104+AC109+AC116)</f>
        <v>31426.503960000005</v>
      </c>
      <c r="AD125" s="170">
        <f>SUM(AD5+AD7+AD13+AD30+AD44+AD56+AD64+AD66+AD88+AD98+AD104+AD109+AD116)</f>
        <v>154729</v>
      </c>
      <c r="AE125" s="327">
        <f>SUM(AE5+AE7+AE13+AE30+AE44+AE56+AE64+AE66+AE88+AE98+AE104+AE109+AE116)</f>
        <v>47217</v>
      </c>
      <c r="AF125" s="327">
        <f>SUM(AF5+AF7+AF13+AF30+AF44+AF56+AF64+AF66+AF88+AF98+AF104+AF109+AF116)</f>
        <v>201946</v>
      </c>
      <c r="AG125" s="327">
        <f t="shared" si="187"/>
        <v>90.134345012274039</v>
      </c>
      <c r="AH125" s="170" t="e">
        <f>SUM(AH5+AH7+AH13+AH30+AH44+AH56+AH64+AH66+AH88+AH98+AH104+AH109+AH116)</f>
        <v>#REF!</v>
      </c>
      <c r="AI125" s="472"/>
      <c r="AJ125" s="327"/>
      <c r="AK125" s="170"/>
      <c r="AL125" s="298"/>
    </row>
    <row r="126" spans="1:38" ht="13.5" thickBot="1" x14ac:dyDescent="0.25">
      <c r="A126" s="99"/>
      <c r="B126" s="428"/>
      <c r="C126" s="428"/>
      <c r="D126" s="428"/>
      <c r="E126" s="429" t="s">
        <v>88</v>
      </c>
      <c r="F126" s="35"/>
      <c r="G126" s="63">
        <f>SUM(E125:F125)</f>
        <v>224050</v>
      </c>
      <c r="H126" s="431"/>
      <c r="I126" s="432"/>
      <c r="J126" s="429"/>
      <c r="K126" s="428"/>
      <c r="L126" s="430">
        <f>+G125+H125+I125</f>
        <v>229495.92042000001</v>
      </c>
      <c r="M126" s="429" t="s">
        <v>88</v>
      </c>
      <c r="N126" s="428"/>
      <c r="O126" s="430">
        <f>SUM(M125:N125)</f>
        <v>39176.842069999999</v>
      </c>
      <c r="P126" s="430"/>
      <c r="Q126" s="429" t="s">
        <v>88</v>
      </c>
      <c r="R126" s="428"/>
      <c r="S126" s="430">
        <f>SUM(Q125:R125)</f>
        <v>94388.059420000005</v>
      </c>
      <c r="T126" s="430"/>
      <c r="U126" s="429" t="s">
        <v>88</v>
      </c>
      <c r="V126" s="428"/>
      <c r="W126" s="430">
        <f>SUM(U125:V125)</f>
        <v>149167.89425000001</v>
      </c>
      <c r="X126" s="430"/>
      <c r="Y126" s="429" t="s">
        <v>88</v>
      </c>
      <c r="Z126" s="428"/>
      <c r="AA126" s="430">
        <f>SUM(Y125:Z125)</f>
        <v>198069.41645999998</v>
      </c>
      <c r="AB126" s="430"/>
      <c r="AC126" s="433"/>
      <c r="AD126" s="429" t="s">
        <v>88</v>
      </c>
      <c r="AE126" s="35"/>
      <c r="AF126" s="63">
        <f>SUM(AD125:AE125)</f>
        <v>201946</v>
      </c>
      <c r="AG126" s="63"/>
      <c r="AH126" s="35"/>
      <c r="AI126" s="473"/>
      <c r="AJ126" s="63"/>
      <c r="AK126" s="384"/>
      <c r="AL126" s="88"/>
    </row>
    <row r="127" spans="1:38" x14ac:dyDescent="0.2">
      <c r="A127" s="44"/>
      <c r="B127" s="23"/>
      <c r="C127" s="23"/>
      <c r="D127" s="415"/>
      <c r="E127" s="23"/>
      <c r="F127" s="23"/>
      <c r="G127" s="140"/>
      <c r="H127" s="23"/>
      <c r="I127" s="23"/>
      <c r="J127" s="23"/>
      <c r="K127" s="23"/>
      <c r="L127" s="140"/>
      <c r="M127" s="23"/>
      <c r="N127" s="23"/>
      <c r="O127" s="140"/>
      <c r="P127" s="140"/>
      <c r="Q127" s="23"/>
      <c r="R127" s="23"/>
      <c r="S127" s="140"/>
      <c r="T127" s="140"/>
      <c r="U127" s="23"/>
      <c r="V127" s="23"/>
      <c r="W127" s="140"/>
      <c r="X127" s="140"/>
      <c r="Y127" s="23"/>
      <c r="Z127" s="23"/>
      <c r="AA127" s="140"/>
      <c r="AB127" s="140"/>
      <c r="AC127" s="23"/>
      <c r="AD127" s="23"/>
      <c r="AE127" s="23"/>
      <c r="AF127" s="140"/>
      <c r="AG127" s="140"/>
      <c r="AH127" s="23"/>
      <c r="AI127" s="474"/>
      <c r="AJ127" s="140"/>
      <c r="AK127" s="23"/>
    </row>
    <row r="128" spans="1:38" s="449" customFormat="1" x14ac:dyDescent="0.2">
      <c r="A128" s="44"/>
      <c r="B128" s="23"/>
      <c r="C128" s="23"/>
      <c r="D128" s="487"/>
      <c r="E128" s="23"/>
      <c r="F128" s="23"/>
      <c r="G128" s="140"/>
      <c r="H128" s="23"/>
      <c r="I128" s="23"/>
      <c r="J128" s="23"/>
      <c r="K128" s="23"/>
      <c r="L128" s="140"/>
      <c r="M128" s="23"/>
      <c r="N128" s="23"/>
      <c r="O128" s="140"/>
      <c r="P128" s="140"/>
      <c r="Q128" s="23"/>
      <c r="R128" s="23"/>
      <c r="S128" s="140"/>
      <c r="T128" s="140"/>
      <c r="U128" s="23"/>
      <c r="V128" s="23"/>
      <c r="W128" s="140"/>
      <c r="X128" s="140"/>
      <c r="Y128" s="23"/>
      <c r="Z128" s="23"/>
      <c r="AA128" s="140"/>
      <c r="AB128" s="140"/>
      <c r="AC128" s="23"/>
      <c r="AD128" s="23"/>
      <c r="AE128" s="23"/>
      <c r="AF128" s="140"/>
      <c r="AG128" s="140"/>
      <c r="AH128" s="23"/>
      <c r="AI128" s="474"/>
      <c r="AJ128" s="140"/>
      <c r="AK128" s="23"/>
    </row>
    <row r="129" spans="1:37" x14ac:dyDescent="0.2">
      <c r="A129" s="44"/>
      <c r="B129" s="23"/>
      <c r="C129" s="23"/>
      <c r="D129" s="415"/>
      <c r="E129" s="23"/>
      <c r="F129" s="23"/>
      <c r="G129" s="140"/>
      <c r="H129" s="23"/>
      <c r="I129" s="23"/>
      <c r="J129" s="23"/>
      <c r="K129" s="23"/>
      <c r="L129" s="140"/>
      <c r="M129" s="23"/>
      <c r="N129" s="23"/>
      <c r="O129" s="140"/>
      <c r="P129" s="140"/>
      <c r="Q129" s="23"/>
      <c r="R129" s="23"/>
      <c r="S129" s="140"/>
      <c r="T129" s="140"/>
      <c r="U129" s="23"/>
      <c r="V129" s="23"/>
      <c r="W129" s="140"/>
      <c r="X129" s="140"/>
      <c r="Y129" s="23"/>
      <c r="Z129" s="23"/>
      <c r="AA129" s="140"/>
      <c r="AB129" s="140"/>
      <c r="AC129" s="23"/>
      <c r="AD129" s="23"/>
      <c r="AE129" s="23"/>
      <c r="AF129" s="140"/>
      <c r="AG129" s="140"/>
      <c r="AH129" s="23" t="s">
        <v>466</v>
      </c>
      <c r="AI129" s="474"/>
      <c r="AJ129" s="140"/>
      <c r="AK129" s="23"/>
    </row>
    <row r="130" spans="1:37" x14ac:dyDescent="0.2">
      <c r="A130" s="44"/>
      <c r="B130" s="23"/>
      <c r="C130" s="23"/>
      <c r="D130" s="415"/>
      <c r="E130" s="23"/>
      <c r="F130" s="23"/>
      <c r="G130" s="140"/>
      <c r="H130" s="23"/>
      <c r="I130" s="23"/>
      <c r="J130" s="23"/>
      <c r="K130" s="23"/>
      <c r="L130" s="140"/>
      <c r="M130" s="23"/>
      <c r="N130" s="23"/>
      <c r="O130" s="140"/>
      <c r="P130" s="140"/>
      <c r="Q130" s="23"/>
      <c r="R130" s="23"/>
      <c r="S130" s="140"/>
      <c r="T130" s="140"/>
      <c r="U130" s="23"/>
      <c r="V130" s="23"/>
      <c r="W130" s="140"/>
      <c r="X130" s="140"/>
      <c r="Y130" s="140"/>
      <c r="Z130" s="23"/>
      <c r="AA130" s="140"/>
      <c r="AB130" s="140"/>
      <c r="AC130" s="23"/>
      <c r="AD130" s="23"/>
      <c r="AE130" s="23"/>
      <c r="AF130" s="140"/>
      <c r="AG130" s="140"/>
      <c r="AH130" s="23"/>
      <c r="AI130" s="474"/>
      <c r="AJ130" s="140"/>
      <c r="AK130" s="23"/>
    </row>
    <row r="131" spans="1:37" x14ac:dyDescent="0.2">
      <c r="A131" s="44"/>
      <c r="B131" s="23"/>
      <c r="C131" s="23"/>
      <c r="D131" s="415"/>
      <c r="E131" s="23"/>
      <c r="F131" s="23"/>
      <c r="G131" s="140"/>
      <c r="H131" s="23"/>
      <c r="I131" s="23"/>
      <c r="J131" s="23"/>
      <c r="K131" s="23"/>
      <c r="L131" s="484"/>
      <c r="M131" s="23"/>
      <c r="N131" s="23"/>
      <c r="O131" s="140"/>
      <c r="P131" s="140"/>
      <c r="Q131" s="23"/>
      <c r="R131" s="23"/>
      <c r="S131" s="140"/>
      <c r="T131" s="140"/>
      <c r="U131" s="23"/>
      <c r="V131" s="23"/>
      <c r="W131" s="140"/>
      <c r="X131" s="140"/>
      <c r="Y131" s="140"/>
      <c r="Z131" s="23"/>
      <c r="AA131" s="107"/>
      <c r="AB131" s="140"/>
      <c r="AC131" s="23"/>
      <c r="AD131" s="23"/>
      <c r="AE131" s="23"/>
      <c r="AF131" s="140"/>
      <c r="AG131" s="140"/>
      <c r="AH131" s="23"/>
      <c r="AI131" s="474"/>
      <c r="AJ131" s="140"/>
      <c r="AK131" s="23"/>
    </row>
    <row r="132" spans="1:37" x14ac:dyDescent="0.2">
      <c r="B132" s="426"/>
      <c r="C132" s="426"/>
      <c r="D132" s="427"/>
      <c r="E132" s="146"/>
      <c r="F132" s="117"/>
      <c r="H132" s="23"/>
      <c r="I132" s="23"/>
      <c r="J132" s="313"/>
      <c r="K132" s="313"/>
      <c r="M132" s="117"/>
      <c r="N132" s="117"/>
      <c r="Q132" s="117"/>
      <c r="R132" s="117"/>
      <c r="U132" s="117"/>
      <c r="V132" s="117"/>
      <c r="Z132" s="117"/>
      <c r="AC132" s="23"/>
      <c r="AD132" s="117"/>
      <c r="AE132" s="117"/>
      <c r="AJ132" s="125"/>
      <c r="AK132" s="67"/>
    </row>
    <row r="133" spans="1:37" x14ac:dyDescent="0.2">
      <c r="B133" s="426"/>
      <c r="C133" s="426"/>
      <c r="D133" s="427"/>
      <c r="E133" s="146"/>
      <c r="F133" s="117"/>
      <c r="H133" s="23"/>
      <c r="I133" s="23"/>
      <c r="J133" s="313"/>
      <c r="K133" s="313"/>
      <c r="M133" s="117"/>
      <c r="N133" s="117"/>
      <c r="Q133" s="117"/>
      <c r="R133" s="117"/>
      <c r="U133" s="117"/>
      <c r="V133" s="117"/>
      <c r="Z133" s="117"/>
      <c r="AC133" s="23"/>
      <c r="AD133" s="117"/>
      <c r="AE133" s="117"/>
      <c r="AJ133" s="389"/>
    </row>
    <row r="134" spans="1:37" s="449" customFormat="1" x14ac:dyDescent="0.2">
      <c r="B134" s="426"/>
      <c r="C134" s="426"/>
      <c r="D134" s="427"/>
      <c r="E134" s="146"/>
      <c r="F134" s="117"/>
      <c r="G134" s="117"/>
      <c r="H134" s="23"/>
      <c r="I134" s="23"/>
      <c r="J134" s="313"/>
      <c r="K134" s="313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23"/>
      <c r="AD134" s="117"/>
      <c r="AE134" s="117"/>
      <c r="AF134" s="117"/>
      <c r="AG134" s="117"/>
      <c r="AH134" s="23"/>
      <c r="AI134" s="475"/>
      <c r="AJ134" s="389"/>
    </row>
    <row r="135" spans="1:37" x14ac:dyDescent="0.2">
      <c r="B135" s="426"/>
      <c r="C135" s="426"/>
      <c r="D135" s="427"/>
      <c r="E135" s="117"/>
      <c r="F135" s="117"/>
      <c r="H135" s="23"/>
      <c r="I135" s="23"/>
      <c r="J135" s="313"/>
      <c r="K135" s="313"/>
      <c r="M135" s="117"/>
      <c r="N135" s="117"/>
      <c r="Q135" s="117"/>
      <c r="R135" s="117"/>
      <c r="U135" s="117"/>
      <c r="V135" s="117"/>
      <c r="Z135" s="117"/>
      <c r="AC135" s="23"/>
      <c r="AD135" s="117"/>
      <c r="AE135" s="117"/>
    </row>
    <row r="136" spans="1:37" x14ac:dyDescent="0.2">
      <c r="B136" s="426"/>
      <c r="C136" s="426"/>
      <c r="D136" s="427"/>
      <c r="E136" s="117"/>
      <c r="F136" s="117"/>
      <c r="H136" s="23"/>
      <c r="I136" s="23"/>
      <c r="J136" s="313"/>
      <c r="K136" s="313"/>
      <c r="M136" s="117"/>
      <c r="N136" s="117"/>
      <c r="Q136" s="117"/>
      <c r="R136" s="117"/>
      <c r="U136" s="117"/>
      <c r="V136" s="117"/>
      <c r="Z136" s="117"/>
      <c r="AC136" s="23"/>
      <c r="AD136" s="117"/>
      <c r="AE136" s="117"/>
    </row>
    <row r="137" spans="1:37" x14ac:dyDescent="0.2">
      <c r="B137" s="426"/>
      <c r="C137" s="426"/>
      <c r="D137" s="427"/>
      <c r="E137" s="117"/>
      <c r="F137" s="117"/>
      <c r="H137" s="23"/>
      <c r="I137" s="23"/>
      <c r="J137" s="313"/>
      <c r="K137" s="313"/>
      <c r="M137" s="117"/>
      <c r="N137" s="117"/>
      <c r="Q137" s="117"/>
      <c r="R137" s="117"/>
      <c r="U137" s="117"/>
      <c r="V137" s="117"/>
      <c r="Z137" s="117"/>
      <c r="AC137" s="23"/>
      <c r="AD137" s="117"/>
      <c r="AE137" s="117"/>
    </row>
    <row r="138" spans="1:37" x14ac:dyDescent="0.2">
      <c r="D138" s="415"/>
      <c r="E138" s="117"/>
      <c r="F138" s="117"/>
      <c r="H138" s="23"/>
      <c r="I138" s="23"/>
      <c r="M138" s="117"/>
      <c r="N138" s="117"/>
      <c r="Q138" s="117"/>
      <c r="R138" s="117"/>
      <c r="U138" s="117"/>
      <c r="V138" s="117"/>
      <c r="Z138" s="117"/>
      <c r="AC138" s="23"/>
      <c r="AD138" s="117"/>
      <c r="AE138" s="117"/>
    </row>
    <row r="139" spans="1:37" x14ac:dyDescent="0.2">
      <c r="D139" s="208"/>
      <c r="E139" s="117"/>
      <c r="F139" s="117"/>
      <c r="H139" s="23"/>
      <c r="I139" s="23"/>
      <c r="M139" s="117"/>
      <c r="N139" s="117"/>
      <c r="Q139" s="117"/>
      <c r="R139" s="117"/>
      <c r="U139" s="117"/>
      <c r="V139" s="117"/>
      <c r="Z139" s="117"/>
      <c r="AC139" s="23"/>
      <c r="AD139" s="117"/>
      <c r="AE139" s="117"/>
    </row>
    <row r="140" spans="1:37" x14ac:dyDescent="0.2">
      <c r="D140" s="207"/>
      <c r="E140" s="117"/>
      <c r="F140" s="117"/>
      <c r="H140" s="23"/>
      <c r="I140" s="23"/>
      <c r="M140" s="117"/>
      <c r="N140" s="117"/>
      <c r="Q140" s="117"/>
      <c r="R140" s="117"/>
      <c r="U140" s="117"/>
      <c r="V140" s="117"/>
      <c r="Z140" s="117"/>
      <c r="AC140" s="23"/>
      <c r="AD140" s="117"/>
      <c r="AE140" s="117"/>
    </row>
    <row r="141" spans="1:37" x14ac:dyDescent="0.2">
      <c r="D141" s="207"/>
      <c r="E141" s="117"/>
      <c r="F141" s="117"/>
      <c r="H141" s="23"/>
      <c r="I141" s="23"/>
      <c r="M141" s="117"/>
      <c r="N141" s="117"/>
      <c r="Q141" s="117"/>
      <c r="R141" s="117"/>
      <c r="U141" s="117"/>
      <c r="V141" s="117"/>
      <c r="Z141" s="117"/>
      <c r="AC141" s="23"/>
      <c r="AD141" s="117"/>
      <c r="AE141" s="117"/>
    </row>
    <row r="142" spans="1:37" x14ac:dyDescent="0.2">
      <c r="D142" s="207"/>
      <c r="E142" s="117"/>
      <c r="F142" s="117"/>
      <c r="H142" s="23"/>
      <c r="I142" s="23"/>
      <c r="M142" s="117"/>
      <c r="N142" s="117"/>
      <c r="Q142" s="117"/>
      <c r="R142" s="117"/>
      <c r="U142" s="117"/>
      <c r="V142" s="117"/>
      <c r="Z142" s="117"/>
      <c r="AC142" s="23"/>
      <c r="AD142" s="117"/>
      <c r="AE142" s="117"/>
    </row>
    <row r="143" spans="1:37" x14ac:dyDescent="0.2">
      <c r="D143" s="207"/>
      <c r="E143" s="117"/>
      <c r="F143" s="117"/>
      <c r="H143" s="23"/>
      <c r="I143" s="23"/>
      <c r="M143" s="117"/>
      <c r="N143" s="117"/>
      <c r="Q143" s="117"/>
      <c r="R143" s="117"/>
      <c r="U143" s="117"/>
      <c r="V143" s="117"/>
      <c r="Z143" s="117"/>
      <c r="AC143" s="23"/>
      <c r="AD143" s="117"/>
      <c r="AE143" s="117"/>
      <c r="AJ143" s="46"/>
    </row>
    <row r="144" spans="1:37" x14ac:dyDescent="0.2">
      <c r="D144" s="207"/>
      <c r="E144" s="455"/>
      <c r="H144" s="23"/>
      <c r="I144" s="23"/>
      <c r="AC144" s="23"/>
      <c r="AJ144" s="46"/>
    </row>
    <row r="145" spans="4:36" x14ac:dyDescent="0.2">
      <c r="D145" s="207"/>
      <c r="H145" s="23"/>
      <c r="I145" s="23"/>
      <c r="AC145" s="23"/>
      <c r="AJ145" s="389"/>
    </row>
    <row r="146" spans="4:36" x14ac:dyDescent="0.2">
      <c r="D146" s="208"/>
      <c r="H146" s="23"/>
      <c r="I146" s="23"/>
      <c r="AC146" s="23"/>
    </row>
    <row r="147" spans="4:36" x14ac:dyDescent="0.2">
      <c r="D147" s="208"/>
      <c r="H147" s="117"/>
      <c r="I147" s="117"/>
    </row>
    <row r="148" spans="4:36" x14ac:dyDescent="0.2">
      <c r="D148" s="208"/>
      <c r="H148" s="117"/>
      <c r="I148" s="117"/>
    </row>
    <row r="149" spans="4:36" x14ac:dyDescent="0.2">
      <c r="D149" s="208"/>
      <c r="H149" s="117"/>
      <c r="I149" s="117"/>
    </row>
    <row r="150" spans="4:36" x14ac:dyDescent="0.2">
      <c r="H150" s="117"/>
      <c r="I150" s="117"/>
    </row>
    <row r="151" spans="4:36" x14ac:dyDescent="0.2">
      <c r="H151" s="117"/>
      <c r="I151" s="117"/>
    </row>
    <row r="152" spans="4:36" x14ac:dyDescent="0.2">
      <c r="H152" s="117"/>
      <c r="I152" s="117"/>
    </row>
    <row r="153" spans="4:36" x14ac:dyDescent="0.2">
      <c r="H153" s="117"/>
      <c r="I153" s="117"/>
    </row>
    <row r="154" spans="4:36" x14ac:dyDescent="0.2">
      <c r="H154" s="117"/>
      <c r="I154" s="117"/>
    </row>
    <row r="155" spans="4:36" x14ac:dyDescent="0.2">
      <c r="H155" s="117"/>
      <c r="I155" s="117"/>
    </row>
    <row r="156" spans="4:36" x14ac:dyDescent="0.2">
      <c r="H156" s="117"/>
      <c r="I156" s="117"/>
    </row>
    <row r="157" spans="4:36" x14ac:dyDescent="0.2">
      <c r="H157" s="117"/>
      <c r="I157" s="117"/>
    </row>
    <row r="158" spans="4:36" x14ac:dyDescent="0.2">
      <c r="H158" s="117"/>
      <c r="I158" s="117"/>
    </row>
    <row r="159" spans="4:36" x14ac:dyDescent="0.2">
      <c r="H159" s="117"/>
      <c r="I159" s="117"/>
    </row>
    <row r="160" spans="4:36" x14ac:dyDescent="0.2">
      <c r="H160" s="117"/>
      <c r="I160" s="117"/>
    </row>
    <row r="161" spans="8:9" x14ac:dyDescent="0.2">
      <c r="H161" s="117"/>
      <c r="I161" s="117"/>
    </row>
    <row r="162" spans="8:9" x14ac:dyDescent="0.2">
      <c r="H162" s="117"/>
      <c r="I162" s="117"/>
    </row>
    <row r="163" spans="8:9" x14ac:dyDescent="0.2">
      <c r="H163" s="117"/>
      <c r="I163" s="117"/>
    </row>
    <row r="164" spans="8:9" x14ac:dyDescent="0.2">
      <c r="H164" s="117"/>
      <c r="I164" s="117"/>
    </row>
    <row r="165" spans="8:9" x14ac:dyDescent="0.2">
      <c r="H165" s="117"/>
      <c r="I165" s="117"/>
    </row>
    <row r="166" spans="8:9" x14ac:dyDescent="0.2">
      <c r="H166" s="117"/>
      <c r="I166" s="117"/>
    </row>
    <row r="167" spans="8:9" x14ac:dyDescent="0.2">
      <c r="H167" s="117"/>
      <c r="I167" s="117"/>
    </row>
    <row r="168" spans="8:9" x14ac:dyDescent="0.2">
      <c r="H168" s="117"/>
      <c r="I168" s="117"/>
    </row>
    <row r="169" spans="8:9" x14ac:dyDescent="0.2">
      <c r="H169" s="117"/>
      <c r="I169" s="117"/>
    </row>
    <row r="170" spans="8:9" x14ac:dyDescent="0.2">
      <c r="H170" s="117"/>
      <c r="I170" s="117"/>
    </row>
    <row r="171" spans="8:9" x14ac:dyDescent="0.2">
      <c r="H171" s="117"/>
      <c r="I171" s="117"/>
    </row>
    <row r="172" spans="8:9" x14ac:dyDescent="0.2">
      <c r="H172" s="117"/>
      <c r="I172" s="117"/>
    </row>
    <row r="173" spans="8:9" x14ac:dyDescent="0.2">
      <c r="H173" s="117"/>
      <c r="I173" s="117"/>
    </row>
    <row r="174" spans="8:9" x14ac:dyDescent="0.2">
      <c r="H174" s="117"/>
      <c r="I174" s="117"/>
    </row>
    <row r="175" spans="8:9" x14ac:dyDescent="0.2">
      <c r="H175" s="117"/>
      <c r="I175" s="117"/>
    </row>
    <row r="176" spans="8:9" x14ac:dyDescent="0.2">
      <c r="H176" s="117"/>
      <c r="I176" s="117"/>
    </row>
    <row r="177" spans="8:9" x14ac:dyDescent="0.2">
      <c r="H177" s="117"/>
      <c r="I177" s="117"/>
    </row>
    <row r="178" spans="8:9" x14ac:dyDescent="0.2">
      <c r="H178" s="117"/>
      <c r="I178" s="117"/>
    </row>
    <row r="179" spans="8:9" x14ac:dyDescent="0.2">
      <c r="H179" s="117"/>
      <c r="I179" s="117"/>
    </row>
    <row r="180" spans="8:9" x14ac:dyDescent="0.2">
      <c r="H180" s="117"/>
      <c r="I180" s="117"/>
    </row>
    <row r="181" spans="8:9" x14ac:dyDescent="0.2">
      <c r="H181" s="117"/>
      <c r="I181" s="117"/>
    </row>
    <row r="182" spans="8:9" x14ac:dyDescent="0.2">
      <c r="H182" s="117"/>
      <c r="I182" s="117"/>
    </row>
    <row r="183" spans="8:9" x14ac:dyDescent="0.2">
      <c r="H183" s="117"/>
      <c r="I183" s="117"/>
    </row>
    <row r="184" spans="8:9" x14ac:dyDescent="0.2">
      <c r="H184" s="117"/>
      <c r="I184" s="117"/>
    </row>
    <row r="185" spans="8:9" x14ac:dyDescent="0.2">
      <c r="H185" s="117"/>
      <c r="I185" s="117"/>
    </row>
    <row r="186" spans="8:9" x14ac:dyDescent="0.2">
      <c r="H186" s="117"/>
      <c r="I186" s="117"/>
    </row>
    <row r="187" spans="8:9" x14ac:dyDescent="0.2">
      <c r="H187" s="117"/>
      <c r="I187" s="117"/>
    </row>
    <row r="188" spans="8:9" x14ac:dyDescent="0.2">
      <c r="H188" s="117"/>
      <c r="I188" s="117"/>
    </row>
    <row r="189" spans="8:9" x14ac:dyDescent="0.2">
      <c r="H189" s="117"/>
      <c r="I189" s="117"/>
    </row>
    <row r="190" spans="8:9" x14ac:dyDescent="0.2">
      <c r="H190" s="117"/>
      <c r="I190" s="117"/>
    </row>
    <row r="191" spans="8:9" x14ac:dyDescent="0.2">
      <c r="H191" s="117"/>
      <c r="I191" s="117"/>
    </row>
    <row r="192" spans="8:9" x14ac:dyDescent="0.2">
      <c r="H192" s="117"/>
      <c r="I192" s="117"/>
    </row>
    <row r="193" spans="8:9" x14ac:dyDescent="0.2">
      <c r="H193" s="117"/>
      <c r="I193" s="117"/>
    </row>
    <row r="194" spans="8:9" x14ac:dyDescent="0.2">
      <c r="H194" s="117"/>
      <c r="I194" s="117"/>
    </row>
    <row r="195" spans="8:9" x14ac:dyDescent="0.2">
      <c r="H195" s="117"/>
      <c r="I195" s="117"/>
    </row>
    <row r="196" spans="8:9" x14ac:dyDescent="0.2">
      <c r="H196" s="117"/>
      <c r="I196" s="117"/>
    </row>
    <row r="197" spans="8:9" x14ac:dyDescent="0.2">
      <c r="H197" s="117"/>
      <c r="I197" s="117"/>
    </row>
    <row r="198" spans="8:9" x14ac:dyDescent="0.2">
      <c r="H198" s="117"/>
      <c r="I198" s="117"/>
    </row>
    <row r="199" spans="8:9" x14ac:dyDescent="0.2">
      <c r="H199" s="117"/>
      <c r="I199" s="117"/>
    </row>
    <row r="200" spans="8:9" x14ac:dyDescent="0.2">
      <c r="H200" s="117"/>
      <c r="I200" s="117"/>
    </row>
    <row r="201" spans="8:9" x14ac:dyDescent="0.2">
      <c r="H201" s="117"/>
      <c r="I201" s="117"/>
    </row>
    <row r="202" spans="8:9" x14ac:dyDescent="0.2">
      <c r="H202" s="117"/>
      <c r="I202" s="117"/>
    </row>
    <row r="203" spans="8:9" x14ac:dyDescent="0.2">
      <c r="H203" s="117"/>
      <c r="I203" s="117"/>
    </row>
    <row r="204" spans="8:9" x14ac:dyDescent="0.2">
      <c r="H204" s="117"/>
      <c r="I204" s="117"/>
    </row>
    <row r="205" spans="8:9" x14ac:dyDescent="0.2">
      <c r="H205" s="117"/>
      <c r="I205" s="117"/>
    </row>
    <row r="206" spans="8:9" x14ac:dyDescent="0.2">
      <c r="H206" s="117"/>
      <c r="I206" s="117"/>
    </row>
    <row r="207" spans="8:9" x14ac:dyDescent="0.2">
      <c r="H207" s="117"/>
      <c r="I207" s="117"/>
    </row>
    <row r="208" spans="8:9" x14ac:dyDescent="0.2">
      <c r="H208" s="117"/>
      <c r="I208" s="117"/>
    </row>
    <row r="209" spans="8:9" x14ac:dyDescent="0.2">
      <c r="H209" s="117"/>
      <c r="I209" s="117"/>
    </row>
    <row r="210" spans="8:9" x14ac:dyDescent="0.2">
      <c r="H210" s="117"/>
      <c r="I210" s="117"/>
    </row>
    <row r="211" spans="8:9" x14ac:dyDescent="0.2">
      <c r="H211" s="117"/>
      <c r="I211" s="117"/>
    </row>
    <row r="212" spans="8:9" x14ac:dyDescent="0.2">
      <c r="H212" s="117"/>
      <c r="I212" s="117"/>
    </row>
    <row r="213" spans="8:9" x14ac:dyDescent="0.2">
      <c r="H213" s="117"/>
      <c r="I213" s="117"/>
    </row>
    <row r="214" spans="8:9" x14ac:dyDescent="0.2">
      <c r="H214" s="117"/>
      <c r="I214" s="117"/>
    </row>
    <row r="215" spans="8:9" x14ac:dyDescent="0.2">
      <c r="H215" s="117"/>
      <c r="I215" s="117"/>
    </row>
    <row r="216" spans="8:9" x14ac:dyDescent="0.2">
      <c r="H216" s="117"/>
      <c r="I216" s="117"/>
    </row>
    <row r="217" spans="8:9" x14ac:dyDescent="0.2">
      <c r="H217" s="117"/>
      <c r="I217" s="117"/>
    </row>
    <row r="218" spans="8:9" x14ac:dyDescent="0.2">
      <c r="H218" s="117"/>
      <c r="I218" s="117"/>
    </row>
    <row r="219" spans="8:9" x14ac:dyDescent="0.2">
      <c r="H219" s="117"/>
      <c r="I219" s="117"/>
    </row>
    <row r="220" spans="8:9" x14ac:dyDescent="0.2">
      <c r="H220" s="117"/>
      <c r="I220" s="117"/>
    </row>
    <row r="221" spans="8:9" x14ac:dyDescent="0.2">
      <c r="H221" s="117"/>
      <c r="I221" s="117"/>
    </row>
    <row r="222" spans="8:9" x14ac:dyDescent="0.2">
      <c r="H222" s="117"/>
      <c r="I222" s="117"/>
    </row>
    <row r="223" spans="8:9" x14ac:dyDescent="0.2">
      <c r="H223" s="117"/>
      <c r="I223" s="117"/>
    </row>
    <row r="224" spans="8:9" x14ac:dyDescent="0.2">
      <c r="H224" s="117"/>
      <c r="I224" s="117"/>
    </row>
    <row r="225" spans="8:9" x14ac:dyDescent="0.2">
      <c r="H225" s="117"/>
      <c r="I225" s="117"/>
    </row>
    <row r="226" spans="8:9" x14ac:dyDescent="0.2">
      <c r="H226" s="117"/>
      <c r="I226" s="117"/>
    </row>
    <row r="227" spans="8:9" x14ac:dyDescent="0.2">
      <c r="H227" s="117"/>
      <c r="I227" s="117"/>
    </row>
    <row r="228" spans="8:9" x14ac:dyDescent="0.2">
      <c r="H228" s="117"/>
      <c r="I228" s="117"/>
    </row>
    <row r="229" spans="8:9" x14ac:dyDescent="0.2">
      <c r="H229" s="117"/>
      <c r="I229" s="117"/>
    </row>
    <row r="230" spans="8:9" x14ac:dyDescent="0.2">
      <c r="H230" s="117"/>
      <c r="I230" s="117"/>
    </row>
    <row r="231" spans="8:9" x14ac:dyDescent="0.2">
      <c r="H231" s="117"/>
      <c r="I231" s="117"/>
    </row>
    <row r="232" spans="8:9" x14ac:dyDescent="0.2">
      <c r="H232" s="117"/>
      <c r="I232" s="117"/>
    </row>
    <row r="233" spans="8:9" x14ac:dyDescent="0.2">
      <c r="H233" s="117"/>
      <c r="I233" s="117"/>
    </row>
    <row r="234" spans="8:9" x14ac:dyDescent="0.2">
      <c r="H234" s="117"/>
      <c r="I234" s="117"/>
    </row>
    <row r="235" spans="8:9" x14ac:dyDescent="0.2">
      <c r="H235" s="117"/>
      <c r="I235" s="117"/>
    </row>
    <row r="236" spans="8:9" x14ac:dyDescent="0.2">
      <c r="H236" s="117"/>
      <c r="I236" s="117"/>
    </row>
    <row r="237" spans="8:9" x14ac:dyDescent="0.2">
      <c r="H237" s="117"/>
      <c r="I237" s="117"/>
    </row>
    <row r="238" spans="8:9" x14ac:dyDescent="0.2">
      <c r="H238" s="117"/>
      <c r="I238" s="117"/>
    </row>
    <row r="239" spans="8:9" x14ac:dyDescent="0.2">
      <c r="H239" s="117"/>
      <c r="I239" s="117"/>
    </row>
    <row r="240" spans="8:9" x14ac:dyDescent="0.2">
      <c r="H240" s="117"/>
      <c r="I240" s="117"/>
    </row>
    <row r="241" spans="8:9" x14ac:dyDescent="0.2">
      <c r="H241" s="117"/>
      <c r="I241" s="117"/>
    </row>
    <row r="242" spans="8:9" x14ac:dyDescent="0.2">
      <c r="H242" s="117"/>
      <c r="I242" s="117"/>
    </row>
    <row r="243" spans="8:9" x14ac:dyDescent="0.2">
      <c r="H243" s="117"/>
      <c r="I243" s="117"/>
    </row>
    <row r="244" spans="8:9" x14ac:dyDescent="0.2">
      <c r="H244" s="117"/>
      <c r="I244" s="117"/>
    </row>
    <row r="245" spans="8:9" x14ac:dyDescent="0.2">
      <c r="H245" s="117"/>
      <c r="I245" s="117"/>
    </row>
    <row r="246" spans="8:9" x14ac:dyDescent="0.2">
      <c r="H246" s="117"/>
      <c r="I246" s="117"/>
    </row>
    <row r="247" spans="8:9" x14ac:dyDescent="0.2">
      <c r="H247" s="117"/>
      <c r="I247" s="117"/>
    </row>
    <row r="248" spans="8:9" x14ac:dyDescent="0.2">
      <c r="H248" s="117"/>
      <c r="I248" s="117"/>
    </row>
    <row r="249" spans="8:9" x14ac:dyDescent="0.2">
      <c r="H249" s="117"/>
      <c r="I249" s="117"/>
    </row>
    <row r="250" spans="8:9" x14ac:dyDescent="0.2">
      <c r="H250" s="117"/>
      <c r="I250" s="117"/>
    </row>
    <row r="251" spans="8:9" x14ac:dyDescent="0.2">
      <c r="H251" s="117"/>
      <c r="I251" s="117"/>
    </row>
    <row r="252" spans="8:9" x14ac:dyDescent="0.2">
      <c r="H252" s="117"/>
      <c r="I252" s="117"/>
    </row>
    <row r="253" spans="8:9" x14ac:dyDescent="0.2">
      <c r="H253" s="117"/>
      <c r="I253" s="117"/>
    </row>
    <row r="254" spans="8:9" x14ac:dyDescent="0.2">
      <c r="H254" s="117"/>
      <c r="I254" s="117"/>
    </row>
    <row r="255" spans="8:9" x14ac:dyDescent="0.2">
      <c r="H255" s="117"/>
      <c r="I255" s="117"/>
    </row>
    <row r="256" spans="8:9" x14ac:dyDescent="0.2">
      <c r="H256" s="117"/>
      <c r="I256" s="117"/>
    </row>
    <row r="257" spans="8:9" x14ac:dyDescent="0.2">
      <c r="H257" s="117"/>
      <c r="I257" s="117"/>
    </row>
    <row r="258" spans="8:9" x14ac:dyDescent="0.2">
      <c r="H258" s="117"/>
      <c r="I258" s="117"/>
    </row>
    <row r="259" spans="8:9" x14ac:dyDescent="0.2">
      <c r="H259" s="117"/>
      <c r="I259" s="117"/>
    </row>
    <row r="260" spans="8:9" x14ac:dyDescent="0.2">
      <c r="H260" s="117"/>
      <c r="I260" s="117"/>
    </row>
    <row r="261" spans="8:9" x14ac:dyDescent="0.2">
      <c r="H261" s="117"/>
      <c r="I261" s="117"/>
    </row>
    <row r="262" spans="8:9" x14ac:dyDescent="0.2">
      <c r="H262" s="117"/>
      <c r="I262" s="117"/>
    </row>
    <row r="263" spans="8:9" x14ac:dyDescent="0.2">
      <c r="H263" s="117"/>
      <c r="I263" s="117"/>
    </row>
    <row r="264" spans="8:9" x14ac:dyDescent="0.2">
      <c r="H264" s="117"/>
      <c r="I264" s="117"/>
    </row>
    <row r="265" spans="8:9" x14ac:dyDescent="0.2">
      <c r="H265" s="117"/>
      <c r="I265" s="117"/>
    </row>
    <row r="266" spans="8:9" x14ac:dyDescent="0.2">
      <c r="H266" s="117"/>
      <c r="I266" s="117"/>
    </row>
    <row r="267" spans="8:9" x14ac:dyDescent="0.2">
      <c r="H267" s="117"/>
      <c r="I267" s="117"/>
    </row>
    <row r="268" spans="8:9" x14ac:dyDescent="0.2">
      <c r="H268" s="117"/>
      <c r="I268" s="117"/>
    </row>
    <row r="269" spans="8:9" x14ac:dyDescent="0.2">
      <c r="H269" s="117"/>
      <c r="I269" s="117"/>
    </row>
    <row r="270" spans="8:9" x14ac:dyDescent="0.2">
      <c r="H270" s="117"/>
      <c r="I270" s="117"/>
    </row>
    <row r="271" spans="8:9" x14ac:dyDescent="0.2">
      <c r="H271" s="117"/>
      <c r="I271" s="117"/>
    </row>
    <row r="272" spans="8:9" x14ac:dyDescent="0.2">
      <c r="H272" s="117"/>
      <c r="I272" s="117"/>
    </row>
    <row r="273" spans="8:9" x14ac:dyDescent="0.2">
      <c r="H273" s="117"/>
      <c r="I273" s="117"/>
    </row>
    <row r="274" spans="8:9" x14ac:dyDescent="0.2">
      <c r="H274" s="117"/>
      <c r="I274" s="117"/>
    </row>
    <row r="275" spans="8:9" x14ac:dyDescent="0.2">
      <c r="H275" s="117"/>
      <c r="I275" s="117"/>
    </row>
    <row r="276" spans="8:9" x14ac:dyDescent="0.2">
      <c r="H276" s="117"/>
      <c r="I276" s="117"/>
    </row>
    <row r="277" spans="8:9" x14ac:dyDescent="0.2">
      <c r="H277" s="117"/>
      <c r="I277" s="117"/>
    </row>
    <row r="278" spans="8:9" x14ac:dyDescent="0.2">
      <c r="H278" s="117"/>
      <c r="I278" s="117"/>
    </row>
    <row r="279" spans="8:9" x14ac:dyDescent="0.2">
      <c r="H279" s="117"/>
      <c r="I279" s="117"/>
    </row>
    <row r="280" spans="8:9" x14ac:dyDescent="0.2">
      <c r="H280" s="117"/>
      <c r="I280" s="117"/>
    </row>
    <row r="281" spans="8:9" x14ac:dyDescent="0.2">
      <c r="H281" s="117"/>
      <c r="I281" s="117"/>
    </row>
    <row r="282" spans="8:9" x14ac:dyDescent="0.2">
      <c r="H282" s="117"/>
      <c r="I282" s="117"/>
    </row>
    <row r="283" spans="8:9" x14ac:dyDescent="0.2">
      <c r="H283" s="117"/>
      <c r="I283" s="117"/>
    </row>
    <row r="284" spans="8:9" x14ac:dyDescent="0.2">
      <c r="H284" s="117"/>
      <c r="I284" s="117"/>
    </row>
    <row r="285" spans="8:9" x14ac:dyDescent="0.2">
      <c r="H285" s="117"/>
      <c r="I285" s="117"/>
    </row>
    <row r="286" spans="8:9" x14ac:dyDescent="0.2">
      <c r="H286" s="117"/>
      <c r="I286" s="117"/>
    </row>
    <row r="287" spans="8:9" x14ac:dyDescent="0.2">
      <c r="H287" s="117"/>
      <c r="I287" s="117"/>
    </row>
    <row r="288" spans="8:9" x14ac:dyDescent="0.2">
      <c r="H288" s="117"/>
      <c r="I288" s="117"/>
    </row>
    <row r="289" spans="8:9" x14ac:dyDescent="0.2">
      <c r="H289" s="117"/>
      <c r="I289" s="117"/>
    </row>
    <row r="290" spans="8:9" x14ac:dyDescent="0.2">
      <c r="H290" s="117"/>
      <c r="I290" s="117"/>
    </row>
    <row r="291" spans="8:9" x14ac:dyDescent="0.2">
      <c r="H291" s="117"/>
      <c r="I291" s="117"/>
    </row>
    <row r="292" spans="8:9" x14ac:dyDescent="0.2">
      <c r="H292" s="117"/>
      <c r="I292" s="117"/>
    </row>
    <row r="293" spans="8:9" x14ac:dyDescent="0.2">
      <c r="H293" s="117"/>
      <c r="I293" s="117"/>
    </row>
    <row r="294" spans="8:9" x14ac:dyDescent="0.2">
      <c r="H294" s="117"/>
      <c r="I294" s="117"/>
    </row>
    <row r="295" spans="8:9" x14ac:dyDescent="0.2">
      <c r="H295" s="117"/>
      <c r="I295" s="117"/>
    </row>
    <row r="296" spans="8:9" x14ac:dyDescent="0.2">
      <c r="H296" s="117"/>
      <c r="I296" s="117"/>
    </row>
    <row r="297" spans="8:9" x14ac:dyDescent="0.2">
      <c r="H297" s="117"/>
      <c r="I297" s="117"/>
    </row>
    <row r="298" spans="8:9" x14ac:dyDescent="0.2">
      <c r="H298" s="117"/>
      <c r="I298" s="117"/>
    </row>
    <row r="299" spans="8:9" x14ac:dyDescent="0.2">
      <c r="H299" s="117"/>
      <c r="I299" s="117"/>
    </row>
    <row r="300" spans="8:9" x14ac:dyDescent="0.2">
      <c r="H300" s="117"/>
      <c r="I300" s="117"/>
    </row>
    <row r="301" spans="8:9" x14ac:dyDescent="0.2">
      <c r="H301" s="117"/>
      <c r="I301" s="117"/>
    </row>
    <row r="302" spans="8:9" x14ac:dyDescent="0.2">
      <c r="H302" s="117"/>
      <c r="I302" s="117"/>
    </row>
    <row r="303" spans="8:9" x14ac:dyDescent="0.2">
      <c r="H303" s="117"/>
      <c r="I303" s="117"/>
    </row>
    <row r="304" spans="8:9" x14ac:dyDescent="0.2">
      <c r="H304" s="117"/>
      <c r="I304" s="117"/>
    </row>
    <row r="305" spans="8:9" x14ac:dyDescent="0.2">
      <c r="H305" s="117"/>
      <c r="I305" s="117"/>
    </row>
    <row r="306" spans="8:9" x14ac:dyDescent="0.2">
      <c r="H306" s="117"/>
      <c r="I306" s="117"/>
    </row>
    <row r="307" spans="8:9" x14ac:dyDescent="0.2">
      <c r="H307" s="117"/>
      <c r="I307" s="117"/>
    </row>
    <row r="308" spans="8:9" x14ac:dyDescent="0.2">
      <c r="H308" s="117"/>
      <c r="I308" s="117"/>
    </row>
    <row r="309" spans="8:9" x14ac:dyDescent="0.2">
      <c r="H309" s="117"/>
      <c r="I309" s="117"/>
    </row>
    <row r="310" spans="8:9" x14ac:dyDescent="0.2">
      <c r="H310" s="117"/>
      <c r="I310" s="117"/>
    </row>
    <row r="311" spans="8:9" x14ac:dyDescent="0.2">
      <c r="H311" s="117"/>
      <c r="I311" s="117"/>
    </row>
    <row r="312" spans="8:9" x14ac:dyDescent="0.2">
      <c r="H312" s="117"/>
      <c r="I312" s="117"/>
    </row>
    <row r="313" spans="8:9" x14ac:dyDescent="0.2">
      <c r="H313" s="117"/>
      <c r="I313" s="117"/>
    </row>
    <row r="314" spans="8:9" x14ac:dyDescent="0.2">
      <c r="H314" s="117"/>
      <c r="I314" s="117"/>
    </row>
    <row r="315" spans="8:9" x14ac:dyDescent="0.2">
      <c r="H315" s="117"/>
      <c r="I315" s="117"/>
    </row>
    <row r="316" spans="8:9" x14ac:dyDescent="0.2">
      <c r="H316" s="117"/>
      <c r="I316" s="117"/>
    </row>
    <row r="317" spans="8:9" x14ac:dyDescent="0.2">
      <c r="H317" s="117"/>
      <c r="I317" s="117"/>
    </row>
    <row r="318" spans="8:9" x14ac:dyDescent="0.2">
      <c r="H318" s="117"/>
      <c r="I318" s="117"/>
    </row>
    <row r="319" spans="8:9" x14ac:dyDescent="0.2">
      <c r="H319" s="117"/>
      <c r="I319" s="117"/>
    </row>
    <row r="320" spans="8:9" x14ac:dyDescent="0.2">
      <c r="H320" s="117"/>
      <c r="I320" s="117"/>
    </row>
    <row r="321" spans="8:9" x14ac:dyDescent="0.2">
      <c r="H321" s="117"/>
      <c r="I321" s="117"/>
    </row>
    <row r="322" spans="8:9" x14ac:dyDescent="0.2">
      <c r="H322" s="117"/>
      <c r="I322" s="117"/>
    </row>
    <row r="323" spans="8:9" x14ac:dyDescent="0.2">
      <c r="H323" s="117"/>
      <c r="I323" s="117"/>
    </row>
    <row r="324" spans="8:9" x14ac:dyDescent="0.2">
      <c r="H324" s="117"/>
      <c r="I324" s="117"/>
    </row>
    <row r="325" spans="8:9" x14ac:dyDescent="0.2">
      <c r="H325" s="117"/>
      <c r="I325" s="117"/>
    </row>
    <row r="326" spans="8:9" x14ac:dyDescent="0.2">
      <c r="H326" s="117"/>
      <c r="I326" s="117"/>
    </row>
    <row r="327" spans="8:9" x14ac:dyDescent="0.2">
      <c r="H327" s="117"/>
      <c r="I327" s="117"/>
    </row>
    <row r="328" spans="8:9" x14ac:dyDescent="0.2">
      <c r="H328" s="117"/>
      <c r="I328" s="117"/>
    </row>
    <row r="329" spans="8:9" x14ac:dyDescent="0.2">
      <c r="H329" s="117"/>
      <c r="I329" s="117"/>
    </row>
    <row r="330" spans="8:9" x14ac:dyDescent="0.2">
      <c r="H330" s="117"/>
      <c r="I330" s="117"/>
    </row>
    <row r="331" spans="8:9" x14ac:dyDescent="0.2">
      <c r="H331" s="117"/>
      <c r="I331" s="117"/>
    </row>
    <row r="332" spans="8:9" x14ac:dyDescent="0.2">
      <c r="H332" s="117"/>
      <c r="I332" s="117"/>
    </row>
    <row r="333" spans="8:9" x14ac:dyDescent="0.2">
      <c r="H333" s="117"/>
      <c r="I333" s="117"/>
    </row>
    <row r="334" spans="8:9" x14ac:dyDescent="0.2">
      <c r="H334" s="117"/>
      <c r="I334" s="117"/>
    </row>
    <row r="335" spans="8:9" x14ac:dyDescent="0.2">
      <c r="H335" s="117"/>
      <c r="I335" s="117"/>
    </row>
    <row r="336" spans="8:9" x14ac:dyDescent="0.2">
      <c r="H336" s="117"/>
      <c r="I336" s="117"/>
    </row>
    <row r="337" spans="8:9" x14ac:dyDescent="0.2">
      <c r="H337" s="117"/>
      <c r="I337" s="117"/>
    </row>
    <row r="338" spans="8:9" x14ac:dyDescent="0.2">
      <c r="H338" s="117"/>
      <c r="I338" s="117"/>
    </row>
    <row r="339" spans="8:9" x14ac:dyDescent="0.2">
      <c r="H339" s="117"/>
      <c r="I339" s="117"/>
    </row>
    <row r="340" spans="8:9" x14ac:dyDescent="0.2">
      <c r="H340" s="117"/>
      <c r="I340" s="117"/>
    </row>
    <row r="341" spans="8:9" x14ac:dyDescent="0.2">
      <c r="H341" s="117"/>
      <c r="I341" s="117"/>
    </row>
    <row r="342" spans="8:9" x14ac:dyDescent="0.2">
      <c r="H342" s="117"/>
      <c r="I342" s="117"/>
    </row>
    <row r="343" spans="8:9" x14ac:dyDescent="0.2">
      <c r="H343" s="117"/>
      <c r="I343" s="117"/>
    </row>
    <row r="344" spans="8:9" x14ac:dyDescent="0.2">
      <c r="H344" s="117"/>
      <c r="I344" s="117"/>
    </row>
    <row r="345" spans="8:9" x14ac:dyDescent="0.2">
      <c r="H345" s="117"/>
      <c r="I345" s="117"/>
    </row>
    <row r="346" spans="8:9" x14ac:dyDescent="0.2">
      <c r="H346" s="117"/>
      <c r="I346" s="117"/>
    </row>
    <row r="347" spans="8:9" x14ac:dyDescent="0.2">
      <c r="H347" s="117"/>
      <c r="I347" s="117"/>
    </row>
    <row r="348" spans="8:9" x14ac:dyDescent="0.2">
      <c r="H348" s="117"/>
      <c r="I348" s="117"/>
    </row>
    <row r="349" spans="8:9" x14ac:dyDescent="0.2">
      <c r="H349" s="117"/>
      <c r="I349" s="117"/>
    </row>
    <row r="350" spans="8:9" x14ac:dyDescent="0.2">
      <c r="H350" s="117"/>
      <c r="I350" s="117"/>
    </row>
    <row r="351" spans="8:9" x14ac:dyDescent="0.2">
      <c r="H351" s="117"/>
      <c r="I351" s="117"/>
    </row>
    <row r="352" spans="8:9" x14ac:dyDescent="0.2">
      <c r="H352" s="117"/>
      <c r="I352" s="117"/>
    </row>
    <row r="353" spans="8:9" x14ac:dyDescent="0.2">
      <c r="H353" s="117"/>
      <c r="I353" s="117"/>
    </row>
    <row r="354" spans="8:9" x14ac:dyDescent="0.2">
      <c r="H354" s="117"/>
      <c r="I354" s="117"/>
    </row>
    <row r="355" spans="8:9" x14ac:dyDescent="0.2">
      <c r="H355" s="117"/>
      <c r="I355" s="117"/>
    </row>
    <row r="356" spans="8:9" x14ac:dyDescent="0.2">
      <c r="H356" s="117"/>
      <c r="I356" s="117"/>
    </row>
    <row r="357" spans="8:9" x14ac:dyDescent="0.2">
      <c r="H357" s="117"/>
      <c r="I357" s="117"/>
    </row>
    <row r="358" spans="8:9" x14ac:dyDescent="0.2">
      <c r="H358" s="117"/>
      <c r="I358" s="117"/>
    </row>
    <row r="359" spans="8:9" x14ac:dyDescent="0.2">
      <c r="H359" s="117"/>
      <c r="I359" s="117"/>
    </row>
    <row r="360" spans="8:9" x14ac:dyDescent="0.2">
      <c r="H360" s="117"/>
      <c r="I360" s="117"/>
    </row>
    <row r="361" spans="8:9" x14ac:dyDescent="0.2">
      <c r="H361" s="117"/>
      <c r="I361" s="117"/>
    </row>
    <row r="362" spans="8:9" x14ac:dyDescent="0.2">
      <c r="H362" s="117"/>
      <c r="I362" s="117"/>
    </row>
    <row r="363" spans="8:9" x14ac:dyDescent="0.2">
      <c r="H363" s="117"/>
      <c r="I363" s="117"/>
    </row>
    <row r="364" spans="8:9" x14ac:dyDescent="0.2">
      <c r="H364" s="117"/>
      <c r="I364" s="117"/>
    </row>
    <row r="365" spans="8:9" x14ac:dyDescent="0.2">
      <c r="H365" s="117"/>
      <c r="I365" s="117"/>
    </row>
    <row r="366" spans="8:9" x14ac:dyDescent="0.2">
      <c r="H366" s="117"/>
      <c r="I366" s="117"/>
    </row>
    <row r="367" spans="8:9" x14ac:dyDescent="0.2">
      <c r="H367" s="117"/>
      <c r="I367" s="117"/>
    </row>
    <row r="368" spans="8:9" x14ac:dyDescent="0.2">
      <c r="H368" s="117"/>
      <c r="I368" s="117"/>
    </row>
    <row r="369" spans="8:9" x14ac:dyDescent="0.2">
      <c r="H369" s="117"/>
      <c r="I369" s="117"/>
    </row>
    <row r="370" spans="8:9" x14ac:dyDescent="0.2">
      <c r="H370" s="117"/>
      <c r="I370" s="117"/>
    </row>
    <row r="371" spans="8:9" x14ac:dyDescent="0.2">
      <c r="H371" s="117"/>
      <c r="I371" s="117"/>
    </row>
    <row r="372" spans="8:9" x14ac:dyDescent="0.2">
      <c r="H372" s="117"/>
      <c r="I372" s="117"/>
    </row>
    <row r="373" spans="8:9" x14ac:dyDescent="0.2">
      <c r="H373" s="117"/>
      <c r="I373" s="117"/>
    </row>
    <row r="374" spans="8:9" x14ac:dyDescent="0.2">
      <c r="H374" s="117"/>
      <c r="I374" s="117"/>
    </row>
    <row r="375" spans="8:9" x14ac:dyDescent="0.2">
      <c r="H375" s="117"/>
      <c r="I375" s="117"/>
    </row>
    <row r="376" spans="8:9" x14ac:dyDescent="0.2">
      <c r="H376" s="117"/>
      <c r="I376" s="117"/>
    </row>
    <row r="377" spans="8:9" x14ac:dyDescent="0.2">
      <c r="H377" s="117"/>
      <c r="I377" s="117"/>
    </row>
    <row r="378" spans="8:9" x14ac:dyDescent="0.2">
      <c r="H378" s="117"/>
      <c r="I378" s="117"/>
    </row>
    <row r="379" spans="8:9" x14ac:dyDescent="0.2">
      <c r="H379" s="117"/>
      <c r="I379" s="117"/>
    </row>
    <row r="380" spans="8:9" x14ac:dyDescent="0.2">
      <c r="H380" s="117"/>
      <c r="I380" s="117"/>
    </row>
    <row r="381" spans="8:9" x14ac:dyDescent="0.2">
      <c r="H381" s="117"/>
      <c r="I381" s="117"/>
    </row>
    <row r="382" spans="8:9" x14ac:dyDescent="0.2">
      <c r="H382" s="117"/>
      <c r="I382" s="117"/>
    </row>
    <row r="383" spans="8:9" x14ac:dyDescent="0.2">
      <c r="H383" s="117"/>
      <c r="I383" s="117"/>
    </row>
    <row r="384" spans="8:9" x14ac:dyDescent="0.2">
      <c r="H384" s="117"/>
      <c r="I384" s="117"/>
    </row>
    <row r="385" spans="8:9" x14ac:dyDescent="0.2">
      <c r="H385" s="117"/>
      <c r="I385" s="117"/>
    </row>
    <row r="386" spans="8:9" x14ac:dyDescent="0.2">
      <c r="H386" s="117"/>
      <c r="I386" s="117"/>
    </row>
    <row r="387" spans="8:9" x14ac:dyDescent="0.2">
      <c r="H387" s="117"/>
      <c r="I387" s="117"/>
    </row>
    <row r="388" spans="8:9" x14ac:dyDescent="0.2">
      <c r="H388" s="117"/>
      <c r="I388" s="117"/>
    </row>
    <row r="389" spans="8:9" x14ac:dyDescent="0.2">
      <c r="H389" s="117"/>
      <c r="I389" s="117"/>
    </row>
    <row r="390" spans="8:9" x14ac:dyDescent="0.2">
      <c r="H390" s="117"/>
      <c r="I390" s="117"/>
    </row>
    <row r="391" spans="8:9" x14ac:dyDescent="0.2">
      <c r="H391" s="117"/>
      <c r="I391" s="117"/>
    </row>
    <row r="392" spans="8:9" x14ac:dyDescent="0.2">
      <c r="H392" s="117"/>
      <c r="I392" s="117"/>
    </row>
    <row r="393" spans="8:9" x14ac:dyDescent="0.2">
      <c r="H393" s="117"/>
      <c r="I393" s="117"/>
    </row>
    <row r="394" spans="8:9" x14ac:dyDescent="0.2">
      <c r="H394" s="117"/>
      <c r="I394" s="117"/>
    </row>
    <row r="395" spans="8:9" x14ac:dyDescent="0.2">
      <c r="H395" s="117"/>
      <c r="I395" s="117"/>
    </row>
    <row r="396" spans="8:9" x14ac:dyDescent="0.2">
      <c r="H396" s="117"/>
      <c r="I396" s="117"/>
    </row>
    <row r="397" spans="8:9" x14ac:dyDescent="0.2">
      <c r="H397" s="117"/>
      <c r="I397" s="117"/>
    </row>
    <row r="398" spans="8:9" x14ac:dyDescent="0.2">
      <c r="H398" s="117"/>
      <c r="I398" s="117"/>
    </row>
    <row r="399" spans="8:9" x14ac:dyDescent="0.2">
      <c r="H399" s="117"/>
      <c r="I399" s="117"/>
    </row>
    <row r="400" spans="8:9" x14ac:dyDescent="0.2">
      <c r="H400" s="117"/>
      <c r="I400" s="117"/>
    </row>
    <row r="401" spans="8:9" x14ac:dyDescent="0.2">
      <c r="H401" s="117"/>
      <c r="I401" s="117"/>
    </row>
    <row r="402" spans="8:9" x14ac:dyDescent="0.2">
      <c r="H402" s="117"/>
      <c r="I402" s="117"/>
    </row>
    <row r="403" spans="8:9" x14ac:dyDescent="0.2">
      <c r="H403" s="117"/>
      <c r="I403" s="117"/>
    </row>
    <row r="404" spans="8:9" x14ac:dyDescent="0.2">
      <c r="H404" s="117"/>
      <c r="I404" s="117"/>
    </row>
    <row r="405" spans="8:9" x14ac:dyDescent="0.2">
      <c r="H405" s="117"/>
      <c r="I405" s="117"/>
    </row>
    <row r="406" spans="8:9" x14ac:dyDescent="0.2">
      <c r="H406" s="117"/>
      <c r="I406" s="117"/>
    </row>
    <row r="407" spans="8:9" x14ac:dyDescent="0.2">
      <c r="H407" s="117"/>
      <c r="I407" s="117"/>
    </row>
    <row r="408" spans="8:9" x14ac:dyDescent="0.2">
      <c r="H408" s="117"/>
      <c r="I408" s="117"/>
    </row>
    <row r="409" spans="8:9" x14ac:dyDescent="0.2">
      <c r="H409" s="117"/>
      <c r="I409" s="117"/>
    </row>
    <row r="410" spans="8:9" x14ac:dyDescent="0.2">
      <c r="H410" s="117"/>
      <c r="I410" s="117"/>
    </row>
    <row r="411" spans="8:9" x14ac:dyDescent="0.2">
      <c r="H411" s="117"/>
      <c r="I411" s="117"/>
    </row>
    <row r="412" spans="8:9" x14ac:dyDescent="0.2">
      <c r="H412" s="117"/>
      <c r="I412" s="117"/>
    </row>
    <row r="413" spans="8:9" x14ac:dyDescent="0.2">
      <c r="H413" s="117"/>
      <c r="I413" s="117"/>
    </row>
    <row r="414" spans="8:9" x14ac:dyDescent="0.2">
      <c r="H414" s="117"/>
      <c r="I414" s="117"/>
    </row>
    <row r="415" spans="8:9" x14ac:dyDescent="0.2">
      <c r="H415" s="117"/>
      <c r="I415" s="117"/>
    </row>
    <row r="416" spans="8:9" x14ac:dyDescent="0.2">
      <c r="H416" s="117"/>
      <c r="I416" s="117"/>
    </row>
    <row r="417" spans="8:9" x14ac:dyDescent="0.2">
      <c r="H417" s="117"/>
      <c r="I417" s="117"/>
    </row>
    <row r="418" spans="8:9" x14ac:dyDescent="0.2">
      <c r="H418" s="117"/>
      <c r="I418" s="117"/>
    </row>
    <row r="419" spans="8:9" x14ac:dyDescent="0.2">
      <c r="H419" s="117"/>
      <c r="I419" s="117"/>
    </row>
    <row r="420" spans="8:9" x14ac:dyDescent="0.2">
      <c r="H420" s="117"/>
      <c r="I420" s="117"/>
    </row>
    <row r="421" spans="8:9" x14ac:dyDescent="0.2">
      <c r="H421" s="117"/>
      <c r="I421" s="117"/>
    </row>
    <row r="422" spans="8:9" x14ac:dyDescent="0.2">
      <c r="H422" s="117"/>
      <c r="I422" s="117"/>
    </row>
    <row r="423" spans="8:9" x14ac:dyDescent="0.2">
      <c r="H423" s="117"/>
      <c r="I423" s="117"/>
    </row>
    <row r="424" spans="8:9" x14ac:dyDescent="0.2">
      <c r="H424" s="117"/>
      <c r="I424" s="117"/>
    </row>
    <row r="425" spans="8:9" x14ac:dyDescent="0.2">
      <c r="H425" s="117"/>
      <c r="I425" s="117"/>
    </row>
    <row r="426" spans="8:9" x14ac:dyDescent="0.2">
      <c r="H426" s="117"/>
      <c r="I426" s="117"/>
    </row>
    <row r="427" spans="8:9" x14ac:dyDescent="0.2">
      <c r="H427" s="117"/>
      <c r="I427" s="117"/>
    </row>
    <row r="428" spans="8:9" x14ac:dyDescent="0.2">
      <c r="H428" s="117"/>
      <c r="I428" s="117"/>
    </row>
    <row r="429" spans="8:9" x14ac:dyDescent="0.2">
      <c r="H429" s="117"/>
      <c r="I429" s="117"/>
    </row>
    <row r="430" spans="8:9" x14ac:dyDescent="0.2">
      <c r="H430" s="117"/>
      <c r="I430" s="117"/>
    </row>
    <row r="431" spans="8:9" x14ac:dyDescent="0.2">
      <c r="H431" s="117"/>
      <c r="I431" s="117"/>
    </row>
    <row r="432" spans="8:9" x14ac:dyDescent="0.2">
      <c r="H432" s="117"/>
      <c r="I432" s="117"/>
    </row>
    <row r="433" spans="8:9" x14ac:dyDescent="0.2">
      <c r="H433" s="117"/>
      <c r="I433" s="117"/>
    </row>
    <row r="434" spans="8:9" x14ac:dyDescent="0.2">
      <c r="H434" s="117"/>
      <c r="I434" s="117"/>
    </row>
    <row r="435" spans="8:9" x14ac:dyDescent="0.2">
      <c r="H435" s="117"/>
      <c r="I435" s="117"/>
    </row>
    <row r="436" spans="8:9" x14ac:dyDescent="0.2">
      <c r="H436" s="117"/>
      <c r="I436" s="117"/>
    </row>
    <row r="437" spans="8:9" x14ac:dyDescent="0.2">
      <c r="H437" s="117"/>
      <c r="I437" s="117"/>
    </row>
    <row r="438" spans="8:9" x14ac:dyDescent="0.2">
      <c r="H438" s="117"/>
      <c r="I438" s="117"/>
    </row>
    <row r="439" spans="8:9" x14ac:dyDescent="0.2">
      <c r="H439" s="117"/>
      <c r="I439" s="117"/>
    </row>
    <row r="440" spans="8:9" x14ac:dyDescent="0.2">
      <c r="H440" s="117"/>
      <c r="I440" s="117"/>
    </row>
    <row r="441" spans="8:9" x14ac:dyDescent="0.2">
      <c r="H441" s="117"/>
      <c r="I441" s="117"/>
    </row>
    <row r="442" spans="8:9" x14ac:dyDescent="0.2">
      <c r="H442" s="117"/>
      <c r="I442" s="117"/>
    </row>
    <row r="443" spans="8:9" x14ac:dyDescent="0.2">
      <c r="H443" s="117"/>
      <c r="I443" s="117"/>
    </row>
    <row r="444" spans="8:9" x14ac:dyDescent="0.2">
      <c r="H444" s="117"/>
      <c r="I444" s="117"/>
    </row>
    <row r="445" spans="8:9" x14ac:dyDescent="0.2">
      <c r="H445" s="117"/>
      <c r="I445" s="117"/>
    </row>
    <row r="446" spans="8:9" x14ac:dyDescent="0.2">
      <c r="H446" s="117"/>
      <c r="I446" s="117"/>
    </row>
    <row r="447" spans="8:9" x14ac:dyDescent="0.2">
      <c r="H447" s="117"/>
      <c r="I447" s="117"/>
    </row>
    <row r="448" spans="8:9" x14ac:dyDescent="0.2">
      <c r="H448" s="117"/>
      <c r="I448" s="117"/>
    </row>
    <row r="449" spans="8:9" x14ac:dyDescent="0.2">
      <c r="H449" s="117"/>
      <c r="I449" s="117"/>
    </row>
    <row r="450" spans="8:9" x14ac:dyDescent="0.2">
      <c r="H450" s="117"/>
      <c r="I450" s="117"/>
    </row>
    <row r="451" spans="8:9" x14ac:dyDescent="0.2">
      <c r="H451" s="117"/>
      <c r="I451" s="117"/>
    </row>
    <row r="452" spans="8:9" x14ac:dyDescent="0.2">
      <c r="H452" s="117"/>
      <c r="I452" s="117"/>
    </row>
    <row r="453" spans="8:9" x14ac:dyDescent="0.2">
      <c r="H453" s="117"/>
      <c r="I453" s="117"/>
    </row>
    <row r="454" spans="8:9" x14ac:dyDescent="0.2">
      <c r="H454" s="117"/>
      <c r="I454" s="117"/>
    </row>
    <row r="455" spans="8:9" x14ac:dyDescent="0.2">
      <c r="H455" s="117"/>
      <c r="I455" s="117"/>
    </row>
    <row r="456" spans="8:9" x14ac:dyDescent="0.2">
      <c r="H456" s="117"/>
      <c r="I456" s="117"/>
    </row>
    <row r="457" spans="8:9" x14ac:dyDescent="0.2">
      <c r="H457" s="117"/>
      <c r="I457" s="117"/>
    </row>
    <row r="458" spans="8:9" x14ac:dyDescent="0.2">
      <c r="H458" s="117"/>
      <c r="I458" s="117"/>
    </row>
    <row r="459" spans="8:9" x14ac:dyDescent="0.2">
      <c r="H459" s="117"/>
      <c r="I459" s="117"/>
    </row>
    <row r="460" spans="8:9" x14ac:dyDescent="0.2">
      <c r="H460" s="117"/>
      <c r="I460" s="117"/>
    </row>
    <row r="461" spans="8:9" x14ac:dyDescent="0.2">
      <c r="H461" s="117"/>
      <c r="I461" s="117"/>
    </row>
    <row r="462" spans="8:9" x14ac:dyDescent="0.2">
      <c r="H462" s="117"/>
      <c r="I462" s="117"/>
    </row>
    <row r="463" spans="8:9" x14ac:dyDescent="0.2">
      <c r="H463" s="117"/>
      <c r="I463" s="117"/>
    </row>
    <row r="464" spans="8:9" x14ac:dyDescent="0.2">
      <c r="H464" s="117"/>
      <c r="I464" s="117"/>
    </row>
    <row r="465" spans="8:9" x14ac:dyDescent="0.2">
      <c r="H465" s="117"/>
      <c r="I465" s="117"/>
    </row>
    <row r="466" spans="8:9" x14ac:dyDescent="0.2">
      <c r="H466" s="117"/>
      <c r="I466" s="117"/>
    </row>
    <row r="467" spans="8:9" x14ac:dyDescent="0.2">
      <c r="H467" s="117"/>
      <c r="I467" s="117"/>
    </row>
    <row r="468" spans="8:9" x14ac:dyDescent="0.2">
      <c r="H468" s="117"/>
      <c r="I468" s="117"/>
    </row>
    <row r="469" spans="8:9" x14ac:dyDescent="0.2">
      <c r="H469" s="117"/>
      <c r="I469" s="117"/>
    </row>
    <row r="470" spans="8:9" x14ac:dyDescent="0.2">
      <c r="H470" s="117"/>
      <c r="I470" s="117"/>
    </row>
    <row r="471" spans="8:9" x14ac:dyDescent="0.2">
      <c r="H471" s="117"/>
      <c r="I471" s="117"/>
    </row>
    <row r="472" spans="8:9" x14ac:dyDescent="0.2">
      <c r="H472" s="117"/>
      <c r="I472" s="117"/>
    </row>
    <row r="473" spans="8:9" x14ac:dyDescent="0.2">
      <c r="H473" s="117"/>
      <c r="I473" s="117"/>
    </row>
    <row r="474" spans="8:9" x14ac:dyDescent="0.2">
      <c r="H474" s="117"/>
      <c r="I474" s="117"/>
    </row>
    <row r="475" spans="8:9" x14ac:dyDescent="0.2">
      <c r="H475" s="117"/>
      <c r="I475" s="117"/>
    </row>
    <row r="476" spans="8:9" x14ac:dyDescent="0.2">
      <c r="H476" s="117"/>
      <c r="I476" s="117"/>
    </row>
    <row r="477" spans="8:9" x14ac:dyDescent="0.2">
      <c r="H477" s="117"/>
      <c r="I477" s="117"/>
    </row>
    <row r="478" spans="8:9" x14ac:dyDescent="0.2">
      <c r="H478" s="117"/>
      <c r="I478" s="117"/>
    </row>
    <row r="479" spans="8:9" x14ac:dyDescent="0.2">
      <c r="H479" s="117"/>
      <c r="I479" s="117"/>
    </row>
    <row r="480" spans="8:9" x14ac:dyDescent="0.2">
      <c r="H480" s="117"/>
      <c r="I480" s="117"/>
    </row>
    <row r="481" spans="8:9" x14ac:dyDescent="0.2">
      <c r="H481" s="117"/>
      <c r="I481" s="117"/>
    </row>
    <row r="482" spans="8:9" x14ac:dyDescent="0.2">
      <c r="H482" s="117"/>
      <c r="I482" s="117"/>
    </row>
    <row r="483" spans="8:9" x14ac:dyDescent="0.2">
      <c r="H483" s="117"/>
      <c r="I483" s="117"/>
    </row>
    <row r="484" spans="8:9" x14ac:dyDescent="0.2">
      <c r="H484" s="117"/>
      <c r="I484" s="117"/>
    </row>
    <row r="485" spans="8:9" x14ac:dyDescent="0.2">
      <c r="H485" s="117"/>
      <c r="I485" s="117"/>
    </row>
    <row r="486" spans="8:9" x14ac:dyDescent="0.2">
      <c r="H486" s="117"/>
      <c r="I486" s="117"/>
    </row>
    <row r="487" spans="8:9" x14ac:dyDescent="0.2">
      <c r="H487" s="117"/>
      <c r="I487" s="117"/>
    </row>
    <row r="488" spans="8:9" x14ac:dyDescent="0.2">
      <c r="H488" s="117"/>
      <c r="I488" s="117"/>
    </row>
    <row r="489" spans="8:9" x14ac:dyDescent="0.2">
      <c r="H489" s="117"/>
      <c r="I489" s="117"/>
    </row>
    <row r="490" spans="8:9" x14ac:dyDescent="0.2">
      <c r="H490" s="117"/>
      <c r="I490" s="117"/>
    </row>
    <row r="491" spans="8:9" x14ac:dyDescent="0.2">
      <c r="H491" s="117"/>
      <c r="I491" s="117"/>
    </row>
    <row r="492" spans="8:9" x14ac:dyDescent="0.2">
      <c r="H492" s="117"/>
      <c r="I492" s="117"/>
    </row>
    <row r="493" spans="8:9" x14ac:dyDescent="0.2">
      <c r="H493" s="117"/>
      <c r="I493" s="117"/>
    </row>
    <row r="494" spans="8:9" x14ac:dyDescent="0.2">
      <c r="H494" s="117"/>
      <c r="I494" s="117"/>
    </row>
    <row r="495" spans="8:9" x14ac:dyDescent="0.2">
      <c r="H495" s="117"/>
      <c r="I495" s="117"/>
    </row>
    <row r="496" spans="8:9" x14ac:dyDescent="0.2">
      <c r="H496" s="117"/>
      <c r="I496" s="117"/>
    </row>
    <row r="497" spans="8:9" x14ac:dyDescent="0.2">
      <c r="H497" s="117"/>
      <c r="I497" s="117"/>
    </row>
    <row r="498" spans="8:9" x14ac:dyDescent="0.2">
      <c r="H498" s="117"/>
      <c r="I498" s="117"/>
    </row>
    <row r="499" spans="8:9" x14ac:dyDescent="0.2">
      <c r="H499" s="117"/>
      <c r="I499" s="117"/>
    </row>
    <row r="500" spans="8:9" x14ac:dyDescent="0.2">
      <c r="H500" s="117"/>
      <c r="I500" s="117"/>
    </row>
    <row r="501" spans="8:9" x14ac:dyDescent="0.2">
      <c r="H501" s="117"/>
      <c r="I501" s="117"/>
    </row>
    <row r="502" spans="8:9" x14ac:dyDescent="0.2">
      <c r="H502" s="117"/>
      <c r="I502" s="117"/>
    </row>
    <row r="503" spans="8:9" x14ac:dyDescent="0.2">
      <c r="H503" s="117"/>
      <c r="I503" s="117"/>
    </row>
    <row r="504" spans="8:9" x14ac:dyDescent="0.2">
      <c r="H504" s="117"/>
      <c r="I504" s="117"/>
    </row>
    <row r="505" spans="8:9" x14ac:dyDescent="0.2">
      <c r="H505" s="117"/>
      <c r="I505" s="117"/>
    </row>
    <row r="506" spans="8:9" x14ac:dyDescent="0.2">
      <c r="H506" s="117"/>
      <c r="I506" s="117"/>
    </row>
    <row r="507" spans="8:9" x14ac:dyDescent="0.2">
      <c r="H507" s="117"/>
      <c r="I507" s="117"/>
    </row>
    <row r="508" spans="8:9" x14ac:dyDescent="0.2">
      <c r="H508" s="117"/>
      <c r="I508" s="117"/>
    </row>
    <row r="509" spans="8:9" x14ac:dyDescent="0.2">
      <c r="H509" s="117"/>
      <c r="I509" s="117"/>
    </row>
    <row r="510" spans="8:9" x14ac:dyDescent="0.2">
      <c r="H510" s="117"/>
      <c r="I510" s="117"/>
    </row>
    <row r="511" spans="8:9" x14ac:dyDescent="0.2">
      <c r="H511" s="117"/>
      <c r="I511" s="117"/>
    </row>
    <row r="512" spans="8:9" x14ac:dyDescent="0.2">
      <c r="H512" s="117"/>
      <c r="I512" s="117"/>
    </row>
    <row r="513" spans="8:9" x14ac:dyDescent="0.2">
      <c r="H513" s="117"/>
      <c r="I513" s="117"/>
    </row>
    <row r="514" spans="8:9" x14ac:dyDescent="0.2">
      <c r="H514" s="117"/>
      <c r="I514" s="117"/>
    </row>
    <row r="515" spans="8:9" x14ac:dyDescent="0.2">
      <c r="H515" s="117"/>
      <c r="I515" s="117"/>
    </row>
    <row r="516" spans="8:9" x14ac:dyDescent="0.2">
      <c r="H516" s="117"/>
      <c r="I516" s="117"/>
    </row>
    <row r="517" spans="8:9" x14ac:dyDescent="0.2">
      <c r="H517" s="117"/>
      <c r="I517" s="117"/>
    </row>
    <row r="518" spans="8:9" x14ac:dyDescent="0.2">
      <c r="H518" s="117"/>
      <c r="I518" s="117"/>
    </row>
    <row r="519" spans="8:9" x14ac:dyDescent="0.2">
      <c r="H519" s="117"/>
      <c r="I519" s="117"/>
    </row>
    <row r="520" spans="8:9" x14ac:dyDescent="0.2">
      <c r="H520" s="117"/>
      <c r="I520" s="117"/>
    </row>
    <row r="521" spans="8:9" x14ac:dyDescent="0.2">
      <c r="H521" s="117"/>
      <c r="I521" s="117"/>
    </row>
    <row r="522" spans="8:9" x14ac:dyDescent="0.2">
      <c r="H522" s="117"/>
      <c r="I522" s="117"/>
    </row>
    <row r="523" spans="8:9" x14ac:dyDescent="0.2">
      <c r="H523" s="117"/>
      <c r="I523" s="117"/>
    </row>
    <row r="524" spans="8:9" x14ac:dyDescent="0.2">
      <c r="H524" s="117"/>
      <c r="I524" s="117"/>
    </row>
    <row r="525" spans="8:9" x14ac:dyDescent="0.2">
      <c r="H525" s="117"/>
      <c r="I525" s="117"/>
    </row>
    <row r="526" spans="8:9" x14ac:dyDescent="0.2">
      <c r="H526" s="117"/>
      <c r="I526" s="117"/>
    </row>
    <row r="527" spans="8:9" x14ac:dyDescent="0.2">
      <c r="H527" s="117"/>
      <c r="I527" s="117"/>
    </row>
    <row r="528" spans="8:9" x14ac:dyDescent="0.2">
      <c r="H528" s="117"/>
      <c r="I528" s="117"/>
    </row>
    <row r="529" spans="8:9" x14ac:dyDescent="0.2">
      <c r="H529" s="117"/>
      <c r="I529" s="117"/>
    </row>
    <row r="530" spans="8:9" x14ac:dyDescent="0.2">
      <c r="H530" s="117"/>
      <c r="I530" s="117"/>
    </row>
    <row r="531" spans="8:9" x14ac:dyDescent="0.2">
      <c r="H531" s="117"/>
      <c r="I531" s="117"/>
    </row>
    <row r="532" spans="8:9" x14ac:dyDescent="0.2">
      <c r="H532" s="117"/>
      <c r="I532" s="117"/>
    </row>
    <row r="533" spans="8:9" x14ac:dyDescent="0.2">
      <c r="H533" s="117"/>
      <c r="I533" s="117"/>
    </row>
    <row r="534" spans="8:9" x14ac:dyDescent="0.2">
      <c r="H534" s="117"/>
      <c r="I534" s="117"/>
    </row>
    <row r="535" spans="8:9" x14ac:dyDescent="0.2">
      <c r="H535" s="117"/>
      <c r="I535" s="117"/>
    </row>
    <row r="536" spans="8:9" x14ac:dyDescent="0.2">
      <c r="H536" s="117"/>
      <c r="I536" s="117"/>
    </row>
    <row r="537" spans="8:9" x14ac:dyDescent="0.2">
      <c r="H537" s="117"/>
      <c r="I537" s="117"/>
    </row>
    <row r="538" spans="8:9" x14ac:dyDescent="0.2">
      <c r="H538" s="117"/>
      <c r="I538" s="117"/>
    </row>
    <row r="539" spans="8:9" x14ac:dyDescent="0.2">
      <c r="H539" s="117"/>
      <c r="I539" s="117"/>
    </row>
    <row r="540" spans="8:9" x14ac:dyDescent="0.2">
      <c r="H540" s="117"/>
      <c r="I540" s="117"/>
    </row>
    <row r="541" spans="8:9" x14ac:dyDescent="0.2">
      <c r="H541" s="117"/>
      <c r="I541" s="117"/>
    </row>
    <row r="542" spans="8:9" x14ac:dyDescent="0.2">
      <c r="H542" s="117"/>
      <c r="I542" s="117"/>
    </row>
    <row r="543" spans="8:9" x14ac:dyDescent="0.2">
      <c r="H543" s="117"/>
      <c r="I543" s="117"/>
    </row>
    <row r="544" spans="8:9" x14ac:dyDescent="0.2">
      <c r="H544" s="117"/>
      <c r="I544" s="117"/>
    </row>
    <row r="545" spans="8:9" x14ac:dyDescent="0.2">
      <c r="H545" s="117"/>
      <c r="I545" s="117"/>
    </row>
    <row r="546" spans="8:9" x14ac:dyDescent="0.2">
      <c r="H546" s="117"/>
      <c r="I546" s="117"/>
    </row>
    <row r="547" spans="8:9" x14ac:dyDescent="0.2">
      <c r="H547" s="117"/>
      <c r="I547" s="117"/>
    </row>
    <row r="548" spans="8:9" x14ac:dyDescent="0.2">
      <c r="H548" s="117"/>
      <c r="I548" s="117"/>
    </row>
    <row r="549" spans="8:9" x14ac:dyDescent="0.2">
      <c r="H549" s="117"/>
      <c r="I549" s="117"/>
    </row>
    <row r="550" spans="8:9" x14ac:dyDescent="0.2">
      <c r="H550" s="117"/>
      <c r="I550" s="117"/>
    </row>
    <row r="551" spans="8:9" x14ac:dyDescent="0.2">
      <c r="H551" s="117"/>
      <c r="I551" s="117"/>
    </row>
    <row r="552" spans="8:9" x14ac:dyDescent="0.2">
      <c r="H552" s="117"/>
      <c r="I552" s="117"/>
    </row>
    <row r="553" spans="8:9" x14ac:dyDescent="0.2">
      <c r="H553" s="117"/>
      <c r="I553" s="117"/>
    </row>
    <row r="554" spans="8:9" x14ac:dyDescent="0.2">
      <c r="H554" s="117"/>
      <c r="I554" s="117"/>
    </row>
    <row r="555" spans="8:9" x14ac:dyDescent="0.2">
      <c r="H555" s="117"/>
      <c r="I555" s="117"/>
    </row>
    <row r="556" spans="8:9" x14ac:dyDescent="0.2">
      <c r="H556" s="117"/>
      <c r="I556" s="117"/>
    </row>
    <row r="557" spans="8:9" x14ac:dyDescent="0.2">
      <c r="H557" s="117"/>
      <c r="I557" s="117"/>
    </row>
    <row r="558" spans="8:9" x14ac:dyDescent="0.2">
      <c r="H558" s="117"/>
      <c r="I558" s="117"/>
    </row>
    <row r="559" spans="8:9" x14ac:dyDescent="0.2">
      <c r="H559" s="117"/>
      <c r="I559" s="117"/>
    </row>
    <row r="560" spans="8:9" x14ac:dyDescent="0.2">
      <c r="H560" s="117"/>
      <c r="I560" s="117"/>
    </row>
    <row r="561" spans="8:9" x14ac:dyDescent="0.2">
      <c r="H561" s="117"/>
      <c r="I561" s="117"/>
    </row>
    <row r="562" spans="8:9" x14ac:dyDescent="0.2">
      <c r="H562" s="117"/>
      <c r="I562" s="117"/>
    </row>
    <row r="563" spans="8:9" x14ac:dyDescent="0.2">
      <c r="H563" s="117"/>
      <c r="I563" s="117"/>
    </row>
    <row r="564" spans="8:9" x14ac:dyDescent="0.2">
      <c r="H564" s="117"/>
      <c r="I564" s="117"/>
    </row>
    <row r="565" spans="8:9" x14ac:dyDescent="0.2">
      <c r="H565" s="117"/>
      <c r="I565" s="117"/>
    </row>
    <row r="566" spans="8:9" x14ac:dyDescent="0.2">
      <c r="H566" s="117"/>
      <c r="I566" s="117"/>
    </row>
    <row r="567" spans="8:9" x14ac:dyDescent="0.2">
      <c r="H567" s="117"/>
      <c r="I567" s="117"/>
    </row>
    <row r="568" spans="8:9" x14ac:dyDescent="0.2">
      <c r="H568" s="117"/>
      <c r="I568" s="117"/>
    </row>
    <row r="569" spans="8:9" x14ac:dyDescent="0.2">
      <c r="H569" s="117"/>
      <c r="I569" s="117"/>
    </row>
    <row r="570" spans="8:9" x14ac:dyDescent="0.2">
      <c r="H570" s="117"/>
      <c r="I570" s="117"/>
    </row>
    <row r="571" spans="8:9" x14ac:dyDescent="0.2">
      <c r="H571" s="117"/>
      <c r="I571" s="117"/>
    </row>
    <row r="572" spans="8:9" x14ac:dyDescent="0.2">
      <c r="H572" s="117"/>
      <c r="I572" s="117"/>
    </row>
    <row r="573" spans="8:9" x14ac:dyDescent="0.2">
      <c r="H573" s="117"/>
      <c r="I573" s="117"/>
    </row>
    <row r="574" spans="8:9" x14ac:dyDescent="0.2">
      <c r="H574" s="117"/>
      <c r="I574" s="117"/>
    </row>
    <row r="575" spans="8:9" x14ac:dyDescent="0.2">
      <c r="H575" s="117"/>
      <c r="I575" s="117"/>
    </row>
    <row r="576" spans="8:9" x14ac:dyDescent="0.2">
      <c r="H576" s="117"/>
      <c r="I576" s="117"/>
    </row>
    <row r="577" spans="8:9" x14ac:dyDescent="0.2">
      <c r="H577" s="117"/>
      <c r="I577" s="117"/>
    </row>
    <row r="578" spans="8:9" x14ac:dyDescent="0.2">
      <c r="H578" s="117"/>
      <c r="I578" s="117"/>
    </row>
    <row r="579" spans="8:9" x14ac:dyDescent="0.2">
      <c r="H579" s="117"/>
      <c r="I579" s="117"/>
    </row>
    <row r="580" spans="8:9" x14ac:dyDescent="0.2">
      <c r="H580" s="117"/>
      <c r="I580" s="117"/>
    </row>
    <row r="581" spans="8:9" x14ac:dyDescent="0.2">
      <c r="H581" s="117"/>
      <c r="I581" s="117"/>
    </row>
    <row r="582" spans="8:9" x14ac:dyDescent="0.2">
      <c r="H582" s="117"/>
      <c r="I582" s="117"/>
    </row>
    <row r="583" spans="8:9" x14ac:dyDescent="0.2">
      <c r="H583" s="117"/>
      <c r="I583" s="117"/>
    </row>
    <row r="584" spans="8:9" x14ac:dyDescent="0.2">
      <c r="H584" s="117"/>
      <c r="I584" s="117"/>
    </row>
    <row r="585" spans="8:9" x14ac:dyDescent="0.2">
      <c r="H585" s="117"/>
      <c r="I585" s="117"/>
    </row>
    <row r="586" spans="8:9" x14ac:dyDescent="0.2">
      <c r="H586" s="117"/>
      <c r="I586" s="117"/>
    </row>
    <row r="587" spans="8:9" x14ac:dyDescent="0.2">
      <c r="H587" s="117"/>
      <c r="I587" s="117"/>
    </row>
    <row r="588" spans="8:9" x14ac:dyDescent="0.2">
      <c r="H588" s="117"/>
      <c r="I588" s="117"/>
    </row>
    <row r="589" spans="8:9" x14ac:dyDescent="0.2">
      <c r="H589" s="117"/>
      <c r="I589" s="117"/>
    </row>
    <row r="590" spans="8:9" x14ac:dyDescent="0.2">
      <c r="H590" s="117"/>
      <c r="I590" s="117"/>
    </row>
    <row r="591" spans="8:9" x14ac:dyDescent="0.2">
      <c r="H591" s="117"/>
      <c r="I591" s="117"/>
    </row>
    <row r="592" spans="8:9" x14ac:dyDescent="0.2">
      <c r="H592" s="117"/>
      <c r="I592" s="117"/>
    </row>
    <row r="593" spans="8:9" x14ac:dyDescent="0.2">
      <c r="H593" s="117"/>
      <c r="I593" s="117"/>
    </row>
    <row r="594" spans="8:9" x14ac:dyDescent="0.2">
      <c r="H594" s="117"/>
      <c r="I594" s="117"/>
    </row>
    <row r="595" spans="8:9" x14ac:dyDescent="0.2">
      <c r="H595" s="117"/>
      <c r="I595" s="117"/>
    </row>
    <row r="596" spans="8:9" x14ac:dyDescent="0.2">
      <c r="H596" s="117"/>
      <c r="I596" s="117"/>
    </row>
    <row r="597" spans="8:9" x14ac:dyDescent="0.2">
      <c r="H597" s="117"/>
      <c r="I597" s="117"/>
    </row>
    <row r="598" spans="8:9" x14ac:dyDescent="0.2">
      <c r="H598" s="117"/>
      <c r="I598" s="117"/>
    </row>
    <row r="599" spans="8:9" x14ac:dyDescent="0.2">
      <c r="H599" s="117"/>
      <c r="I599" s="117"/>
    </row>
    <row r="600" spans="8:9" x14ac:dyDescent="0.2">
      <c r="H600" s="117"/>
      <c r="I600" s="117"/>
    </row>
    <row r="601" spans="8:9" x14ac:dyDescent="0.2">
      <c r="H601" s="117"/>
      <c r="I601" s="117"/>
    </row>
    <row r="602" spans="8:9" x14ac:dyDescent="0.2">
      <c r="H602" s="117"/>
      <c r="I602" s="117"/>
    </row>
    <row r="603" spans="8:9" x14ac:dyDescent="0.2">
      <c r="H603" s="117"/>
      <c r="I603" s="117"/>
    </row>
    <row r="604" spans="8:9" x14ac:dyDescent="0.2">
      <c r="H604" s="117"/>
      <c r="I604" s="117"/>
    </row>
    <row r="605" spans="8:9" x14ac:dyDescent="0.2">
      <c r="H605" s="117"/>
      <c r="I605" s="117"/>
    </row>
    <row r="606" spans="8:9" x14ac:dyDescent="0.2">
      <c r="H606" s="117"/>
      <c r="I606" s="117"/>
    </row>
    <row r="607" spans="8:9" x14ac:dyDescent="0.2">
      <c r="H607" s="117"/>
      <c r="I607" s="117"/>
    </row>
    <row r="608" spans="8:9" x14ac:dyDescent="0.2">
      <c r="H608" s="117"/>
      <c r="I608" s="117"/>
    </row>
    <row r="609" spans="8:9" x14ac:dyDescent="0.2">
      <c r="H609" s="117"/>
      <c r="I609" s="117"/>
    </row>
    <row r="610" spans="8:9" x14ac:dyDescent="0.2">
      <c r="H610" s="117"/>
      <c r="I610" s="117"/>
    </row>
    <row r="611" spans="8:9" x14ac:dyDescent="0.2">
      <c r="H611" s="117"/>
      <c r="I611" s="117"/>
    </row>
    <row r="612" spans="8:9" x14ac:dyDescent="0.2">
      <c r="H612" s="117"/>
      <c r="I612" s="117"/>
    </row>
    <row r="613" spans="8:9" x14ac:dyDescent="0.2">
      <c r="H613" s="117"/>
      <c r="I613" s="117"/>
    </row>
    <row r="614" spans="8:9" x14ac:dyDescent="0.2">
      <c r="H614" s="117"/>
      <c r="I614" s="117"/>
    </row>
    <row r="615" spans="8:9" x14ac:dyDescent="0.2">
      <c r="H615" s="117"/>
      <c r="I615" s="117"/>
    </row>
    <row r="616" spans="8:9" x14ac:dyDescent="0.2">
      <c r="H616" s="117"/>
      <c r="I616" s="117"/>
    </row>
    <row r="617" spans="8:9" x14ac:dyDescent="0.2">
      <c r="H617" s="117"/>
      <c r="I617" s="117"/>
    </row>
    <row r="618" spans="8:9" x14ac:dyDescent="0.2">
      <c r="H618" s="117"/>
      <c r="I618" s="117"/>
    </row>
    <row r="619" spans="8:9" x14ac:dyDescent="0.2">
      <c r="H619" s="117"/>
      <c r="I619" s="117"/>
    </row>
    <row r="620" spans="8:9" x14ac:dyDescent="0.2">
      <c r="H620" s="117"/>
      <c r="I620" s="117"/>
    </row>
    <row r="621" spans="8:9" x14ac:dyDescent="0.2">
      <c r="H621" s="117"/>
      <c r="I621" s="117"/>
    </row>
    <row r="622" spans="8:9" x14ac:dyDescent="0.2">
      <c r="H622" s="117"/>
      <c r="I622" s="117"/>
    </row>
    <row r="623" spans="8:9" x14ac:dyDescent="0.2">
      <c r="H623" s="117"/>
      <c r="I623" s="117"/>
    </row>
    <row r="624" spans="8:9" x14ac:dyDescent="0.2">
      <c r="H624" s="117"/>
      <c r="I624" s="117"/>
    </row>
    <row r="625" spans="8:9" x14ac:dyDescent="0.2">
      <c r="H625" s="117"/>
      <c r="I625" s="117"/>
    </row>
    <row r="626" spans="8:9" x14ac:dyDescent="0.2">
      <c r="H626" s="117"/>
      <c r="I626" s="117"/>
    </row>
    <row r="627" spans="8:9" x14ac:dyDescent="0.2">
      <c r="H627" s="117"/>
      <c r="I627" s="117"/>
    </row>
    <row r="628" spans="8:9" x14ac:dyDescent="0.2">
      <c r="H628" s="117"/>
      <c r="I628" s="117"/>
    </row>
    <row r="629" spans="8:9" x14ac:dyDescent="0.2">
      <c r="H629" s="117"/>
      <c r="I629" s="117"/>
    </row>
    <row r="630" spans="8:9" x14ac:dyDescent="0.2">
      <c r="H630" s="117"/>
      <c r="I630" s="117"/>
    </row>
    <row r="631" spans="8:9" x14ac:dyDescent="0.2">
      <c r="H631" s="117"/>
      <c r="I631" s="117"/>
    </row>
    <row r="632" spans="8:9" x14ac:dyDescent="0.2">
      <c r="H632" s="117"/>
      <c r="I632" s="117"/>
    </row>
    <row r="633" spans="8:9" x14ac:dyDescent="0.2">
      <c r="H633" s="117"/>
      <c r="I633" s="117"/>
    </row>
    <row r="634" spans="8:9" x14ac:dyDescent="0.2">
      <c r="H634" s="117"/>
      <c r="I634" s="117"/>
    </row>
    <row r="635" spans="8:9" x14ac:dyDescent="0.2">
      <c r="H635" s="117"/>
      <c r="I635" s="117"/>
    </row>
    <row r="636" spans="8:9" x14ac:dyDescent="0.2">
      <c r="H636" s="117"/>
      <c r="I636" s="117"/>
    </row>
    <row r="637" spans="8:9" x14ac:dyDescent="0.2">
      <c r="H637" s="117"/>
      <c r="I637" s="117"/>
    </row>
    <row r="638" spans="8:9" x14ac:dyDescent="0.2">
      <c r="H638" s="117"/>
      <c r="I638" s="117"/>
    </row>
    <row r="639" spans="8:9" x14ac:dyDescent="0.2">
      <c r="H639" s="117"/>
      <c r="I639" s="117"/>
    </row>
    <row r="640" spans="8:9" x14ac:dyDescent="0.2">
      <c r="H640" s="117"/>
      <c r="I640" s="117"/>
    </row>
    <row r="641" spans="8:9" x14ac:dyDescent="0.2">
      <c r="H641" s="117"/>
      <c r="I641" s="117"/>
    </row>
    <row r="642" spans="8:9" x14ac:dyDescent="0.2">
      <c r="H642" s="117"/>
      <c r="I642" s="117"/>
    </row>
    <row r="643" spans="8:9" x14ac:dyDescent="0.2">
      <c r="H643" s="117"/>
      <c r="I643" s="117"/>
    </row>
    <row r="644" spans="8:9" x14ac:dyDescent="0.2">
      <c r="H644" s="117"/>
      <c r="I644" s="117"/>
    </row>
    <row r="645" spans="8:9" x14ac:dyDescent="0.2">
      <c r="H645" s="117"/>
      <c r="I645" s="117"/>
    </row>
    <row r="646" spans="8:9" x14ac:dyDescent="0.2">
      <c r="H646" s="117"/>
      <c r="I646" s="117"/>
    </row>
    <row r="647" spans="8:9" x14ac:dyDescent="0.2">
      <c r="H647" s="117"/>
      <c r="I647" s="117"/>
    </row>
    <row r="648" spans="8:9" x14ac:dyDescent="0.2">
      <c r="H648" s="117"/>
      <c r="I648" s="117"/>
    </row>
    <row r="649" spans="8:9" x14ac:dyDescent="0.2">
      <c r="H649" s="117"/>
      <c r="I649" s="117"/>
    </row>
    <row r="650" spans="8:9" x14ac:dyDescent="0.2">
      <c r="H650" s="117"/>
      <c r="I650" s="117"/>
    </row>
    <row r="651" spans="8:9" x14ac:dyDescent="0.2">
      <c r="H651" s="117"/>
      <c r="I651" s="117"/>
    </row>
    <row r="652" spans="8:9" x14ac:dyDescent="0.2">
      <c r="H652" s="117"/>
      <c r="I652" s="117"/>
    </row>
    <row r="653" spans="8:9" x14ac:dyDescent="0.2">
      <c r="H653" s="117"/>
      <c r="I653" s="117"/>
    </row>
    <row r="654" spans="8:9" x14ac:dyDescent="0.2">
      <c r="H654" s="117"/>
      <c r="I654" s="117"/>
    </row>
    <row r="655" spans="8:9" x14ac:dyDescent="0.2">
      <c r="H655" s="117"/>
      <c r="I655" s="117"/>
    </row>
    <row r="656" spans="8:9" x14ac:dyDescent="0.2">
      <c r="H656" s="117"/>
      <c r="I656" s="117"/>
    </row>
    <row r="657" spans="8:9" x14ac:dyDescent="0.2">
      <c r="H657" s="117"/>
      <c r="I657" s="117"/>
    </row>
    <row r="658" spans="8:9" x14ac:dyDescent="0.2">
      <c r="H658" s="117"/>
      <c r="I658" s="117"/>
    </row>
    <row r="659" spans="8:9" x14ac:dyDescent="0.2">
      <c r="H659" s="117"/>
      <c r="I659" s="117"/>
    </row>
    <row r="660" spans="8:9" x14ac:dyDescent="0.2">
      <c r="H660" s="117"/>
      <c r="I660" s="117"/>
    </row>
    <row r="661" spans="8:9" x14ac:dyDescent="0.2">
      <c r="H661" s="117"/>
      <c r="I661" s="117"/>
    </row>
    <row r="662" spans="8:9" x14ac:dyDescent="0.2">
      <c r="H662" s="117"/>
      <c r="I662" s="117"/>
    </row>
    <row r="663" spans="8:9" x14ac:dyDescent="0.2">
      <c r="H663" s="117"/>
      <c r="I663" s="117"/>
    </row>
    <row r="664" spans="8:9" x14ac:dyDescent="0.2">
      <c r="H664" s="117"/>
      <c r="I664" s="117"/>
    </row>
    <row r="665" spans="8:9" x14ac:dyDescent="0.2">
      <c r="H665" s="117"/>
      <c r="I665" s="117"/>
    </row>
    <row r="666" spans="8:9" x14ac:dyDescent="0.2">
      <c r="H666" s="117"/>
      <c r="I666" s="117"/>
    </row>
    <row r="667" spans="8:9" x14ac:dyDescent="0.2">
      <c r="H667" s="117"/>
      <c r="I667" s="117"/>
    </row>
    <row r="668" spans="8:9" x14ac:dyDescent="0.2">
      <c r="H668" s="117"/>
      <c r="I668" s="117"/>
    </row>
    <row r="669" spans="8:9" x14ac:dyDescent="0.2">
      <c r="H669" s="117"/>
      <c r="I669" s="117"/>
    </row>
    <row r="670" spans="8:9" x14ac:dyDescent="0.2">
      <c r="H670" s="117"/>
      <c r="I670" s="117"/>
    </row>
    <row r="671" spans="8:9" x14ac:dyDescent="0.2">
      <c r="H671" s="117"/>
      <c r="I671" s="117"/>
    </row>
    <row r="672" spans="8:9" x14ac:dyDescent="0.2">
      <c r="H672" s="117"/>
      <c r="I672" s="117"/>
    </row>
    <row r="673" spans="8:9" x14ac:dyDescent="0.2">
      <c r="H673" s="117"/>
      <c r="I673" s="117"/>
    </row>
    <row r="674" spans="8:9" x14ac:dyDescent="0.2">
      <c r="H674" s="117"/>
      <c r="I674" s="117"/>
    </row>
    <row r="675" spans="8:9" x14ac:dyDescent="0.2">
      <c r="H675" s="117"/>
      <c r="I675" s="117"/>
    </row>
    <row r="676" spans="8:9" x14ac:dyDescent="0.2">
      <c r="H676" s="117"/>
      <c r="I676" s="117"/>
    </row>
    <row r="677" spans="8:9" x14ac:dyDescent="0.2">
      <c r="H677" s="117"/>
      <c r="I677" s="117"/>
    </row>
    <row r="678" spans="8:9" x14ac:dyDescent="0.2">
      <c r="H678" s="117"/>
      <c r="I678" s="117"/>
    </row>
    <row r="679" spans="8:9" x14ac:dyDescent="0.2">
      <c r="H679" s="117"/>
      <c r="I679" s="117"/>
    </row>
    <row r="680" spans="8:9" x14ac:dyDescent="0.2">
      <c r="H680" s="117"/>
      <c r="I680" s="117"/>
    </row>
    <row r="681" spans="8:9" x14ac:dyDescent="0.2">
      <c r="H681" s="117"/>
      <c r="I681" s="117"/>
    </row>
    <row r="682" spans="8:9" x14ac:dyDescent="0.2">
      <c r="H682" s="117"/>
      <c r="I682" s="117"/>
    </row>
    <row r="683" spans="8:9" x14ac:dyDescent="0.2">
      <c r="H683" s="117"/>
      <c r="I683" s="117"/>
    </row>
    <row r="684" spans="8:9" x14ac:dyDescent="0.2">
      <c r="H684" s="117"/>
      <c r="I684" s="117"/>
    </row>
    <row r="685" spans="8:9" x14ac:dyDescent="0.2">
      <c r="H685" s="117"/>
      <c r="I685" s="117"/>
    </row>
    <row r="686" spans="8:9" x14ac:dyDescent="0.2">
      <c r="H686" s="117"/>
      <c r="I686" s="117"/>
    </row>
    <row r="687" spans="8:9" x14ac:dyDescent="0.2">
      <c r="H687" s="117"/>
      <c r="I687" s="117"/>
    </row>
    <row r="688" spans="8:9" x14ac:dyDescent="0.2">
      <c r="H688" s="117"/>
      <c r="I688" s="117"/>
    </row>
    <row r="689" spans="8:9" x14ac:dyDescent="0.2">
      <c r="H689" s="117"/>
      <c r="I689" s="117"/>
    </row>
    <row r="690" spans="8:9" x14ac:dyDescent="0.2">
      <c r="H690" s="117"/>
      <c r="I690" s="117"/>
    </row>
    <row r="691" spans="8:9" x14ac:dyDescent="0.2">
      <c r="H691" s="117"/>
      <c r="I691" s="117"/>
    </row>
    <row r="692" spans="8:9" x14ac:dyDescent="0.2">
      <c r="H692" s="117"/>
      <c r="I692" s="117"/>
    </row>
    <row r="693" spans="8:9" x14ac:dyDescent="0.2">
      <c r="H693" s="117"/>
      <c r="I693" s="117"/>
    </row>
    <row r="694" spans="8:9" x14ac:dyDescent="0.2">
      <c r="H694" s="117"/>
      <c r="I694" s="117"/>
    </row>
    <row r="695" spans="8:9" x14ac:dyDescent="0.2">
      <c r="H695" s="117"/>
      <c r="I695" s="117"/>
    </row>
    <row r="696" spans="8:9" x14ac:dyDescent="0.2">
      <c r="H696" s="117"/>
      <c r="I696" s="117"/>
    </row>
    <row r="697" spans="8:9" x14ac:dyDescent="0.2">
      <c r="H697" s="117"/>
      <c r="I697" s="117"/>
    </row>
    <row r="698" spans="8:9" x14ac:dyDescent="0.2">
      <c r="H698" s="117"/>
      <c r="I698" s="117"/>
    </row>
    <row r="699" spans="8:9" x14ac:dyDescent="0.2">
      <c r="H699" s="117"/>
      <c r="I699" s="117"/>
    </row>
    <row r="700" spans="8:9" x14ac:dyDescent="0.2">
      <c r="H700" s="117"/>
      <c r="I700" s="117"/>
    </row>
    <row r="701" spans="8:9" x14ac:dyDescent="0.2">
      <c r="H701" s="117"/>
      <c r="I701" s="117"/>
    </row>
    <row r="702" spans="8:9" x14ac:dyDescent="0.2">
      <c r="H702" s="117"/>
      <c r="I702" s="117"/>
    </row>
    <row r="703" spans="8:9" x14ac:dyDescent="0.2">
      <c r="H703" s="117"/>
      <c r="I703" s="117"/>
    </row>
    <row r="704" spans="8:9" x14ac:dyDescent="0.2">
      <c r="H704" s="117"/>
      <c r="I704" s="117"/>
    </row>
    <row r="705" spans="8:9" x14ac:dyDescent="0.2">
      <c r="H705" s="117"/>
      <c r="I705" s="117"/>
    </row>
    <row r="706" spans="8:9" x14ac:dyDescent="0.2">
      <c r="H706" s="117"/>
      <c r="I706" s="117"/>
    </row>
    <row r="707" spans="8:9" x14ac:dyDescent="0.2">
      <c r="H707" s="117"/>
      <c r="I707" s="117"/>
    </row>
    <row r="708" spans="8:9" x14ac:dyDescent="0.2">
      <c r="H708" s="117"/>
      <c r="I708" s="117"/>
    </row>
    <row r="709" spans="8:9" x14ac:dyDescent="0.2">
      <c r="H709" s="117"/>
      <c r="I709" s="117"/>
    </row>
    <row r="710" spans="8:9" x14ac:dyDescent="0.2">
      <c r="H710" s="117"/>
      <c r="I710" s="117"/>
    </row>
    <row r="711" spans="8:9" x14ac:dyDescent="0.2">
      <c r="H711" s="117"/>
      <c r="I711" s="117"/>
    </row>
    <row r="712" spans="8:9" x14ac:dyDescent="0.2">
      <c r="H712" s="117"/>
      <c r="I712" s="117"/>
    </row>
    <row r="713" spans="8:9" x14ac:dyDescent="0.2">
      <c r="H713" s="117"/>
      <c r="I713" s="117"/>
    </row>
    <row r="714" spans="8:9" x14ac:dyDescent="0.2">
      <c r="H714" s="117"/>
      <c r="I714" s="117"/>
    </row>
    <row r="715" spans="8:9" x14ac:dyDescent="0.2">
      <c r="H715" s="117"/>
      <c r="I715" s="117"/>
    </row>
    <row r="716" spans="8:9" x14ac:dyDescent="0.2">
      <c r="H716" s="117"/>
      <c r="I716" s="117"/>
    </row>
    <row r="717" spans="8:9" x14ac:dyDescent="0.2">
      <c r="H717" s="117"/>
      <c r="I717" s="117"/>
    </row>
    <row r="718" spans="8:9" x14ac:dyDescent="0.2">
      <c r="H718" s="117"/>
      <c r="I718" s="117"/>
    </row>
    <row r="719" spans="8:9" x14ac:dyDescent="0.2">
      <c r="H719" s="117"/>
      <c r="I719" s="117"/>
    </row>
    <row r="720" spans="8:9" x14ac:dyDescent="0.2">
      <c r="H720" s="117"/>
      <c r="I720" s="117"/>
    </row>
    <row r="721" spans="8:9" x14ac:dyDescent="0.2">
      <c r="H721" s="117"/>
      <c r="I721" s="117"/>
    </row>
    <row r="722" spans="8:9" x14ac:dyDescent="0.2">
      <c r="H722" s="117"/>
      <c r="I722" s="117"/>
    </row>
    <row r="723" spans="8:9" x14ac:dyDescent="0.2">
      <c r="H723" s="117"/>
      <c r="I723" s="117"/>
    </row>
    <row r="724" spans="8:9" x14ac:dyDescent="0.2">
      <c r="H724" s="117"/>
      <c r="I724" s="117"/>
    </row>
    <row r="725" spans="8:9" x14ac:dyDescent="0.2">
      <c r="H725" s="117"/>
      <c r="I725" s="117"/>
    </row>
    <row r="726" spans="8:9" x14ac:dyDescent="0.2">
      <c r="H726" s="117"/>
      <c r="I726" s="117"/>
    </row>
    <row r="727" spans="8:9" x14ac:dyDescent="0.2">
      <c r="H727" s="117"/>
      <c r="I727" s="117"/>
    </row>
    <row r="728" spans="8:9" x14ac:dyDescent="0.2">
      <c r="H728" s="117"/>
      <c r="I728" s="117"/>
    </row>
    <row r="729" spans="8:9" x14ac:dyDescent="0.2">
      <c r="H729" s="117"/>
      <c r="I729" s="117"/>
    </row>
    <row r="730" spans="8:9" x14ac:dyDescent="0.2">
      <c r="H730" s="117"/>
      <c r="I730" s="117"/>
    </row>
    <row r="731" spans="8:9" x14ac:dyDescent="0.2">
      <c r="H731" s="117"/>
      <c r="I731" s="117"/>
    </row>
    <row r="732" spans="8:9" x14ac:dyDescent="0.2">
      <c r="H732" s="117"/>
      <c r="I732" s="117"/>
    </row>
    <row r="733" spans="8:9" x14ac:dyDescent="0.2">
      <c r="H733" s="117"/>
      <c r="I733" s="117"/>
    </row>
    <row r="734" spans="8:9" x14ac:dyDescent="0.2">
      <c r="H734" s="117"/>
      <c r="I734" s="117"/>
    </row>
    <row r="735" spans="8:9" x14ac:dyDescent="0.2">
      <c r="H735" s="117"/>
      <c r="I735" s="117"/>
    </row>
    <row r="736" spans="8:9" x14ac:dyDescent="0.2">
      <c r="H736" s="117"/>
      <c r="I736" s="117"/>
    </row>
    <row r="737" spans="8:9" x14ac:dyDescent="0.2">
      <c r="H737" s="117"/>
      <c r="I737" s="117"/>
    </row>
    <row r="738" spans="8:9" x14ac:dyDescent="0.2">
      <c r="H738" s="117"/>
      <c r="I738" s="117"/>
    </row>
    <row r="739" spans="8:9" x14ac:dyDescent="0.2">
      <c r="H739" s="117"/>
      <c r="I739" s="117"/>
    </row>
    <row r="740" spans="8:9" x14ac:dyDescent="0.2">
      <c r="H740" s="117"/>
      <c r="I740" s="117"/>
    </row>
    <row r="741" spans="8:9" x14ac:dyDescent="0.2">
      <c r="H741" s="117"/>
      <c r="I741" s="117"/>
    </row>
    <row r="742" spans="8:9" x14ac:dyDescent="0.2">
      <c r="H742" s="117"/>
      <c r="I742" s="117"/>
    </row>
    <row r="743" spans="8:9" x14ac:dyDescent="0.2">
      <c r="H743" s="117"/>
      <c r="I743" s="117"/>
    </row>
    <row r="744" spans="8:9" x14ac:dyDescent="0.2">
      <c r="H744" s="117"/>
      <c r="I744" s="117"/>
    </row>
    <row r="745" spans="8:9" x14ac:dyDescent="0.2">
      <c r="H745" s="117"/>
      <c r="I745" s="117"/>
    </row>
    <row r="746" spans="8:9" x14ac:dyDescent="0.2">
      <c r="H746" s="117"/>
      <c r="I746" s="117"/>
    </row>
    <row r="747" spans="8:9" x14ac:dyDescent="0.2">
      <c r="H747" s="117"/>
      <c r="I747" s="117"/>
    </row>
    <row r="748" spans="8:9" x14ac:dyDescent="0.2">
      <c r="H748" s="117"/>
      <c r="I748" s="117"/>
    </row>
    <row r="749" spans="8:9" x14ac:dyDescent="0.2">
      <c r="H749" s="117"/>
      <c r="I749" s="117"/>
    </row>
    <row r="750" spans="8:9" x14ac:dyDescent="0.2">
      <c r="H750" s="117"/>
      <c r="I750" s="117"/>
    </row>
    <row r="751" spans="8:9" x14ac:dyDescent="0.2">
      <c r="H751" s="117"/>
      <c r="I751" s="117"/>
    </row>
    <row r="752" spans="8:9" x14ac:dyDescent="0.2">
      <c r="H752" s="117"/>
      <c r="I752" s="117"/>
    </row>
    <row r="753" spans="8:9" x14ac:dyDescent="0.2">
      <c r="H753" s="117"/>
      <c r="I753" s="117"/>
    </row>
    <row r="754" spans="8:9" x14ac:dyDescent="0.2">
      <c r="H754" s="117"/>
      <c r="I754" s="117"/>
    </row>
    <row r="755" spans="8:9" x14ac:dyDescent="0.2">
      <c r="H755" s="117"/>
      <c r="I755" s="117"/>
    </row>
    <row r="756" spans="8:9" x14ac:dyDescent="0.2">
      <c r="H756" s="117"/>
      <c r="I756" s="117"/>
    </row>
    <row r="757" spans="8:9" x14ac:dyDescent="0.2">
      <c r="H757" s="117"/>
      <c r="I757" s="117"/>
    </row>
    <row r="758" spans="8:9" x14ac:dyDescent="0.2">
      <c r="H758" s="117"/>
      <c r="I758" s="117"/>
    </row>
    <row r="759" spans="8:9" x14ac:dyDescent="0.2">
      <c r="H759" s="117"/>
      <c r="I759" s="117"/>
    </row>
    <row r="760" spans="8:9" x14ac:dyDescent="0.2">
      <c r="H760" s="117"/>
      <c r="I760" s="117"/>
    </row>
    <row r="761" spans="8:9" x14ac:dyDescent="0.2">
      <c r="H761" s="117"/>
      <c r="I761" s="117"/>
    </row>
    <row r="762" spans="8:9" x14ac:dyDescent="0.2">
      <c r="H762" s="117"/>
      <c r="I762" s="117"/>
    </row>
    <row r="763" spans="8:9" x14ac:dyDescent="0.2">
      <c r="H763" s="117"/>
      <c r="I763" s="117"/>
    </row>
    <row r="764" spans="8:9" x14ac:dyDescent="0.2">
      <c r="H764" s="117"/>
      <c r="I764" s="117"/>
    </row>
    <row r="765" spans="8:9" x14ac:dyDescent="0.2">
      <c r="H765" s="117"/>
      <c r="I765" s="117"/>
    </row>
    <row r="766" spans="8:9" x14ac:dyDescent="0.2">
      <c r="H766" s="117"/>
      <c r="I766" s="117"/>
    </row>
    <row r="767" spans="8:9" x14ac:dyDescent="0.2">
      <c r="H767" s="117"/>
      <c r="I767" s="117"/>
    </row>
    <row r="768" spans="8:9" x14ac:dyDescent="0.2">
      <c r="H768" s="117"/>
      <c r="I768" s="117"/>
    </row>
    <row r="769" spans="8:9" x14ac:dyDescent="0.2">
      <c r="H769" s="117"/>
      <c r="I769" s="117"/>
    </row>
    <row r="770" spans="8:9" x14ac:dyDescent="0.2">
      <c r="H770" s="117"/>
      <c r="I770" s="117"/>
    </row>
    <row r="771" spans="8:9" x14ac:dyDescent="0.2">
      <c r="H771" s="117"/>
      <c r="I771" s="117"/>
    </row>
    <row r="772" spans="8:9" x14ac:dyDescent="0.2">
      <c r="H772" s="117"/>
      <c r="I772" s="117"/>
    </row>
    <row r="773" spans="8:9" x14ac:dyDescent="0.2">
      <c r="H773" s="117"/>
      <c r="I773" s="117"/>
    </row>
    <row r="774" spans="8:9" x14ac:dyDescent="0.2">
      <c r="H774" s="117"/>
      <c r="I774" s="117"/>
    </row>
    <row r="775" spans="8:9" x14ac:dyDescent="0.2">
      <c r="H775" s="117"/>
      <c r="I775" s="117"/>
    </row>
    <row r="776" spans="8:9" x14ac:dyDescent="0.2">
      <c r="H776" s="117"/>
      <c r="I776" s="117"/>
    </row>
    <row r="777" spans="8:9" x14ac:dyDescent="0.2">
      <c r="H777" s="117"/>
      <c r="I777" s="117"/>
    </row>
    <row r="778" spans="8:9" x14ac:dyDescent="0.2">
      <c r="H778" s="117"/>
      <c r="I778" s="117"/>
    </row>
    <row r="779" spans="8:9" x14ac:dyDescent="0.2">
      <c r="H779" s="117"/>
      <c r="I779" s="117"/>
    </row>
    <row r="780" spans="8:9" x14ac:dyDescent="0.2">
      <c r="H780" s="117"/>
      <c r="I780" s="117"/>
    </row>
    <row r="781" spans="8:9" x14ac:dyDescent="0.2">
      <c r="H781" s="117"/>
      <c r="I781" s="117"/>
    </row>
    <row r="782" spans="8:9" x14ac:dyDescent="0.2">
      <c r="H782" s="117"/>
      <c r="I782" s="117"/>
    </row>
    <row r="783" spans="8:9" x14ac:dyDescent="0.2">
      <c r="H783" s="117"/>
      <c r="I783" s="117"/>
    </row>
    <row r="784" spans="8:9" x14ac:dyDescent="0.2">
      <c r="H784" s="117"/>
      <c r="I784" s="117"/>
    </row>
    <row r="785" spans="8:9" x14ac:dyDescent="0.2">
      <c r="H785" s="117"/>
      <c r="I785" s="117"/>
    </row>
    <row r="786" spans="8:9" x14ac:dyDescent="0.2">
      <c r="H786" s="117"/>
      <c r="I786" s="117"/>
    </row>
    <row r="787" spans="8:9" x14ac:dyDescent="0.2">
      <c r="H787" s="117"/>
      <c r="I787" s="117"/>
    </row>
    <row r="788" spans="8:9" x14ac:dyDescent="0.2">
      <c r="H788" s="117"/>
      <c r="I788" s="117"/>
    </row>
    <row r="789" spans="8:9" x14ac:dyDescent="0.2">
      <c r="H789" s="117"/>
      <c r="I789" s="117"/>
    </row>
    <row r="790" spans="8:9" x14ac:dyDescent="0.2">
      <c r="H790" s="117"/>
      <c r="I790" s="117"/>
    </row>
    <row r="791" spans="8:9" x14ac:dyDescent="0.2">
      <c r="H791" s="117"/>
      <c r="I791" s="117"/>
    </row>
    <row r="792" spans="8:9" x14ac:dyDescent="0.2">
      <c r="H792" s="117"/>
      <c r="I792" s="117"/>
    </row>
    <row r="793" spans="8:9" x14ac:dyDescent="0.2">
      <c r="H793" s="117"/>
      <c r="I793" s="117"/>
    </row>
    <row r="794" spans="8:9" x14ac:dyDescent="0.2">
      <c r="H794" s="117"/>
      <c r="I794" s="117"/>
    </row>
    <row r="795" spans="8:9" x14ac:dyDescent="0.2">
      <c r="H795" s="117"/>
      <c r="I795" s="117"/>
    </row>
    <row r="796" spans="8:9" x14ac:dyDescent="0.2">
      <c r="H796" s="117"/>
      <c r="I796" s="117"/>
    </row>
    <row r="797" spans="8:9" x14ac:dyDescent="0.2">
      <c r="H797" s="117"/>
      <c r="I797" s="117"/>
    </row>
    <row r="798" spans="8:9" x14ac:dyDescent="0.2">
      <c r="H798" s="117"/>
      <c r="I798" s="117"/>
    </row>
    <row r="799" spans="8:9" x14ac:dyDescent="0.2">
      <c r="H799" s="117"/>
      <c r="I799" s="117"/>
    </row>
    <row r="800" spans="8:9" x14ac:dyDescent="0.2">
      <c r="H800" s="117"/>
      <c r="I800" s="117"/>
    </row>
    <row r="801" spans="8:9" x14ac:dyDescent="0.2">
      <c r="H801" s="117"/>
      <c r="I801" s="117"/>
    </row>
    <row r="802" spans="8:9" x14ac:dyDescent="0.2">
      <c r="H802" s="117"/>
      <c r="I802" s="117"/>
    </row>
    <row r="803" spans="8:9" x14ac:dyDescent="0.2">
      <c r="H803" s="117"/>
      <c r="I803" s="117"/>
    </row>
    <row r="804" spans="8:9" x14ac:dyDescent="0.2">
      <c r="H804" s="117"/>
      <c r="I804" s="117"/>
    </row>
    <row r="805" spans="8:9" x14ac:dyDescent="0.2">
      <c r="H805" s="117"/>
      <c r="I805" s="117"/>
    </row>
    <row r="806" spans="8:9" x14ac:dyDescent="0.2">
      <c r="H806" s="117"/>
      <c r="I806" s="117"/>
    </row>
    <row r="807" spans="8:9" x14ac:dyDescent="0.2">
      <c r="H807" s="117"/>
      <c r="I807" s="117"/>
    </row>
    <row r="808" spans="8:9" x14ac:dyDescent="0.2">
      <c r="H808" s="117"/>
      <c r="I808" s="117"/>
    </row>
    <row r="809" spans="8:9" x14ac:dyDescent="0.2">
      <c r="H809" s="117"/>
      <c r="I809" s="117"/>
    </row>
    <row r="810" spans="8:9" x14ac:dyDescent="0.2">
      <c r="H810" s="117"/>
      <c r="I810" s="117"/>
    </row>
    <row r="811" spans="8:9" x14ac:dyDescent="0.2">
      <c r="H811" s="117"/>
      <c r="I811" s="117"/>
    </row>
    <row r="812" spans="8:9" x14ac:dyDescent="0.2">
      <c r="H812" s="117"/>
      <c r="I812" s="117"/>
    </row>
    <row r="813" spans="8:9" x14ac:dyDescent="0.2">
      <c r="H813" s="117"/>
      <c r="I813" s="117"/>
    </row>
    <row r="814" spans="8:9" x14ac:dyDescent="0.2">
      <c r="H814" s="117"/>
      <c r="I814" s="117"/>
    </row>
    <row r="815" spans="8:9" x14ac:dyDescent="0.2">
      <c r="H815" s="117"/>
      <c r="I815" s="117"/>
    </row>
    <row r="816" spans="8:9" x14ac:dyDescent="0.2">
      <c r="H816" s="117"/>
      <c r="I816" s="117"/>
    </row>
    <row r="817" spans="8:9" x14ac:dyDescent="0.2">
      <c r="H817" s="117"/>
      <c r="I817" s="117"/>
    </row>
    <row r="818" spans="8:9" x14ac:dyDescent="0.2">
      <c r="H818" s="117"/>
      <c r="I818" s="117"/>
    </row>
    <row r="819" spans="8:9" x14ac:dyDescent="0.2">
      <c r="H819" s="117"/>
      <c r="I819" s="117"/>
    </row>
    <row r="820" spans="8:9" x14ac:dyDescent="0.2">
      <c r="H820" s="117"/>
      <c r="I820" s="117"/>
    </row>
    <row r="821" spans="8:9" x14ac:dyDescent="0.2">
      <c r="H821" s="117"/>
      <c r="I821" s="117"/>
    </row>
    <row r="822" spans="8:9" x14ac:dyDescent="0.2">
      <c r="H822" s="117"/>
      <c r="I822" s="117"/>
    </row>
    <row r="823" spans="8:9" x14ac:dyDescent="0.2">
      <c r="H823" s="117"/>
      <c r="I823" s="117"/>
    </row>
    <row r="824" spans="8:9" x14ac:dyDescent="0.2">
      <c r="H824" s="117"/>
      <c r="I824" s="117"/>
    </row>
    <row r="825" spans="8:9" x14ac:dyDescent="0.2">
      <c r="H825" s="117"/>
      <c r="I825" s="117"/>
    </row>
    <row r="826" spans="8:9" x14ac:dyDescent="0.2">
      <c r="H826" s="117"/>
      <c r="I826" s="117"/>
    </row>
    <row r="827" spans="8:9" x14ac:dyDescent="0.2">
      <c r="H827" s="117"/>
      <c r="I827" s="117"/>
    </row>
    <row r="828" spans="8:9" x14ac:dyDescent="0.2">
      <c r="H828" s="117"/>
      <c r="I828" s="117"/>
    </row>
    <row r="829" spans="8:9" x14ac:dyDescent="0.2">
      <c r="H829" s="117"/>
      <c r="I829" s="117"/>
    </row>
    <row r="830" spans="8:9" x14ac:dyDescent="0.2">
      <c r="H830" s="117"/>
      <c r="I830" s="117"/>
    </row>
    <row r="831" spans="8:9" x14ac:dyDescent="0.2">
      <c r="H831" s="117"/>
      <c r="I831" s="117"/>
    </row>
    <row r="832" spans="8:9" x14ac:dyDescent="0.2">
      <c r="H832" s="117"/>
      <c r="I832" s="117"/>
    </row>
    <row r="833" spans="8:9" x14ac:dyDescent="0.2">
      <c r="H833" s="117"/>
      <c r="I833" s="117"/>
    </row>
    <row r="834" spans="8:9" x14ac:dyDescent="0.2">
      <c r="H834" s="117"/>
      <c r="I834" s="117"/>
    </row>
    <row r="835" spans="8:9" x14ac:dyDescent="0.2">
      <c r="H835" s="117"/>
      <c r="I835" s="117"/>
    </row>
    <row r="836" spans="8:9" x14ac:dyDescent="0.2">
      <c r="H836" s="117"/>
      <c r="I836" s="117"/>
    </row>
    <row r="837" spans="8:9" x14ac:dyDescent="0.2">
      <c r="H837" s="117"/>
      <c r="I837" s="117"/>
    </row>
    <row r="838" spans="8:9" x14ac:dyDescent="0.2">
      <c r="H838" s="117"/>
      <c r="I838" s="117"/>
    </row>
    <row r="839" spans="8:9" x14ac:dyDescent="0.2">
      <c r="H839" s="117"/>
      <c r="I839" s="117"/>
    </row>
    <row r="840" spans="8:9" x14ac:dyDescent="0.2">
      <c r="H840" s="117"/>
      <c r="I840" s="117"/>
    </row>
    <row r="841" spans="8:9" x14ac:dyDescent="0.2">
      <c r="H841" s="117"/>
      <c r="I841" s="117"/>
    </row>
    <row r="842" spans="8:9" x14ac:dyDescent="0.2">
      <c r="H842" s="117"/>
      <c r="I842" s="117"/>
    </row>
    <row r="843" spans="8:9" x14ac:dyDescent="0.2">
      <c r="H843" s="117"/>
      <c r="I843" s="117"/>
    </row>
    <row r="844" spans="8:9" x14ac:dyDescent="0.2">
      <c r="H844" s="117"/>
      <c r="I844" s="117"/>
    </row>
    <row r="845" spans="8:9" x14ac:dyDescent="0.2">
      <c r="H845" s="117"/>
      <c r="I845" s="117"/>
    </row>
    <row r="846" spans="8:9" x14ac:dyDescent="0.2">
      <c r="H846" s="117"/>
      <c r="I846" s="117"/>
    </row>
    <row r="847" spans="8:9" x14ac:dyDescent="0.2">
      <c r="H847" s="117"/>
      <c r="I847" s="117"/>
    </row>
    <row r="848" spans="8:9" x14ac:dyDescent="0.2">
      <c r="H848" s="117"/>
      <c r="I848" s="117"/>
    </row>
    <row r="849" spans="8:9" x14ac:dyDescent="0.2">
      <c r="H849" s="117"/>
      <c r="I849" s="117"/>
    </row>
    <row r="850" spans="8:9" x14ac:dyDescent="0.2">
      <c r="H850" s="117"/>
      <c r="I850" s="117"/>
    </row>
    <row r="851" spans="8:9" x14ac:dyDescent="0.2">
      <c r="H851" s="117"/>
      <c r="I851" s="117"/>
    </row>
    <row r="852" spans="8:9" x14ac:dyDescent="0.2">
      <c r="H852" s="117"/>
      <c r="I852" s="117"/>
    </row>
    <row r="853" spans="8:9" x14ac:dyDescent="0.2">
      <c r="H853" s="117"/>
      <c r="I853" s="117"/>
    </row>
    <row r="854" spans="8:9" x14ac:dyDescent="0.2">
      <c r="H854" s="117"/>
      <c r="I854" s="117"/>
    </row>
    <row r="855" spans="8:9" x14ac:dyDescent="0.2">
      <c r="H855" s="117"/>
      <c r="I855" s="117"/>
    </row>
    <row r="856" spans="8:9" x14ac:dyDescent="0.2">
      <c r="H856" s="117"/>
      <c r="I856" s="117"/>
    </row>
    <row r="857" spans="8:9" x14ac:dyDescent="0.2">
      <c r="H857" s="117"/>
      <c r="I857" s="117"/>
    </row>
    <row r="858" spans="8:9" x14ac:dyDescent="0.2">
      <c r="H858" s="117"/>
      <c r="I858" s="117"/>
    </row>
    <row r="859" spans="8:9" x14ac:dyDescent="0.2">
      <c r="H859" s="117"/>
      <c r="I859" s="117"/>
    </row>
    <row r="860" spans="8:9" x14ac:dyDescent="0.2">
      <c r="H860" s="117"/>
      <c r="I860" s="117"/>
    </row>
    <row r="861" spans="8:9" x14ac:dyDescent="0.2">
      <c r="H861" s="117"/>
      <c r="I861" s="117"/>
    </row>
    <row r="862" spans="8:9" x14ac:dyDescent="0.2">
      <c r="H862" s="117"/>
      <c r="I862" s="117"/>
    </row>
    <row r="863" spans="8:9" x14ac:dyDescent="0.2">
      <c r="H863" s="117"/>
      <c r="I863" s="117"/>
    </row>
    <row r="864" spans="8:9" x14ac:dyDescent="0.2">
      <c r="H864" s="117"/>
      <c r="I864" s="117"/>
    </row>
    <row r="865" spans="8:9" x14ac:dyDescent="0.2">
      <c r="H865" s="117"/>
      <c r="I865" s="117"/>
    </row>
    <row r="866" spans="8:9" x14ac:dyDescent="0.2">
      <c r="H866" s="117"/>
      <c r="I866" s="117"/>
    </row>
    <row r="867" spans="8:9" x14ac:dyDescent="0.2">
      <c r="H867" s="117"/>
      <c r="I867" s="117"/>
    </row>
    <row r="868" spans="8:9" x14ac:dyDescent="0.2">
      <c r="H868" s="117"/>
      <c r="I868" s="117"/>
    </row>
    <row r="869" spans="8:9" x14ac:dyDescent="0.2">
      <c r="H869" s="117"/>
      <c r="I869" s="117"/>
    </row>
    <row r="870" spans="8:9" x14ac:dyDescent="0.2">
      <c r="H870" s="117"/>
      <c r="I870" s="117"/>
    </row>
    <row r="871" spans="8:9" x14ac:dyDescent="0.2">
      <c r="H871" s="117"/>
      <c r="I871" s="117"/>
    </row>
    <row r="872" spans="8:9" x14ac:dyDescent="0.2">
      <c r="H872" s="117"/>
      <c r="I872" s="117"/>
    </row>
    <row r="873" spans="8:9" x14ac:dyDescent="0.2">
      <c r="H873" s="117"/>
      <c r="I873" s="117"/>
    </row>
    <row r="874" spans="8:9" x14ac:dyDescent="0.2">
      <c r="H874" s="117"/>
      <c r="I874" s="117"/>
    </row>
    <row r="875" spans="8:9" x14ac:dyDescent="0.2">
      <c r="H875" s="117"/>
      <c r="I875" s="117"/>
    </row>
    <row r="876" spans="8:9" x14ac:dyDescent="0.2">
      <c r="H876" s="117"/>
      <c r="I876" s="117"/>
    </row>
    <row r="877" spans="8:9" x14ac:dyDescent="0.2">
      <c r="H877" s="117"/>
      <c r="I877" s="117"/>
    </row>
    <row r="878" spans="8:9" x14ac:dyDescent="0.2">
      <c r="H878" s="117"/>
      <c r="I878" s="117"/>
    </row>
    <row r="879" spans="8:9" x14ac:dyDescent="0.2">
      <c r="H879" s="117"/>
      <c r="I879" s="117"/>
    </row>
    <row r="880" spans="8:9" x14ac:dyDescent="0.2">
      <c r="H880" s="117"/>
      <c r="I880" s="117"/>
    </row>
    <row r="881" spans="8:9" x14ac:dyDescent="0.2">
      <c r="H881" s="117"/>
      <c r="I881" s="117"/>
    </row>
    <row r="882" spans="8:9" x14ac:dyDescent="0.2">
      <c r="H882" s="117"/>
      <c r="I882" s="117"/>
    </row>
    <row r="883" spans="8:9" x14ac:dyDescent="0.2">
      <c r="H883" s="117"/>
      <c r="I883" s="117"/>
    </row>
    <row r="884" spans="8:9" x14ac:dyDescent="0.2">
      <c r="H884" s="117"/>
      <c r="I884" s="117"/>
    </row>
    <row r="885" spans="8:9" x14ac:dyDescent="0.2">
      <c r="H885" s="117"/>
      <c r="I885" s="117"/>
    </row>
    <row r="886" spans="8:9" x14ac:dyDescent="0.2">
      <c r="H886" s="117"/>
      <c r="I886" s="117"/>
    </row>
    <row r="887" spans="8:9" x14ac:dyDescent="0.2">
      <c r="H887" s="117"/>
      <c r="I887" s="117"/>
    </row>
    <row r="888" spans="8:9" x14ac:dyDescent="0.2">
      <c r="H888" s="117"/>
      <c r="I888" s="117"/>
    </row>
    <row r="889" spans="8:9" x14ac:dyDescent="0.2">
      <c r="H889" s="117"/>
      <c r="I889" s="117"/>
    </row>
    <row r="890" spans="8:9" x14ac:dyDescent="0.2">
      <c r="H890" s="117"/>
      <c r="I890" s="117"/>
    </row>
    <row r="891" spans="8:9" x14ac:dyDescent="0.2">
      <c r="H891" s="117"/>
      <c r="I891" s="117"/>
    </row>
    <row r="892" spans="8:9" x14ac:dyDescent="0.2">
      <c r="H892" s="117"/>
      <c r="I892" s="117"/>
    </row>
    <row r="893" spans="8:9" x14ac:dyDescent="0.2">
      <c r="H893" s="117"/>
      <c r="I893" s="117"/>
    </row>
    <row r="894" spans="8:9" x14ac:dyDescent="0.2">
      <c r="H894" s="117"/>
      <c r="I894" s="117"/>
    </row>
    <row r="895" spans="8:9" x14ac:dyDescent="0.2">
      <c r="H895" s="117"/>
      <c r="I895" s="117"/>
    </row>
    <row r="896" spans="8:9" x14ac:dyDescent="0.2">
      <c r="H896" s="117"/>
      <c r="I896" s="117"/>
    </row>
    <row r="897" spans="8:9" x14ac:dyDescent="0.2">
      <c r="H897" s="117"/>
      <c r="I897" s="117"/>
    </row>
    <row r="898" spans="8:9" x14ac:dyDescent="0.2">
      <c r="H898" s="117"/>
      <c r="I898" s="117"/>
    </row>
    <row r="899" spans="8:9" x14ac:dyDescent="0.2">
      <c r="H899" s="117"/>
      <c r="I899" s="117"/>
    </row>
    <row r="900" spans="8:9" x14ac:dyDescent="0.2">
      <c r="H900" s="117"/>
      <c r="I900" s="117"/>
    </row>
  </sheetData>
  <sortState ref="A93:GU95">
    <sortCondition ref="C93:C95"/>
  </sortState>
  <mergeCells count="1">
    <mergeCell ref="H2:I2"/>
  </mergeCells>
  <phoneticPr fontId="6" type="noConversion"/>
  <pageMargins left="0.15748031496062992" right="0.19685039370078741" top="0.23622047244094491" bottom="0.23622047244094491" header="0.15748031496062992" footer="0.23622047244094491"/>
  <pageSetup paperSize="9" scale="78" orientation="landscape" r:id="rId1"/>
  <headerFooter alignWithMargins="0">
    <oddHeader xml:space="preserve">&amp;R&amp;P+5 . strana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workbookViewId="0">
      <selection activeCell="E24" sqref="E24"/>
    </sheetView>
  </sheetViews>
  <sheetFormatPr defaultRowHeight="12.75" x14ac:dyDescent="0.2"/>
  <cols>
    <col min="2" max="2" width="30.42578125" customWidth="1"/>
    <col min="3" max="3" width="11.85546875" customWidth="1"/>
  </cols>
  <sheetData>
    <row r="2" spans="1:3" x14ac:dyDescent="0.2">
      <c r="A2" s="446"/>
      <c r="B2" s="477" t="s">
        <v>484</v>
      </c>
      <c r="C2" s="446"/>
    </row>
    <row r="3" spans="1:3" x14ac:dyDescent="0.2">
      <c r="A3" s="446"/>
      <c r="B3" s="477" t="s">
        <v>479</v>
      </c>
      <c r="C3" s="446"/>
    </row>
    <row r="4" spans="1:3" x14ac:dyDescent="0.2">
      <c r="A4" s="479"/>
      <c r="B4" s="489" t="s">
        <v>7</v>
      </c>
      <c r="C4" s="490">
        <f>sumář!P10</f>
        <v>87644</v>
      </c>
    </row>
    <row r="5" spans="1:3" x14ac:dyDescent="0.2">
      <c r="A5" s="479"/>
      <c r="B5" s="489" t="s">
        <v>8</v>
      </c>
      <c r="C5" s="490">
        <f>sumář!P11</f>
        <v>26774</v>
      </c>
    </row>
    <row r="6" spans="1:3" x14ac:dyDescent="0.2">
      <c r="A6" s="479"/>
      <c r="B6" s="489" t="s">
        <v>9</v>
      </c>
      <c r="C6" s="490">
        <f>sumář!P12</f>
        <v>5949</v>
      </c>
    </row>
    <row r="7" spans="1:3" x14ac:dyDescent="0.2">
      <c r="A7" s="479"/>
      <c r="B7" s="489" t="s">
        <v>10</v>
      </c>
      <c r="C7" s="490">
        <f>sumář!P13</f>
        <v>52306</v>
      </c>
    </row>
    <row r="8" spans="1:3" x14ac:dyDescent="0.2">
      <c r="A8" s="479"/>
      <c r="B8" s="491" t="s">
        <v>11</v>
      </c>
      <c r="C8" s="492">
        <f>SUM(C4:C7)</f>
        <v>172673</v>
      </c>
    </row>
    <row r="9" spans="1:3" x14ac:dyDescent="0.2">
      <c r="A9" s="446"/>
      <c r="B9" s="446"/>
      <c r="C9" s="446"/>
    </row>
    <row r="10" spans="1:3" x14ac:dyDescent="0.2">
      <c r="A10" s="446" t="s">
        <v>480</v>
      </c>
      <c r="B10" s="477" t="s">
        <v>481</v>
      </c>
      <c r="C10" s="446"/>
    </row>
    <row r="11" spans="1:3" x14ac:dyDescent="0.2">
      <c r="A11" s="479">
        <v>10</v>
      </c>
      <c r="B11" s="493" t="s">
        <v>67</v>
      </c>
      <c r="C11" s="494">
        <f>výdaje!AF5</f>
        <v>1395</v>
      </c>
    </row>
    <row r="12" spans="1:3" x14ac:dyDescent="0.2">
      <c r="A12" s="479">
        <v>21</v>
      </c>
      <c r="B12" s="493" t="s">
        <v>249</v>
      </c>
      <c r="C12" s="494">
        <f>výdaje!AF7</f>
        <v>1274</v>
      </c>
    </row>
    <row r="13" spans="1:3" x14ac:dyDescent="0.2">
      <c r="A13" s="479">
        <v>22</v>
      </c>
      <c r="B13" s="493" t="s">
        <v>70</v>
      </c>
      <c r="C13" s="494">
        <f>výdaje!AF13</f>
        <v>29386</v>
      </c>
    </row>
    <row r="14" spans="1:3" x14ac:dyDescent="0.2">
      <c r="A14" s="480">
        <v>31</v>
      </c>
      <c r="B14" s="493" t="s">
        <v>388</v>
      </c>
      <c r="C14" s="494">
        <f>výdaje!AF30</f>
        <v>17801</v>
      </c>
    </row>
    <row r="15" spans="1:3" x14ac:dyDescent="0.2">
      <c r="A15" s="480">
        <v>33</v>
      </c>
      <c r="B15" s="493" t="s">
        <v>72</v>
      </c>
      <c r="C15" s="494">
        <f>výdaje!AF44</f>
        <v>10968</v>
      </c>
    </row>
    <row r="16" spans="1:3" x14ac:dyDescent="0.2">
      <c r="A16" s="480">
        <v>34</v>
      </c>
      <c r="B16" s="493" t="s">
        <v>74</v>
      </c>
      <c r="C16" s="494">
        <f>výdaje!AF56</f>
        <v>14570</v>
      </c>
    </row>
    <row r="17" spans="1:3" x14ac:dyDescent="0.2">
      <c r="A17" s="480">
        <v>35</v>
      </c>
      <c r="B17" s="493" t="s">
        <v>114</v>
      </c>
      <c r="C17" s="494">
        <f>výdaje!AF64</f>
        <v>922</v>
      </c>
    </row>
    <row r="18" spans="1:3" x14ac:dyDescent="0.2">
      <c r="A18" s="480">
        <v>36</v>
      </c>
      <c r="B18" s="493" t="s">
        <v>75</v>
      </c>
      <c r="C18" s="494">
        <f>výdaje!AF66</f>
        <v>26409</v>
      </c>
    </row>
    <row r="19" spans="1:3" x14ac:dyDescent="0.2">
      <c r="A19" s="480">
        <v>37</v>
      </c>
      <c r="B19" s="493" t="s">
        <v>115</v>
      </c>
      <c r="C19" s="494">
        <f>výdaje!AF88</f>
        <v>16748</v>
      </c>
    </row>
    <row r="20" spans="1:3" x14ac:dyDescent="0.2">
      <c r="A20" s="480">
        <v>43</v>
      </c>
      <c r="B20" s="493" t="s">
        <v>80</v>
      </c>
      <c r="C20" s="494">
        <f>výdaje!AF98</f>
        <v>9465</v>
      </c>
    </row>
    <row r="21" spans="1:3" x14ac:dyDescent="0.2">
      <c r="A21" s="480">
        <v>53</v>
      </c>
      <c r="B21" s="493" t="s">
        <v>104</v>
      </c>
      <c r="C21" s="494">
        <f>výdaje!AF104</f>
        <v>4687</v>
      </c>
    </row>
    <row r="22" spans="1:3" x14ac:dyDescent="0.2">
      <c r="A22" s="480">
        <v>61</v>
      </c>
      <c r="B22" s="493" t="s">
        <v>82</v>
      </c>
      <c r="C22" s="494">
        <f>výdaje!AF109</f>
        <v>61095</v>
      </c>
    </row>
    <row r="23" spans="1:3" x14ac:dyDescent="0.2">
      <c r="A23" s="480">
        <v>63</v>
      </c>
      <c r="B23" s="493" t="s">
        <v>85</v>
      </c>
      <c r="C23" s="494">
        <f>výdaje!AF116</f>
        <v>7226</v>
      </c>
    </row>
    <row r="24" spans="1:3" x14ac:dyDescent="0.2">
      <c r="A24" s="479"/>
      <c r="B24" s="495" t="s">
        <v>87</v>
      </c>
      <c r="C24" s="492">
        <f>SUM(C11:C23)</f>
        <v>201946</v>
      </c>
    </row>
    <row r="25" spans="1:3" x14ac:dyDescent="0.2">
      <c r="A25" s="446"/>
      <c r="B25" s="477" t="s">
        <v>482</v>
      </c>
      <c r="C25" s="496">
        <f>C8-C24</f>
        <v>-29273</v>
      </c>
    </row>
    <row r="26" spans="1:3" x14ac:dyDescent="0.2">
      <c r="A26" s="446"/>
      <c r="B26" s="446"/>
      <c r="C26" s="402"/>
    </row>
    <row r="27" spans="1:3" x14ac:dyDescent="0.2">
      <c r="A27" s="446"/>
      <c r="B27" s="477" t="s">
        <v>483</v>
      </c>
      <c r="C27" s="446"/>
    </row>
    <row r="28" spans="1:3" x14ac:dyDescent="0.2">
      <c r="A28" s="479"/>
      <c r="B28" s="489" t="s">
        <v>332</v>
      </c>
      <c r="C28" s="490">
        <f>sumář!P22</f>
        <v>-4255</v>
      </c>
    </row>
    <row r="29" spans="1:3" x14ac:dyDescent="0.2">
      <c r="A29" s="479"/>
      <c r="B29" s="489" t="s">
        <v>350</v>
      </c>
      <c r="C29" s="490">
        <v>0</v>
      </c>
    </row>
    <row r="30" spans="1:3" x14ac:dyDescent="0.2">
      <c r="A30" s="479"/>
      <c r="B30" s="489" t="s">
        <v>487</v>
      </c>
      <c r="C30" s="490">
        <f>sumář!P27+sumář!P26</f>
        <v>33528</v>
      </c>
    </row>
    <row r="31" spans="1:3" x14ac:dyDescent="0.2">
      <c r="A31" s="479"/>
      <c r="B31" s="478" t="s">
        <v>18</v>
      </c>
      <c r="C31" s="492">
        <f>SUM(C28:C30)</f>
        <v>29273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P37"/>
  <sheetViews>
    <sheetView workbookViewId="0">
      <selection activeCell="P17" sqref="P17"/>
    </sheetView>
  </sheetViews>
  <sheetFormatPr defaultColWidth="7.85546875" defaultRowHeight="12.75" x14ac:dyDescent="0.2"/>
  <cols>
    <col min="1" max="2" width="7.85546875" style="95" customWidth="1"/>
    <col min="3" max="3" width="4.28515625" style="95" customWidth="1"/>
    <col min="4" max="4" width="16.28515625" style="21" customWidth="1"/>
    <col min="5" max="5" width="6.5703125" style="95" customWidth="1"/>
    <col min="6" max="6" width="7.85546875" style="95" customWidth="1"/>
    <col min="7" max="7" width="7.28515625" style="95" customWidth="1"/>
    <col min="8" max="9" width="7.85546875" style="95" customWidth="1"/>
    <col min="10" max="11" width="10" style="117" customWidth="1"/>
    <col min="12" max="16384" width="7.85546875" style="95"/>
  </cols>
  <sheetData>
    <row r="1" spans="1:16" ht="15.75" x14ac:dyDescent="0.25">
      <c r="A1" s="1" t="s">
        <v>488</v>
      </c>
      <c r="E1" s="241"/>
      <c r="G1" s="241"/>
      <c r="I1" s="241"/>
    </row>
    <row r="2" spans="1:16" x14ac:dyDescent="0.2">
      <c r="A2" s="117"/>
      <c r="B2" s="117"/>
      <c r="C2" s="117"/>
      <c r="D2" s="98"/>
      <c r="E2" s="241"/>
      <c r="G2" s="241"/>
      <c r="I2" s="241"/>
    </row>
    <row r="3" spans="1:16" ht="13.5" thickBot="1" x14ac:dyDescent="0.25">
      <c r="E3" s="241"/>
      <c r="G3" s="241"/>
      <c r="I3" s="241"/>
    </row>
    <row r="4" spans="1:16" ht="13.5" thickBot="1" x14ac:dyDescent="0.25">
      <c r="A4" s="331"/>
      <c r="B4" s="242"/>
      <c r="C4" s="242"/>
      <c r="D4" s="243"/>
      <c r="E4" s="244"/>
      <c r="F4" s="245" t="s">
        <v>207</v>
      </c>
      <c r="G4" s="246"/>
      <c r="H4" s="245" t="s">
        <v>208</v>
      </c>
      <c r="I4" s="247" t="s">
        <v>209</v>
      </c>
      <c r="J4" s="392"/>
      <c r="K4" s="393" t="s">
        <v>90</v>
      </c>
    </row>
    <row r="5" spans="1:16" x14ac:dyDescent="0.2">
      <c r="A5" s="200"/>
      <c r="B5" s="129"/>
      <c r="C5" s="129"/>
      <c r="D5" s="248"/>
      <c r="E5" s="249" t="s">
        <v>210</v>
      </c>
      <c r="F5" s="250"/>
      <c r="G5" s="249" t="s">
        <v>210</v>
      </c>
      <c r="H5" s="250"/>
      <c r="I5" s="249" t="s">
        <v>211</v>
      </c>
      <c r="J5" s="394"/>
      <c r="K5" s="395" t="s">
        <v>212</v>
      </c>
    </row>
    <row r="6" spans="1:16" ht="13.5" thickBot="1" x14ac:dyDescent="0.25">
      <c r="A6" s="204"/>
      <c r="B6" s="130"/>
      <c r="C6" s="130"/>
      <c r="D6" s="251"/>
      <c r="E6" s="252" t="s">
        <v>93</v>
      </c>
      <c r="F6" s="253" t="s">
        <v>213</v>
      </c>
      <c r="G6" s="252" t="s">
        <v>93</v>
      </c>
      <c r="H6" s="253" t="s">
        <v>213</v>
      </c>
      <c r="I6" s="252" t="s">
        <v>214</v>
      </c>
      <c r="J6" s="253" t="s">
        <v>213</v>
      </c>
      <c r="K6" s="396" t="s">
        <v>215</v>
      </c>
    </row>
    <row r="7" spans="1:16" x14ac:dyDescent="0.2">
      <c r="A7" s="201" t="s">
        <v>94</v>
      </c>
      <c r="B7" s="129"/>
      <c r="C7" s="129"/>
      <c r="D7" s="248"/>
      <c r="E7" s="254">
        <f>+příjmy!H41</f>
        <v>402</v>
      </c>
      <c r="F7" s="255">
        <f>+příjmy!O41</f>
        <v>473.92061999999999</v>
      </c>
      <c r="G7" s="256">
        <f>výdaje!L6</f>
        <v>1286.83</v>
      </c>
      <c r="H7" s="255">
        <f>+výdaje!AA6</f>
        <v>1114.35806</v>
      </c>
      <c r="I7" s="254"/>
      <c r="J7" s="255"/>
      <c r="K7" s="257"/>
    </row>
    <row r="8" spans="1:16" x14ac:dyDescent="0.2">
      <c r="A8" s="332"/>
      <c r="B8" s="131"/>
      <c r="C8" s="22" t="s">
        <v>216</v>
      </c>
      <c r="D8" s="258"/>
      <c r="E8" s="259">
        <f>SUM(E7:E7)</f>
        <v>402</v>
      </c>
      <c r="F8" s="260">
        <f>SUM(F7:F7)</f>
        <v>473.92061999999999</v>
      </c>
      <c r="G8" s="259">
        <f>SUM(G7:G7)</f>
        <v>1286.83</v>
      </c>
      <c r="H8" s="260">
        <f>SUM(H7:H7)</f>
        <v>1114.35806</v>
      </c>
      <c r="I8" s="259">
        <f>E8-G8</f>
        <v>-884.82999999999993</v>
      </c>
      <c r="J8" s="260">
        <f>F8-H8</f>
        <v>-640.43744000000004</v>
      </c>
      <c r="K8" s="262">
        <f>J8-I8</f>
        <v>244.39255999999989</v>
      </c>
    </row>
    <row r="9" spans="1:16" x14ac:dyDescent="0.2">
      <c r="A9" s="333" t="s">
        <v>217</v>
      </c>
      <c r="B9" s="129"/>
      <c r="C9" s="129"/>
      <c r="D9" s="248"/>
      <c r="E9" s="249"/>
      <c r="F9" s="263"/>
      <c r="G9" s="249"/>
      <c r="H9" s="263"/>
      <c r="I9" s="249"/>
      <c r="J9" s="263"/>
      <c r="K9" s="264"/>
    </row>
    <row r="10" spans="1:16" x14ac:dyDescent="0.2">
      <c r="A10" s="334"/>
      <c r="B10" s="131"/>
      <c r="C10" s="131"/>
      <c r="D10" s="75"/>
      <c r="E10" s="259">
        <f>+příjmy!H63</f>
        <v>1400</v>
      </c>
      <c r="F10" s="261">
        <f>+příjmy!O63</f>
        <v>1536.3313799999999</v>
      </c>
      <c r="G10" s="259">
        <f>+výdaje!L9</f>
        <v>370</v>
      </c>
      <c r="H10" s="261">
        <f>+výdaje!AA9</f>
        <v>131.92670000000001</v>
      </c>
      <c r="I10" s="259">
        <f>E10-G10</f>
        <v>1030</v>
      </c>
      <c r="J10" s="260">
        <f>F10-H10</f>
        <v>1404.4046799999999</v>
      </c>
      <c r="K10" s="262">
        <f>J10-I10</f>
        <v>374.40467999999987</v>
      </c>
    </row>
    <row r="11" spans="1:16" x14ac:dyDescent="0.2">
      <c r="A11" s="201" t="s">
        <v>76</v>
      </c>
      <c r="B11" s="129"/>
      <c r="C11" s="129"/>
      <c r="D11" s="248"/>
      <c r="E11" s="254"/>
      <c r="F11" s="74"/>
      <c r="G11" s="254"/>
      <c r="H11" s="74"/>
      <c r="I11" s="254"/>
      <c r="J11" s="132"/>
      <c r="K11" s="257"/>
    </row>
    <row r="12" spans="1:16" x14ac:dyDescent="0.2">
      <c r="A12" s="200"/>
      <c r="B12" s="129"/>
      <c r="C12" s="129"/>
      <c r="D12" s="248" t="s">
        <v>237</v>
      </c>
      <c r="E12" s="254">
        <f>+příjmy!H66</f>
        <v>8523</v>
      </c>
      <c r="F12" s="255">
        <f>+příjmy!O66</f>
        <v>8582.0134200000011</v>
      </c>
      <c r="G12" s="256">
        <f>+výdaje!L67</f>
        <v>7406</v>
      </c>
      <c r="H12" s="255">
        <f>+výdaje!AA67</f>
        <v>6996.4728599999999</v>
      </c>
      <c r="I12" s="254">
        <f t="shared" ref="I12:J16" si="0">E12-G12</f>
        <v>1117</v>
      </c>
      <c r="J12" s="255">
        <f t="shared" si="0"/>
        <v>1585.5405600000013</v>
      </c>
      <c r="K12" s="257"/>
      <c r="M12" s="113"/>
    </row>
    <row r="13" spans="1:16" x14ac:dyDescent="0.2">
      <c r="A13" s="200"/>
      <c r="B13" s="129"/>
      <c r="C13" s="129"/>
      <c r="D13" s="248" t="s">
        <v>218</v>
      </c>
      <c r="E13" s="254">
        <f>+příjmy!H50</f>
        <v>1980</v>
      </c>
      <c r="F13" s="255">
        <f>+příjmy!O50</f>
        <v>1784.4263799999999</v>
      </c>
      <c r="G13" s="256">
        <f>+výdaje!L68</f>
        <v>1980</v>
      </c>
      <c r="H13" s="255">
        <f>+výdaje!AA68</f>
        <v>2106.0985300000002</v>
      </c>
      <c r="I13" s="254">
        <f t="shared" si="0"/>
        <v>0</v>
      </c>
      <c r="J13" s="255">
        <f t="shared" si="0"/>
        <v>-321.67215000000033</v>
      </c>
      <c r="K13" s="257"/>
      <c r="M13" s="113"/>
    </row>
    <row r="14" spans="1:16" x14ac:dyDescent="0.2">
      <c r="A14" s="200"/>
      <c r="B14" s="129"/>
      <c r="C14" s="129"/>
      <c r="D14" s="248" t="s">
        <v>219</v>
      </c>
      <c r="E14" s="254">
        <f>+příjmy!H67</f>
        <v>750</v>
      </c>
      <c r="F14" s="255">
        <f>+příjmy!O67</f>
        <v>653.79300000000001</v>
      </c>
      <c r="G14" s="256">
        <f>+výdaje!L76</f>
        <v>270</v>
      </c>
      <c r="H14" s="255">
        <f>výdaje!AA76</f>
        <v>268.08593999999999</v>
      </c>
      <c r="I14" s="254">
        <f t="shared" si="0"/>
        <v>480</v>
      </c>
      <c r="J14" s="255">
        <f t="shared" si="0"/>
        <v>385.70706000000001</v>
      </c>
      <c r="K14" s="257"/>
      <c r="M14" s="113"/>
    </row>
    <row r="15" spans="1:16" x14ac:dyDescent="0.2">
      <c r="A15" s="200"/>
      <c r="B15" s="129"/>
      <c r="C15" s="129"/>
      <c r="D15" s="248" t="s">
        <v>220</v>
      </c>
      <c r="E15" s="254">
        <f>+příjmy!H51</f>
        <v>300</v>
      </c>
      <c r="F15" s="255">
        <f>+příjmy!O51</f>
        <v>382.89100000000002</v>
      </c>
      <c r="G15" s="256">
        <f>výdaje!L77</f>
        <v>300</v>
      </c>
      <c r="H15" s="255">
        <f>výdaje!AA77</f>
        <v>167.37688</v>
      </c>
      <c r="I15" s="254">
        <f t="shared" si="0"/>
        <v>0</v>
      </c>
      <c r="J15" s="255">
        <f t="shared" si="0"/>
        <v>215.51412000000002</v>
      </c>
      <c r="K15" s="257"/>
      <c r="M15" s="113"/>
    </row>
    <row r="16" spans="1:16" x14ac:dyDescent="0.2">
      <c r="A16" s="332"/>
      <c r="B16" s="131"/>
      <c r="C16" s="22" t="s">
        <v>221</v>
      </c>
      <c r="D16" s="75"/>
      <c r="E16" s="259">
        <f>SUM(E12:E15)</f>
        <v>11553</v>
      </c>
      <c r="F16" s="261">
        <f>SUM(F12:F15)</f>
        <v>11403.123799999999</v>
      </c>
      <c r="G16" s="259">
        <f>SUM(G12:G15)</f>
        <v>9956</v>
      </c>
      <c r="H16" s="261">
        <f>SUM(H12:H15)</f>
        <v>9538.0342100000016</v>
      </c>
      <c r="I16" s="259">
        <f t="shared" si="0"/>
        <v>1597</v>
      </c>
      <c r="J16" s="260">
        <f t="shared" si="0"/>
        <v>1865.0895899999978</v>
      </c>
      <c r="K16" s="262">
        <f>J16-I16</f>
        <v>268.08958999999777</v>
      </c>
      <c r="M16" s="113"/>
      <c r="P16" s="113"/>
    </row>
    <row r="17" spans="1:12" x14ac:dyDescent="0.2">
      <c r="A17" s="201" t="s">
        <v>222</v>
      </c>
      <c r="B17" s="129"/>
      <c r="C17" s="129"/>
      <c r="D17" s="248" t="s">
        <v>223</v>
      </c>
      <c r="E17" s="256">
        <f>+příjmy!H47</f>
        <v>98</v>
      </c>
      <c r="F17" s="255">
        <f>+příjmy!O47</f>
        <v>83.605000000000004</v>
      </c>
      <c r="G17" s="256">
        <f>+výdaje!L45</f>
        <v>1815</v>
      </c>
      <c r="H17" s="255">
        <f>+výdaje!AA45</f>
        <v>1566.3492799999999</v>
      </c>
      <c r="I17" s="254"/>
      <c r="J17" s="255"/>
      <c r="K17" s="257"/>
    </row>
    <row r="18" spans="1:12" x14ac:dyDescent="0.2">
      <c r="A18" s="201"/>
      <c r="B18" s="129"/>
      <c r="C18" s="129"/>
      <c r="D18" s="248" t="s">
        <v>224</v>
      </c>
      <c r="E18" s="254"/>
      <c r="F18" s="132"/>
      <c r="G18" s="254"/>
      <c r="H18" s="132"/>
      <c r="I18" s="254"/>
      <c r="J18" s="132"/>
      <c r="K18" s="257"/>
    </row>
    <row r="19" spans="1:12" x14ac:dyDescent="0.2">
      <c r="A19" s="334"/>
      <c r="B19" s="131"/>
      <c r="C19" s="22" t="s">
        <v>66</v>
      </c>
      <c r="D19" s="258"/>
      <c r="E19" s="259">
        <f>SUM(E17:E18)</f>
        <v>98</v>
      </c>
      <c r="F19" s="261">
        <f>SUM(F17:F18)</f>
        <v>83.605000000000004</v>
      </c>
      <c r="G19" s="259">
        <f>SUM(G17:G18)</f>
        <v>1815</v>
      </c>
      <c r="H19" s="261">
        <f>SUM(H17:H18)</f>
        <v>1566.3492799999999</v>
      </c>
      <c r="I19" s="259">
        <f>E19-G19</f>
        <v>-1717</v>
      </c>
      <c r="J19" s="260">
        <f>F19-H19</f>
        <v>-1482.7442799999999</v>
      </c>
      <c r="K19" s="262">
        <f>J19-I19</f>
        <v>234.25572000000011</v>
      </c>
    </row>
    <row r="20" spans="1:12" x14ac:dyDescent="0.2">
      <c r="A20" s="201" t="s">
        <v>225</v>
      </c>
      <c r="B20" s="129"/>
      <c r="C20" s="129"/>
      <c r="D20" s="248" t="s">
        <v>226</v>
      </c>
      <c r="E20" s="256">
        <f>+příjmy!H49</f>
        <v>100</v>
      </c>
      <c r="F20" s="255">
        <f>+příjmy!O49</f>
        <v>101.617</v>
      </c>
      <c r="G20" s="254"/>
      <c r="H20" s="255"/>
      <c r="I20" s="254"/>
      <c r="J20" s="397"/>
      <c r="K20" s="257"/>
    </row>
    <row r="21" spans="1:12" x14ac:dyDescent="0.2">
      <c r="A21" s="200"/>
      <c r="B21" s="129"/>
      <c r="C21" s="129"/>
      <c r="D21" s="248" t="s">
        <v>227</v>
      </c>
      <c r="E21" s="256">
        <f>+příjmy!H48</f>
        <v>80</v>
      </c>
      <c r="F21" s="255">
        <f>+příjmy!O48</f>
        <v>58.844999999999999</v>
      </c>
      <c r="G21" s="254"/>
      <c r="H21" s="132"/>
      <c r="I21" s="254"/>
      <c r="J21" s="397"/>
      <c r="K21" s="257"/>
    </row>
    <row r="22" spans="1:12" x14ac:dyDescent="0.2">
      <c r="A22" s="332"/>
      <c r="B22" s="131"/>
      <c r="C22" s="22" t="s">
        <v>66</v>
      </c>
      <c r="D22" s="75"/>
      <c r="E22" s="265">
        <f>SUM(E20:E21)</f>
        <v>180</v>
      </c>
      <c r="F22" s="266">
        <f>SUM(F20:F21)</f>
        <v>160.46199999999999</v>
      </c>
      <c r="G22" s="259">
        <f>výdaje!L52</f>
        <v>341</v>
      </c>
      <c r="H22" s="260">
        <f>+výdaje!AA52</f>
        <v>308.94</v>
      </c>
      <c r="I22" s="265">
        <f>E22-G22</f>
        <v>-161</v>
      </c>
      <c r="J22" s="398">
        <f>F22-H22</f>
        <v>-148.47800000000001</v>
      </c>
      <c r="K22" s="267">
        <f>J22-I22</f>
        <v>12.521999999999991</v>
      </c>
    </row>
    <row r="23" spans="1:12" x14ac:dyDescent="0.2">
      <c r="A23" s="201" t="s">
        <v>228</v>
      </c>
      <c r="B23" s="129"/>
      <c r="C23" s="15"/>
      <c r="D23" s="248" t="s">
        <v>229</v>
      </c>
      <c r="E23" s="270">
        <f>příjmy!H30</f>
        <v>3100</v>
      </c>
      <c r="F23" s="269">
        <f>příjmy!O30</f>
        <v>3271.2792899999999</v>
      </c>
      <c r="G23" s="270"/>
      <c r="H23" s="271"/>
      <c r="I23" s="268"/>
      <c r="J23" s="399"/>
      <c r="K23" s="273"/>
    </row>
    <row r="24" spans="1:12" x14ac:dyDescent="0.2">
      <c r="A24" s="200"/>
      <c r="B24" s="129"/>
      <c r="C24" s="15"/>
      <c r="D24" s="248" t="s">
        <v>230</v>
      </c>
      <c r="E24" s="270">
        <f>příjmy!H60</f>
        <v>1200</v>
      </c>
      <c r="F24" s="269">
        <f>příjmy!O60</f>
        <v>1202.9709</v>
      </c>
      <c r="G24" s="270"/>
      <c r="H24" s="271"/>
      <c r="I24" s="268"/>
      <c r="J24" s="399"/>
      <c r="K24" s="273"/>
    </row>
    <row r="25" spans="1:12" x14ac:dyDescent="0.2">
      <c r="A25" s="200"/>
      <c r="B25" s="129"/>
      <c r="C25" s="22" t="s">
        <v>66</v>
      </c>
      <c r="D25" s="248"/>
      <c r="E25" s="259">
        <f>SUM(E23:E24)</f>
        <v>4300</v>
      </c>
      <c r="F25" s="261">
        <f>SUM(F23:F24)</f>
        <v>4474.2501899999997</v>
      </c>
      <c r="G25" s="259">
        <f>+výdaje!L89</f>
        <v>6800</v>
      </c>
      <c r="H25" s="261">
        <f>+výdaje!AA89</f>
        <v>6867.9931500000002</v>
      </c>
      <c r="I25" s="259">
        <f>E25-G25</f>
        <v>-2500</v>
      </c>
      <c r="J25" s="260">
        <f>F25-H25</f>
        <v>-2393.7429600000005</v>
      </c>
      <c r="K25" s="262">
        <f>J25-I25</f>
        <v>106.25703999999951</v>
      </c>
    </row>
    <row r="26" spans="1:12" x14ac:dyDescent="0.2">
      <c r="A26" s="335" t="s">
        <v>38</v>
      </c>
      <c r="B26" s="133"/>
      <c r="C26" s="133"/>
      <c r="D26" s="274"/>
      <c r="E26" s="275"/>
      <c r="F26" s="272"/>
      <c r="G26" s="270"/>
      <c r="H26" s="271"/>
      <c r="I26" s="268"/>
      <c r="J26" s="399"/>
      <c r="K26" s="273"/>
    </row>
    <row r="27" spans="1:12" x14ac:dyDescent="0.2">
      <c r="A27" s="336"/>
      <c r="B27" s="131"/>
      <c r="C27" s="131"/>
      <c r="D27" s="91"/>
      <c r="E27" s="276">
        <f>příjmy!F52</f>
        <v>190</v>
      </c>
      <c r="F27" s="266">
        <f>příjmy!O52</f>
        <v>151.18700000000001</v>
      </c>
      <c r="G27" s="259">
        <f>+výdaje!L79</f>
        <v>240</v>
      </c>
      <c r="H27" s="260">
        <f>+výdaje!AA79</f>
        <v>231.47300000000001</v>
      </c>
      <c r="I27" s="265">
        <f>E27-G27</f>
        <v>-50</v>
      </c>
      <c r="J27" s="398">
        <f>F27-H27</f>
        <v>-80.286000000000001</v>
      </c>
      <c r="K27" s="267">
        <f>J27-I27</f>
        <v>-30.286000000000001</v>
      </c>
    </row>
    <row r="28" spans="1:12" x14ac:dyDescent="0.2">
      <c r="A28" s="335" t="s">
        <v>231</v>
      </c>
      <c r="B28" s="133"/>
      <c r="C28" s="133"/>
      <c r="D28" s="277"/>
      <c r="E28" s="278"/>
      <c r="F28" s="279"/>
      <c r="G28" s="280"/>
      <c r="H28" s="281"/>
      <c r="I28" s="282"/>
      <c r="J28" s="400"/>
      <c r="K28" s="283"/>
    </row>
    <row r="29" spans="1:12" x14ac:dyDescent="0.2">
      <c r="A29" s="336"/>
      <c r="B29" s="131"/>
      <c r="C29" s="22" t="s">
        <v>66</v>
      </c>
      <c r="D29" s="75"/>
      <c r="E29" s="284">
        <f>+příjmy!H55</f>
        <v>24.75</v>
      </c>
      <c r="F29" s="266">
        <f>+příjmy!O55</f>
        <v>30.78</v>
      </c>
      <c r="G29" s="259">
        <f>+výdaje!J85</f>
        <v>372</v>
      </c>
      <c r="H29" s="260">
        <f>+výdaje!Y85</f>
        <v>327.58481999999998</v>
      </c>
      <c r="I29" s="265">
        <f>E29-G29</f>
        <v>-347.25</v>
      </c>
      <c r="J29" s="398">
        <f>F29-H29</f>
        <v>-296.80481999999995</v>
      </c>
      <c r="K29" s="267">
        <f>J29-I29</f>
        <v>50.44518000000005</v>
      </c>
    </row>
    <row r="30" spans="1:12" x14ac:dyDescent="0.2">
      <c r="A30" s="335" t="s">
        <v>39</v>
      </c>
      <c r="B30" s="133"/>
      <c r="C30" s="133"/>
      <c r="D30" s="277" t="s">
        <v>282</v>
      </c>
      <c r="E30" s="358">
        <f>příjmy!H139+příjmy!H123</f>
        <v>3390.4279999999999</v>
      </c>
      <c r="F30" s="360">
        <f>příjmy!O139+příjmy!O123</f>
        <v>3390.4279999999999</v>
      </c>
      <c r="G30" s="280"/>
      <c r="H30" s="281">
        <f>výdaje!AA102</f>
        <v>5907.2711600000002</v>
      </c>
      <c r="I30" s="282"/>
      <c r="J30" s="400"/>
      <c r="K30" s="283"/>
    </row>
    <row r="31" spans="1:12" x14ac:dyDescent="0.2">
      <c r="A31" s="201"/>
      <c r="B31" s="129"/>
      <c r="C31" s="129"/>
      <c r="D31" s="248"/>
      <c r="E31" s="359"/>
      <c r="F31" s="361"/>
      <c r="G31" s="270"/>
      <c r="H31" s="271"/>
      <c r="I31" s="268"/>
      <c r="J31" s="399"/>
      <c r="K31" s="273"/>
    </row>
    <row r="32" spans="1:12" x14ac:dyDescent="0.2">
      <c r="A32" s="201"/>
      <c r="B32" s="129"/>
      <c r="C32" s="129"/>
      <c r="D32" s="248" t="s">
        <v>283</v>
      </c>
      <c r="E32" s="359">
        <f>příjmy!H56</f>
        <v>1085</v>
      </c>
      <c r="F32" s="361">
        <f>příjmy!O56</f>
        <v>1042.566</v>
      </c>
      <c r="G32" s="270"/>
      <c r="H32" s="271"/>
      <c r="I32" s="268"/>
      <c r="J32" s="399"/>
      <c r="K32" s="273"/>
      <c r="L32" s="117"/>
    </row>
    <row r="33" spans="1:12" x14ac:dyDescent="0.2">
      <c r="A33" s="337"/>
      <c r="B33" s="131"/>
      <c r="C33" s="22" t="s">
        <v>66</v>
      </c>
      <c r="D33" s="75"/>
      <c r="E33" s="284">
        <f>SUM(E30:E32)</f>
        <v>4475.4279999999999</v>
      </c>
      <c r="F33" s="266">
        <f>SUM(F30:F32)</f>
        <v>4432.9939999999997</v>
      </c>
      <c r="G33" s="259">
        <f>+výdaje!L102</f>
        <v>6125.4279999999999</v>
      </c>
      <c r="H33" s="260">
        <f>+výdaje!AA102</f>
        <v>5907.2711600000002</v>
      </c>
      <c r="I33" s="444">
        <f>E33-G33</f>
        <v>-1650</v>
      </c>
      <c r="J33" s="398">
        <f>F33-H33</f>
        <v>-1474.2771600000005</v>
      </c>
      <c r="K33" s="267">
        <f>J33-I33</f>
        <v>175.72283999999945</v>
      </c>
      <c r="L33" s="117"/>
    </row>
    <row r="34" spans="1:12" x14ac:dyDescent="0.2">
      <c r="A34" s="201" t="s">
        <v>293</v>
      </c>
      <c r="B34" s="129"/>
      <c r="C34" s="129"/>
      <c r="D34" s="248" t="s">
        <v>295</v>
      </c>
      <c r="E34" s="256">
        <f>+příjmy!H84</f>
        <v>150</v>
      </c>
      <c r="F34" s="255">
        <f>+příjmy!O84</f>
        <v>65.099999999999994</v>
      </c>
      <c r="G34" s="256">
        <f>+výdaje!L107</f>
        <v>2574</v>
      </c>
      <c r="H34" s="255">
        <f>+výdaje!AA107</f>
        <v>2151.3232600000001</v>
      </c>
      <c r="I34" s="254"/>
      <c r="J34" s="255"/>
      <c r="K34" s="257"/>
      <c r="L34" s="117"/>
    </row>
    <row r="35" spans="1:12" x14ac:dyDescent="0.2">
      <c r="A35" s="201"/>
      <c r="B35" s="129"/>
      <c r="C35" s="129"/>
      <c r="D35" s="248" t="s">
        <v>294</v>
      </c>
      <c r="E35" s="359">
        <f>+příjmy!H126</f>
        <v>125</v>
      </c>
      <c r="F35" s="361">
        <f>+příjmy!O126</f>
        <v>106.55500000000001</v>
      </c>
      <c r="G35" s="254"/>
      <c r="H35" s="132"/>
      <c r="I35" s="254"/>
      <c r="J35" s="132"/>
      <c r="K35" s="257"/>
      <c r="L35" s="117"/>
    </row>
    <row r="36" spans="1:12" x14ac:dyDescent="0.2">
      <c r="A36" s="334"/>
      <c r="B36" s="131"/>
      <c r="C36" s="22" t="s">
        <v>66</v>
      </c>
      <c r="D36" s="258"/>
      <c r="E36" s="259">
        <f>SUM(E34:E35)</f>
        <v>275</v>
      </c>
      <c r="F36" s="261">
        <f>SUM(F34:F35)</f>
        <v>171.655</v>
      </c>
      <c r="G36" s="259">
        <f>SUM(G34:G35)</f>
        <v>2574</v>
      </c>
      <c r="H36" s="261">
        <f>SUM(H34:H35)</f>
        <v>2151.3232600000001</v>
      </c>
      <c r="I36" s="259">
        <f>E36-G36</f>
        <v>-2299</v>
      </c>
      <c r="J36" s="260">
        <f>F36-H36</f>
        <v>-1979.6682600000001</v>
      </c>
      <c r="K36" s="262">
        <f>J36-I36</f>
        <v>319.33173999999985</v>
      </c>
      <c r="L36" s="117"/>
    </row>
    <row r="37" spans="1:12" x14ac:dyDescent="0.2">
      <c r="L37" s="117"/>
    </row>
  </sheetData>
  <phoneticPr fontId="6" type="noConversion"/>
  <pageMargins left="0.78740157499999996" right="0.17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5"/>
  <sheetViews>
    <sheetView workbookViewId="0">
      <selection activeCell="B3" sqref="B3"/>
    </sheetView>
  </sheetViews>
  <sheetFormatPr defaultRowHeight="12.75" x14ac:dyDescent="0.2"/>
  <cols>
    <col min="1" max="1" width="3.28515625" style="446" customWidth="1"/>
    <col min="2" max="2" width="28.7109375" style="500" customWidth="1"/>
    <col min="3" max="3" width="2.5703125" style="500" customWidth="1"/>
    <col min="4" max="4" width="9.42578125" style="446" customWidth="1"/>
    <col min="5" max="5" width="11.85546875" style="446" customWidth="1"/>
    <col min="6" max="6" width="11.140625" style="446" customWidth="1"/>
    <col min="7" max="7" width="9.140625" style="446"/>
    <col min="8" max="8" width="9.7109375" style="446" customWidth="1"/>
    <col min="9" max="9" width="9" style="446" customWidth="1"/>
    <col min="10" max="10" width="7.28515625" style="446" customWidth="1"/>
    <col min="11" max="11" width="7.7109375" style="446" customWidth="1"/>
    <col min="12" max="13" width="6.42578125" style="424" customWidth="1"/>
    <col min="14" max="15" width="7.42578125" style="424" customWidth="1"/>
    <col min="16" max="18" width="6.85546875" style="424" customWidth="1"/>
    <col min="19" max="19" width="7" style="424" customWidth="1"/>
    <col min="20" max="20" width="5.7109375" style="424" customWidth="1"/>
    <col min="21" max="21" width="8.42578125" style="446" customWidth="1"/>
    <col min="22" max="22" width="7.7109375" style="446" customWidth="1"/>
    <col min="23" max="23" width="3.5703125" style="446" customWidth="1"/>
    <col min="24" max="26" width="9.140625" style="446"/>
    <col min="27" max="27" width="6.42578125" style="446" customWidth="1"/>
    <col min="28" max="16384" width="9.140625" style="446"/>
  </cols>
  <sheetData>
    <row r="1" spans="1:28" ht="18" x14ac:dyDescent="0.25">
      <c r="B1" s="498" t="s">
        <v>489</v>
      </c>
      <c r="C1" s="498"/>
      <c r="D1" s="499"/>
    </row>
    <row r="2" spans="1:28" ht="13.5" thickBot="1" x14ac:dyDescent="0.25">
      <c r="B2" s="500" t="s">
        <v>571</v>
      </c>
    </row>
    <row r="3" spans="1:28" s="499" customFormat="1" ht="57.75" customHeight="1" x14ac:dyDescent="0.2">
      <c r="B3" s="501" t="s">
        <v>490</v>
      </c>
      <c r="C3" s="502" t="s">
        <v>491</v>
      </c>
      <c r="D3" s="503" t="s">
        <v>492</v>
      </c>
      <c r="E3" s="503" t="s">
        <v>493</v>
      </c>
      <c r="F3" s="503" t="s">
        <v>494</v>
      </c>
      <c r="G3" s="503" t="s">
        <v>495</v>
      </c>
      <c r="H3" s="503" t="s">
        <v>496</v>
      </c>
      <c r="I3" s="503" t="s">
        <v>497</v>
      </c>
      <c r="J3" s="503" t="s">
        <v>498</v>
      </c>
      <c r="K3" s="503" t="s">
        <v>499</v>
      </c>
      <c r="L3" s="504" t="s">
        <v>500</v>
      </c>
      <c r="M3" s="505"/>
      <c r="N3" s="505"/>
      <c r="O3" s="505"/>
      <c r="P3" s="505"/>
      <c r="Q3" s="505"/>
      <c r="R3" s="505"/>
      <c r="S3" s="505"/>
      <c r="T3" s="506"/>
      <c r="U3" s="503" t="s">
        <v>501</v>
      </c>
      <c r="V3" s="503" t="s">
        <v>502</v>
      </c>
      <c r="W3" s="507"/>
    </row>
    <row r="4" spans="1:28" s="499" customFormat="1" ht="32.25" customHeight="1" thickBot="1" x14ac:dyDescent="0.25">
      <c r="B4" s="508"/>
      <c r="C4" s="509"/>
      <c r="D4" s="510"/>
      <c r="E4" s="510" t="s">
        <v>503</v>
      </c>
      <c r="F4" s="510"/>
      <c r="G4" s="510"/>
      <c r="H4" s="510"/>
      <c r="I4" s="510"/>
      <c r="J4" s="510" t="s">
        <v>223</v>
      </c>
      <c r="K4" s="510"/>
      <c r="L4" s="511" t="s">
        <v>504</v>
      </c>
      <c r="M4" s="511">
        <v>2016</v>
      </c>
      <c r="N4" s="511">
        <v>2017</v>
      </c>
      <c r="O4" s="511">
        <v>2018</v>
      </c>
      <c r="P4" s="511">
        <v>2019</v>
      </c>
      <c r="Q4" s="511">
        <v>2020</v>
      </c>
      <c r="R4" s="511">
        <v>2021</v>
      </c>
      <c r="S4" s="511">
        <v>2022</v>
      </c>
      <c r="T4" s="511">
        <v>2023</v>
      </c>
      <c r="U4" s="512"/>
      <c r="V4" s="513"/>
      <c r="W4" s="513"/>
    </row>
    <row r="5" spans="1:28" ht="13.5" thickBot="1" x14ac:dyDescent="0.25"/>
    <row r="6" spans="1:28" ht="25.5" customHeight="1" x14ac:dyDescent="0.2">
      <c r="A6" s="514">
        <v>1</v>
      </c>
      <c r="B6" s="515" t="s">
        <v>505</v>
      </c>
      <c r="C6" s="516" t="s">
        <v>506</v>
      </c>
      <c r="D6" s="517" t="s">
        <v>507</v>
      </c>
      <c r="E6" s="517"/>
      <c r="F6" s="518" t="s">
        <v>508</v>
      </c>
      <c r="G6" s="519">
        <v>25983</v>
      </c>
      <c r="H6" s="519"/>
      <c r="I6" s="519">
        <f>G6-J6</f>
        <v>13583</v>
      </c>
      <c r="J6" s="519">
        <v>12400</v>
      </c>
      <c r="K6" s="562"/>
      <c r="L6" s="519">
        <v>118</v>
      </c>
      <c r="M6" s="519">
        <v>0</v>
      </c>
      <c r="N6" s="519">
        <v>252</v>
      </c>
      <c r="O6" s="519">
        <v>93</v>
      </c>
      <c r="P6" s="519">
        <v>-6359</v>
      </c>
      <c r="Q6" s="519">
        <v>8006</v>
      </c>
      <c r="R6" s="519">
        <v>10400</v>
      </c>
      <c r="S6" s="519">
        <f>I6-L6-M6-N6-O6-P6-Q6-R6</f>
        <v>1073</v>
      </c>
      <c r="T6" s="519"/>
      <c r="U6" s="520"/>
      <c r="V6" s="520"/>
      <c r="W6" s="521" t="s">
        <v>509</v>
      </c>
      <c r="X6" s="424"/>
      <c r="Y6" s="424"/>
      <c r="Z6" s="424"/>
      <c r="AA6" s="424"/>
      <c r="AB6" s="424"/>
    </row>
    <row r="7" spans="1:28" ht="26.25" customHeight="1" x14ac:dyDescent="0.2">
      <c r="A7" s="514">
        <v>2</v>
      </c>
      <c r="B7" s="522" t="s">
        <v>510</v>
      </c>
      <c r="C7" s="523" t="s">
        <v>506</v>
      </c>
      <c r="D7" s="524" t="s">
        <v>507</v>
      </c>
      <c r="E7" s="525"/>
      <c r="F7" s="526" t="s">
        <v>511</v>
      </c>
      <c r="G7" s="480"/>
      <c r="H7" s="480"/>
      <c r="I7" s="480"/>
      <c r="J7" s="480"/>
      <c r="K7" s="536"/>
      <c r="L7" s="480">
        <f>7763+364+425</f>
        <v>8552</v>
      </c>
      <c r="M7" s="480"/>
      <c r="N7" s="480"/>
      <c r="O7" s="480"/>
      <c r="P7" s="480"/>
      <c r="Q7" s="480">
        <v>200</v>
      </c>
      <c r="R7" s="480">
        <v>600</v>
      </c>
      <c r="S7" s="480"/>
      <c r="T7" s="480"/>
      <c r="U7" s="527"/>
      <c r="V7" s="527"/>
      <c r="W7" s="528"/>
      <c r="X7" s="424"/>
      <c r="Y7" s="424"/>
      <c r="Z7" s="424"/>
      <c r="AA7" s="424"/>
      <c r="AB7" s="424"/>
    </row>
    <row r="8" spans="1:28" ht="28.5" customHeight="1" x14ac:dyDescent="0.2">
      <c r="A8" s="514">
        <v>3</v>
      </c>
      <c r="B8" s="529" t="s">
        <v>512</v>
      </c>
      <c r="C8" s="523" t="s">
        <v>506</v>
      </c>
      <c r="D8" s="524" t="s">
        <v>507</v>
      </c>
      <c r="E8" s="530"/>
      <c r="F8" s="526" t="s">
        <v>513</v>
      </c>
      <c r="G8" s="480"/>
      <c r="H8" s="480"/>
      <c r="I8" s="480"/>
      <c r="J8" s="480"/>
      <c r="K8" s="536" t="s">
        <v>514</v>
      </c>
      <c r="L8" s="480"/>
      <c r="M8" s="480"/>
      <c r="N8" s="480">
        <v>0</v>
      </c>
      <c r="O8" s="480">
        <v>4</v>
      </c>
      <c r="P8" s="480">
        <v>0</v>
      </c>
      <c r="Q8" s="480">
        <v>0</v>
      </c>
      <c r="R8" s="480">
        <v>100</v>
      </c>
      <c r="S8" s="480"/>
      <c r="T8" s="480"/>
      <c r="U8" s="527"/>
      <c r="V8" s="531"/>
      <c r="W8" s="528" t="s">
        <v>509</v>
      </c>
    </row>
    <row r="9" spans="1:28" ht="25.5" customHeight="1" x14ac:dyDescent="0.2">
      <c r="A9" s="514">
        <v>4</v>
      </c>
      <c r="B9" s="532" t="s">
        <v>515</v>
      </c>
      <c r="C9" s="533" t="s">
        <v>516</v>
      </c>
      <c r="D9" s="524" t="s">
        <v>507</v>
      </c>
      <c r="E9" s="525" t="s">
        <v>517</v>
      </c>
      <c r="F9" s="534" t="s">
        <v>518</v>
      </c>
      <c r="G9" s="480">
        <f>18586+1500+600+478+24583+1800</f>
        <v>47547</v>
      </c>
      <c r="H9" s="480"/>
      <c r="I9" s="480">
        <f>G9-J9</f>
        <v>26922</v>
      </c>
      <c r="J9" s="480">
        <f>7966+32+12627</f>
        <v>20625</v>
      </c>
      <c r="K9" s="536" t="s">
        <v>519</v>
      </c>
      <c r="L9" s="480"/>
      <c r="M9" s="480"/>
      <c r="N9" s="480"/>
      <c r="O9" s="480"/>
      <c r="P9" s="480">
        <v>478</v>
      </c>
      <c r="Q9" s="480">
        <v>12187</v>
      </c>
      <c r="R9" s="480">
        <v>13834</v>
      </c>
      <c r="S9" s="480">
        <f>I9-L9-M9-N9-O9-P9-Q9-R9</f>
        <v>423</v>
      </c>
      <c r="T9" s="480"/>
      <c r="U9" s="531" t="s">
        <v>520</v>
      </c>
      <c r="V9" s="480"/>
      <c r="W9" s="528" t="s">
        <v>509</v>
      </c>
    </row>
    <row r="10" spans="1:28" ht="30.75" customHeight="1" x14ac:dyDescent="0.2">
      <c r="A10" s="514">
        <v>5</v>
      </c>
      <c r="B10" s="529" t="s">
        <v>521</v>
      </c>
      <c r="C10" s="535" t="s">
        <v>506</v>
      </c>
      <c r="D10" s="525" t="s">
        <v>507</v>
      </c>
      <c r="E10" s="530"/>
      <c r="F10" s="526" t="s">
        <v>522</v>
      </c>
      <c r="G10" s="480">
        <v>22848</v>
      </c>
      <c r="H10" s="480"/>
      <c r="I10" s="480">
        <f>G10-J10</f>
        <v>20948</v>
      </c>
      <c r="J10" s="480">
        <f>847+1053</f>
        <v>1900</v>
      </c>
      <c r="K10" s="536" t="s">
        <v>523</v>
      </c>
      <c r="L10" s="480"/>
      <c r="M10" s="480"/>
      <c r="N10" s="480"/>
      <c r="O10" s="480">
        <f>1616+2841</f>
        <v>4457</v>
      </c>
      <c r="P10" s="480">
        <v>2462</v>
      </c>
      <c r="Q10" s="480">
        <v>2462</v>
      </c>
      <c r="R10" s="480">
        <v>2462</v>
      </c>
      <c r="S10" s="480">
        <v>2462</v>
      </c>
      <c r="T10" s="480">
        <v>2462</v>
      </c>
      <c r="U10" s="566" t="s">
        <v>524</v>
      </c>
      <c r="V10" s="567"/>
      <c r="W10" s="528" t="s">
        <v>525</v>
      </c>
    </row>
    <row r="11" spans="1:28" ht="25.5" customHeight="1" x14ac:dyDescent="0.2">
      <c r="A11" s="514">
        <v>6</v>
      </c>
      <c r="B11" s="529" t="s">
        <v>446</v>
      </c>
      <c r="C11" s="535" t="s">
        <v>506</v>
      </c>
      <c r="D11" s="525"/>
      <c r="E11" s="530"/>
      <c r="F11" s="526" t="s">
        <v>526</v>
      </c>
      <c r="G11" s="480"/>
      <c r="H11" s="480"/>
      <c r="I11" s="480">
        <v>3660</v>
      </c>
      <c r="J11" s="480"/>
      <c r="K11" s="536"/>
      <c r="L11" s="480"/>
      <c r="M11" s="480"/>
      <c r="N11" s="480"/>
      <c r="O11" s="480"/>
      <c r="P11" s="480"/>
      <c r="Q11" s="480"/>
      <c r="R11" s="480">
        <v>1830</v>
      </c>
      <c r="S11" s="480">
        <f>I11-R11</f>
        <v>1830</v>
      </c>
      <c r="T11" s="480"/>
      <c r="U11" s="566" t="s">
        <v>527</v>
      </c>
      <c r="V11" s="567"/>
      <c r="W11" s="528" t="s">
        <v>525</v>
      </c>
    </row>
    <row r="12" spans="1:28" ht="25.5" customHeight="1" x14ac:dyDescent="0.2">
      <c r="A12" s="514">
        <v>7</v>
      </c>
      <c r="B12" s="532" t="s">
        <v>324</v>
      </c>
      <c r="C12" s="533" t="s">
        <v>506</v>
      </c>
      <c r="D12" s="524" t="s">
        <v>507</v>
      </c>
      <c r="E12" s="525" t="s">
        <v>528</v>
      </c>
      <c r="F12" s="534" t="s">
        <v>529</v>
      </c>
      <c r="G12" s="480">
        <v>18700</v>
      </c>
      <c r="H12" s="480">
        <v>13905</v>
      </c>
      <c r="I12" s="480">
        <f>G12-H12</f>
        <v>4795</v>
      </c>
      <c r="J12" s="480"/>
      <c r="K12" s="536" t="s">
        <v>530</v>
      </c>
      <c r="L12" s="480"/>
      <c r="M12" s="480"/>
      <c r="N12" s="480"/>
      <c r="O12" s="480"/>
      <c r="P12" s="480">
        <v>4885</v>
      </c>
      <c r="Q12" s="480">
        <v>9815</v>
      </c>
      <c r="R12" s="480">
        <v>-11905</v>
      </c>
      <c r="S12" s="480">
        <f>I12-P12-Q12-R12</f>
        <v>2000</v>
      </c>
      <c r="T12" s="480"/>
      <c r="U12" s="480"/>
      <c r="V12" s="536" t="s">
        <v>531</v>
      </c>
      <c r="W12" s="528" t="s">
        <v>532</v>
      </c>
    </row>
    <row r="13" spans="1:28" ht="25.5" customHeight="1" x14ac:dyDescent="0.2">
      <c r="A13" s="514">
        <v>8</v>
      </c>
      <c r="B13" s="532" t="s">
        <v>336</v>
      </c>
      <c r="C13" s="533" t="s">
        <v>506</v>
      </c>
      <c r="D13" s="524" t="s">
        <v>507</v>
      </c>
      <c r="E13" s="525" t="s">
        <v>533</v>
      </c>
      <c r="F13" s="534" t="s">
        <v>508</v>
      </c>
      <c r="G13" s="480">
        <v>4702</v>
      </c>
      <c r="H13" s="480">
        <v>3713</v>
      </c>
      <c r="I13" s="480">
        <f>G13-H13</f>
        <v>989</v>
      </c>
      <c r="J13" s="480"/>
      <c r="K13" s="536" t="s">
        <v>534</v>
      </c>
      <c r="L13" s="480"/>
      <c r="M13" s="480"/>
      <c r="N13" s="480"/>
      <c r="O13" s="480"/>
      <c r="P13" s="480">
        <v>147</v>
      </c>
      <c r="Q13" s="480">
        <v>3628</v>
      </c>
      <c r="R13" s="480">
        <f>I13-P13-Q13</f>
        <v>-2786</v>
      </c>
      <c r="S13" s="480"/>
      <c r="T13" s="480"/>
      <c r="U13" s="480"/>
      <c r="V13" s="480"/>
      <c r="W13" s="528" t="s">
        <v>532</v>
      </c>
    </row>
    <row r="14" spans="1:28" ht="25.5" customHeight="1" x14ac:dyDescent="0.2">
      <c r="A14" s="514">
        <v>9</v>
      </c>
      <c r="B14" s="532" t="s">
        <v>535</v>
      </c>
      <c r="C14" s="533" t="s">
        <v>506</v>
      </c>
      <c r="D14" s="524" t="s">
        <v>536</v>
      </c>
      <c r="E14" s="525"/>
      <c r="F14" s="526" t="s">
        <v>537</v>
      </c>
      <c r="G14" s="480">
        <v>45000</v>
      </c>
      <c r="H14" s="480"/>
      <c r="I14" s="480"/>
      <c r="J14" s="480"/>
      <c r="K14" s="536" t="s">
        <v>538</v>
      </c>
      <c r="L14" s="480"/>
      <c r="M14" s="480"/>
      <c r="N14" s="480"/>
      <c r="O14" s="480"/>
      <c r="P14" s="480"/>
      <c r="Q14" s="480">
        <v>2500</v>
      </c>
      <c r="R14" s="480"/>
      <c r="S14" s="480"/>
      <c r="T14" s="480"/>
      <c r="U14" s="537" t="s">
        <v>539</v>
      </c>
      <c r="V14" s="480"/>
      <c r="W14" s="528"/>
    </row>
    <row r="15" spans="1:28" ht="25.5" customHeight="1" x14ac:dyDescent="0.2">
      <c r="A15" s="514">
        <v>10</v>
      </c>
      <c r="B15" s="532" t="s">
        <v>540</v>
      </c>
      <c r="C15" s="538" t="s">
        <v>541</v>
      </c>
      <c r="D15" s="524" t="s">
        <v>507</v>
      </c>
      <c r="E15" s="525"/>
      <c r="F15" s="534" t="s">
        <v>542</v>
      </c>
      <c r="G15" s="480">
        <f>Q15+R15</f>
        <v>5227</v>
      </c>
      <c r="H15" s="480"/>
      <c r="I15" s="480"/>
      <c r="J15" s="480"/>
      <c r="K15" s="536" t="s">
        <v>543</v>
      </c>
      <c r="L15" s="480"/>
      <c r="M15" s="480"/>
      <c r="N15" s="480"/>
      <c r="O15" s="480"/>
      <c r="P15" s="480"/>
      <c r="Q15" s="480">
        <v>2967</v>
      </c>
      <c r="R15" s="480">
        <v>2260</v>
      </c>
      <c r="S15" s="480"/>
      <c r="T15" s="480"/>
      <c r="U15" s="480"/>
      <c r="V15" s="480"/>
      <c r="W15" s="528" t="s">
        <v>544</v>
      </c>
    </row>
    <row r="16" spans="1:28" ht="25.5" customHeight="1" x14ac:dyDescent="0.2">
      <c r="A16" s="514">
        <v>11</v>
      </c>
      <c r="B16" s="532" t="s">
        <v>339</v>
      </c>
      <c r="C16" s="538" t="s">
        <v>541</v>
      </c>
      <c r="D16" s="539" t="s">
        <v>507</v>
      </c>
      <c r="E16" s="525"/>
      <c r="F16" s="534" t="s">
        <v>545</v>
      </c>
      <c r="G16" s="540">
        <v>17000</v>
      </c>
      <c r="H16" s="480"/>
      <c r="I16" s="480"/>
      <c r="J16" s="480"/>
      <c r="K16" s="536" t="s">
        <v>546</v>
      </c>
      <c r="L16" s="480"/>
      <c r="M16" s="480"/>
      <c r="N16" s="480"/>
      <c r="O16" s="480"/>
      <c r="P16" s="480">
        <v>296</v>
      </c>
      <c r="Q16" s="480">
        <v>0</v>
      </c>
      <c r="R16" s="480">
        <v>5200</v>
      </c>
      <c r="S16" s="480">
        <v>10000</v>
      </c>
      <c r="T16" s="480">
        <f>G16-P16-Q16-R16-S16</f>
        <v>1504</v>
      </c>
      <c r="U16" s="480"/>
      <c r="V16" s="480"/>
      <c r="W16" s="528" t="s">
        <v>544</v>
      </c>
    </row>
    <row r="17" spans="1:23" ht="30.75" customHeight="1" thickBot="1" x14ac:dyDescent="0.25">
      <c r="A17" s="514">
        <v>12</v>
      </c>
      <c r="B17" s="532" t="s">
        <v>353</v>
      </c>
      <c r="C17" s="538" t="s">
        <v>541</v>
      </c>
      <c r="D17" s="524" t="s">
        <v>507</v>
      </c>
      <c r="E17" s="525" t="s">
        <v>547</v>
      </c>
      <c r="F17" s="534" t="s">
        <v>508</v>
      </c>
      <c r="G17" s="480">
        <v>1497</v>
      </c>
      <c r="H17" s="480">
        <v>1397</v>
      </c>
      <c r="I17" s="480">
        <f>G17-H17</f>
        <v>100</v>
      </c>
      <c r="J17" s="480"/>
      <c r="K17" s="536" t="s">
        <v>548</v>
      </c>
      <c r="L17" s="480"/>
      <c r="M17" s="480"/>
      <c r="N17" s="480"/>
      <c r="O17" s="480"/>
      <c r="P17" s="480"/>
      <c r="Q17" s="480">
        <v>-421</v>
      </c>
      <c r="R17" s="480">
        <v>60</v>
      </c>
      <c r="S17" s="480">
        <f>I17-Q17-R17</f>
        <v>461</v>
      </c>
      <c r="T17" s="480"/>
      <c r="U17" s="480"/>
      <c r="V17" s="480"/>
      <c r="W17" s="541" t="s">
        <v>549</v>
      </c>
    </row>
    <row r="18" spans="1:23" s="499" customFormat="1" ht="17.25" customHeight="1" thickBot="1" x14ac:dyDescent="0.25">
      <c r="B18" s="542" t="s">
        <v>550</v>
      </c>
      <c r="C18" s="543"/>
      <c r="D18" s="544"/>
      <c r="E18" s="544"/>
      <c r="F18" s="544"/>
      <c r="G18" s="545">
        <f t="shared" ref="G18:T18" si="0">SUM(G5:G17)</f>
        <v>188504</v>
      </c>
      <c r="H18" s="545">
        <f t="shared" si="0"/>
        <v>19015</v>
      </c>
      <c r="I18" s="545">
        <f t="shared" si="0"/>
        <v>70997</v>
      </c>
      <c r="J18" s="545">
        <f t="shared" si="0"/>
        <v>34925</v>
      </c>
      <c r="K18" s="545">
        <f t="shared" si="0"/>
        <v>0</v>
      </c>
      <c r="L18" s="545">
        <f t="shared" si="0"/>
        <v>8670</v>
      </c>
      <c r="M18" s="545">
        <f t="shared" si="0"/>
        <v>0</v>
      </c>
      <c r="N18" s="545">
        <f t="shared" si="0"/>
        <v>252</v>
      </c>
      <c r="O18" s="545">
        <f t="shared" si="0"/>
        <v>4554</v>
      </c>
      <c r="P18" s="545">
        <f t="shared" si="0"/>
        <v>1909</v>
      </c>
      <c r="Q18" s="545">
        <f t="shared" si="0"/>
        <v>41344</v>
      </c>
      <c r="R18" s="545">
        <f t="shared" si="0"/>
        <v>22055</v>
      </c>
      <c r="S18" s="545">
        <f t="shared" si="0"/>
        <v>18249</v>
      </c>
      <c r="T18" s="545">
        <f t="shared" si="0"/>
        <v>3966</v>
      </c>
      <c r="U18" s="546"/>
      <c r="V18" s="547"/>
      <c r="W18" s="548"/>
    </row>
    <row r="19" spans="1:23" s="499" customFormat="1" ht="17.25" customHeight="1" thickBot="1" x14ac:dyDescent="0.25">
      <c r="B19" s="549"/>
      <c r="C19" s="549"/>
      <c r="D19" s="549"/>
      <c r="E19" s="549"/>
      <c r="F19" s="549"/>
      <c r="G19" s="550"/>
      <c r="H19" s="550"/>
      <c r="I19" s="550"/>
      <c r="J19" s="550"/>
      <c r="K19" s="550"/>
      <c r="L19" s="550"/>
      <c r="M19" s="550"/>
      <c r="N19" s="550"/>
      <c r="O19" s="550"/>
      <c r="P19" s="550"/>
      <c r="Q19" s="550"/>
      <c r="R19" s="550"/>
      <c r="S19" s="550"/>
      <c r="T19" s="550"/>
      <c r="U19" s="551"/>
      <c r="V19" s="551"/>
      <c r="W19" s="549"/>
    </row>
    <row r="20" spans="1:23" ht="26.25" customHeight="1" thickBot="1" x14ac:dyDescent="0.25">
      <c r="B20" s="552" t="s">
        <v>551</v>
      </c>
      <c r="C20" s="553"/>
      <c r="D20" s="554"/>
      <c r="E20" s="554"/>
      <c r="F20" s="555" t="s">
        <v>213</v>
      </c>
      <c r="G20" s="555" t="s">
        <v>552</v>
      </c>
      <c r="H20" s="555" t="s">
        <v>553</v>
      </c>
      <c r="I20" s="555" t="s">
        <v>554</v>
      </c>
      <c r="J20" s="556"/>
      <c r="K20" s="556"/>
      <c r="L20" s="557">
        <v>2015</v>
      </c>
      <c r="M20" s="557">
        <v>2016</v>
      </c>
      <c r="N20" s="557">
        <v>2017</v>
      </c>
      <c r="O20" s="557">
        <v>2018</v>
      </c>
      <c r="P20" s="557">
        <v>2019</v>
      </c>
      <c r="Q20" s="557">
        <v>2020</v>
      </c>
      <c r="R20" s="557">
        <v>2021</v>
      </c>
      <c r="S20" s="557">
        <v>2022</v>
      </c>
      <c r="T20" s="557">
        <v>2023</v>
      </c>
      <c r="U20" s="556"/>
      <c r="V20" s="556"/>
      <c r="W20" s="558"/>
    </row>
    <row r="21" spans="1:23" ht="33.75" x14ac:dyDescent="0.2">
      <c r="A21" s="514">
        <v>1</v>
      </c>
      <c r="B21" s="559" t="s">
        <v>555</v>
      </c>
      <c r="C21" s="523" t="s">
        <v>506</v>
      </c>
      <c r="D21" s="524" t="s">
        <v>507</v>
      </c>
      <c r="E21" s="560" t="s">
        <v>556</v>
      </c>
      <c r="F21" s="534" t="s">
        <v>438</v>
      </c>
      <c r="G21" s="480">
        <f>SUM(L21:Q21)</f>
        <v>27906</v>
      </c>
      <c r="H21" s="480"/>
      <c r="I21" s="480">
        <f>G21-J21</f>
        <v>27906</v>
      </c>
      <c r="J21" s="480"/>
      <c r="K21" s="536" t="s">
        <v>557</v>
      </c>
      <c r="L21" s="480">
        <v>538</v>
      </c>
      <c r="M21" s="480">
        <v>4972</v>
      </c>
      <c r="N21" s="480">
        <v>3115</v>
      </c>
      <c r="O21" s="480">
        <v>2028</v>
      </c>
      <c r="P21" s="480">
        <v>17053</v>
      </c>
      <c r="Q21" s="480">
        <v>200</v>
      </c>
      <c r="R21" s="480"/>
      <c r="S21" s="480"/>
      <c r="T21" s="480"/>
      <c r="U21" s="527" t="s">
        <v>558</v>
      </c>
      <c r="V21" s="527"/>
      <c r="W21" s="528" t="s">
        <v>509</v>
      </c>
    </row>
    <row r="22" spans="1:23" ht="25.5" x14ac:dyDescent="0.2">
      <c r="A22" s="514">
        <v>2</v>
      </c>
      <c r="B22" s="532" t="s">
        <v>559</v>
      </c>
      <c r="C22" s="533" t="s">
        <v>506</v>
      </c>
      <c r="D22" s="524" t="s">
        <v>507</v>
      </c>
      <c r="E22" s="525" t="s">
        <v>560</v>
      </c>
      <c r="F22" s="534" t="s">
        <v>438</v>
      </c>
      <c r="G22" s="480">
        <f>7143+744</f>
        <v>7887</v>
      </c>
      <c r="H22" s="480">
        <v>5464</v>
      </c>
      <c r="I22" s="480">
        <f>G22-H22</f>
        <v>2423</v>
      </c>
      <c r="J22" s="480"/>
      <c r="K22" s="536" t="s">
        <v>561</v>
      </c>
      <c r="L22" s="480">
        <v>10</v>
      </c>
      <c r="M22" s="480">
        <v>70</v>
      </c>
      <c r="N22" s="480">
        <v>0</v>
      </c>
      <c r="O22" s="480">
        <v>54</v>
      </c>
      <c r="P22" s="480">
        <v>7009</v>
      </c>
      <c r="Q22" s="480">
        <f>I22-L22-M22-N22-O22-P22</f>
        <v>-4720</v>
      </c>
      <c r="R22" s="480"/>
      <c r="S22" s="480"/>
      <c r="T22" s="480"/>
      <c r="U22" s="527"/>
      <c r="V22" s="527"/>
      <c r="W22" s="528" t="s">
        <v>562</v>
      </c>
    </row>
    <row r="24" spans="1:23" x14ac:dyDescent="0.2">
      <c r="B24" s="561"/>
    </row>
    <row r="25" spans="1:23" x14ac:dyDescent="0.2">
      <c r="B25" s="561"/>
    </row>
    <row r="26" spans="1:23" x14ac:dyDescent="0.2">
      <c r="B26" s="561"/>
    </row>
    <row r="27" spans="1:23" x14ac:dyDescent="0.2">
      <c r="B27" s="561"/>
    </row>
    <row r="32" spans="1:23" x14ac:dyDescent="0.2">
      <c r="B32" s="446"/>
      <c r="C32" s="446"/>
      <c r="L32" s="446"/>
      <c r="M32" s="446"/>
      <c r="N32" s="446"/>
      <c r="O32" s="446"/>
      <c r="P32" s="446"/>
      <c r="Q32" s="446"/>
      <c r="R32" s="446"/>
      <c r="S32" s="446"/>
      <c r="T32" s="446"/>
    </row>
    <row r="33" spans="2:20" x14ac:dyDescent="0.2">
      <c r="B33" s="446"/>
      <c r="C33" s="446"/>
      <c r="L33" s="446"/>
      <c r="M33" s="446"/>
      <c r="N33" s="446"/>
      <c r="O33" s="446"/>
      <c r="P33" s="446"/>
      <c r="Q33" s="446"/>
      <c r="R33" s="446"/>
      <c r="S33" s="446"/>
      <c r="T33" s="446"/>
    </row>
    <row r="34" spans="2:20" x14ac:dyDescent="0.2">
      <c r="B34" s="446"/>
      <c r="C34" s="446"/>
      <c r="L34" s="446"/>
      <c r="M34" s="446"/>
      <c r="N34" s="446"/>
      <c r="O34" s="446"/>
      <c r="P34" s="446"/>
      <c r="Q34" s="446"/>
      <c r="R34" s="446"/>
      <c r="S34" s="446"/>
      <c r="T34" s="446"/>
    </row>
    <row r="35" spans="2:20" x14ac:dyDescent="0.2">
      <c r="B35" s="446"/>
      <c r="C35" s="446"/>
      <c r="L35" s="446"/>
      <c r="M35" s="446"/>
      <c r="N35" s="446"/>
      <c r="O35" s="446"/>
      <c r="P35" s="446"/>
      <c r="Q35" s="446"/>
      <c r="R35" s="446"/>
      <c r="S35" s="446"/>
      <c r="T35" s="446"/>
    </row>
  </sheetData>
  <mergeCells count="2">
    <mergeCell ref="U10:V10"/>
    <mergeCell ref="U11:V11"/>
  </mergeCells>
  <pageMargins left="0.17" right="0.17" top="0.44" bottom="0.78740157480314965" header="0.31496062992125984" footer="0.31496062992125984"/>
  <pageSetup paperSize="9" scale="7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sumář</vt:lpstr>
      <vt:lpstr>příjmy</vt:lpstr>
      <vt:lpstr>výdaje</vt:lpstr>
      <vt:lpstr>Závazné ukazatele 2021</vt:lpstr>
      <vt:lpstr>okruhy rozpočtu</vt:lpstr>
      <vt:lpstr>Projekty</vt:lpstr>
      <vt:lpstr>příjmy!Názvy_tisku</vt:lpstr>
      <vt:lpstr>výdaje!Názvy_tisku</vt:lpstr>
      <vt:lpstr>Projekty!Oblast_tisku</vt:lpstr>
      <vt:lpstr>příjmy!Oblast_tisku</vt:lpstr>
      <vt:lpstr>výdaje!Oblast_tisku</vt:lpstr>
    </vt:vector>
  </TitlesOfParts>
  <Company>Jilemnice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Jilemnice</dc:creator>
  <cp:lastModifiedBy>Kynčlová Miroslava, Ing.</cp:lastModifiedBy>
  <cp:lastPrinted>2021-02-03T09:16:39Z</cp:lastPrinted>
  <dcterms:created xsi:type="dcterms:W3CDTF">1999-02-03T10:11:29Z</dcterms:created>
  <dcterms:modified xsi:type="dcterms:W3CDTF">2021-02-08T11:29:23Z</dcterms:modified>
</cp:coreProperties>
</file>