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895" yWindow="555" windowWidth="12435" windowHeight="14265"/>
  </bookViews>
  <sheets>
    <sheet name="2020-23" sheetId="5" r:id="rId1"/>
  </sheets>
  <calcPr calcId="145621"/>
</workbook>
</file>

<file path=xl/calcChain.xml><?xml version="1.0" encoding="utf-8"?>
<calcChain xmlns="http://schemas.openxmlformats.org/spreadsheetml/2006/main">
  <c r="BD7" i="5" l="1"/>
  <c r="BE7" i="5"/>
  <c r="BF7" i="5"/>
  <c r="BH7" i="5"/>
  <c r="BG8" i="5"/>
  <c r="BG7" i="5" s="1"/>
  <c r="BC13" i="5"/>
  <c r="BC7" i="5" s="1"/>
  <c r="BD17" i="5"/>
  <c r="BE17" i="5"/>
  <c r="BF17" i="5"/>
  <c r="BH17" i="5"/>
  <c r="BC21" i="5"/>
  <c r="BC24" i="5"/>
  <c r="BG24" i="5"/>
  <c r="BG17" i="5" s="1"/>
  <c r="BG27" i="5"/>
  <c r="BD31" i="5"/>
  <c r="BH31" i="5"/>
  <c r="BC34" i="5"/>
  <c r="BD35" i="5"/>
  <c r="BE36" i="5"/>
  <c r="BE37" i="5"/>
  <c r="BG37" i="5"/>
  <c r="BH37" i="5"/>
  <c r="BG39" i="5"/>
  <c r="BC40" i="5"/>
  <c r="BF40" i="5"/>
  <c r="BC43" i="5"/>
  <c r="BC26" i="5" s="1"/>
  <c r="BD43" i="5"/>
  <c r="BE43" i="5"/>
  <c r="BF43" i="5"/>
  <c r="BG43" i="5"/>
  <c r="BH43" i="5"/>
  <c r="BG26" i="5" l="1"/>
  <c r="BG46" i="5" s="1"/>
  <c r="BF26" i="5"/>
  <c r="BF46" i="5" s="1"/>
  <c r="BH26" i="5"/>
  <c r="BH46" i="5" s="1"/>
  <c r="BE26" i="5"/>
  <c r="BE46" i="5" s="1"/>
  <c r="BD26" i="5"/>
  <c r="BD46" i="5" s="1"/>
  <c r="BC17" i="5"/>
  <c r="BC46" i="5"/>
  <c r="AX20" i="5"/>
  <c r="AX21" i="5"/>
  <c r="AX30" i="5"/>
  <c r="AX29" i="5" s="1"/>
  <c r="AB43" i="5" l="1"/>
  <c r="AD43" i="5"/>
  <c r="AH43" i="5" l="1"/>
  <c r="AV30" i="5" l="1"/>
  <c r="AV29" i="5" s="1"/>
  <c r="AV21" i="5"/>
  <c r="AX22" i="5" s="1"/>
  <c r="AV20" i="5"/>
  <c r="AJ43" i="5"/>
  <c r="AL43" i="5"/>
  <c r="AP23" i="5" l="1"/>
  <c r="AP43" i="5"/>
  <c r="AP28" i="5" l="1"/>
  <c r="AQ11" i="5"/>
  <c r="AQ10" i="5"/>
  <c r="AQ9" i="5"/>
  <c r="AN43" i="5"/>
  <c r="AN23" i="5" l="1"/>
  <c r="AN28" i="5"/>
  <c r="AN14" i="5" l="1"/>
  <c r="AO11" i="5"/>
  <c r="AO10" i="5"/>
  <c r="AO9" i="5"/>
  <c r="AB39" i="5" l="1"/>
  <c r="AB38" i="5"/>
  <c r="AL23" i="5"/>
  <c r="AL14" i="5"/>
  <c r="AB40" i="5" l="1"/>
  <c r="AB41" i="5" s="1"/>
  <c r="AB44" i="5"/>
  <c r="AB45" i="5" s="1"/>
  <c r="V35" i="5"/>
  <c r="V30" i="5" s="1"/>
  <c r="T35" i="5"/>
  <c r="T30" i="5" s="1"/>
  <c r="R35" i="5"/>
  <c r="P35" i="5"/>
  <c r="P30" i="5" s="1"/>
  <c r="N35" i="5"/>
  <c r="N30" i="5" s="1"/>
  <c r="L35" i="5"/>
  <c r="J35" i="5"/>
  <c r="J30" i="5" s="1"/>
  <c r="H35" i="5"/>
  <c r="H30" i="5" s="1"/>
  <c r="F35" i="5"/>
  <c r="F30" i="5" s="1"/>
  <c r="D35" i="5"/>
  <c r="D30" i="5" s="1"/>
  <c r="L33" i="5"/>
  <c r="L31" i="5"/>
  <c r="AT30" i="5"/>
  <c r="AT29" i="5" s="1"/>
  <c r="AR30" i="5"/>
  <c r="AR29" i="5" s="1"/>
  <c r="AF30" i="5"/>
  <c r="AD30" i="5"/>
  <c r="Z30" i="5"/>
  <c r="X30" i="5"/>
  <c r="R30" i="5"/>
  <c r="C30" i="5"/>
  <c r="AL28" i="5"/>
  <c r="AJ28" i="5"/>
  <c r="AH28" i="5"/>
  <c r="AF28" i="5"/>
  <c r="AD28" i="5"/>
  <c r="Z28" i="5"/>
  <c r="X28" i="5"/>
  <c r="V28" i="5"/>
  <c r="S28" i="5"/>
  <c r="R28" i="5"/>
  <c r="P28" i="5"/>
  <c r="L28" i="5"/>
  <c r="J28" i="5"/>
  <c r="H28" i="5"/>
  <c r="F28" i="5"/>
  <c r="AH27" i="5"/>
  <c r="E27" i="5"/>
  <c r="AJ26" i="5"/>
  <c r="AJ27" i="5" s="1"/>
  <c r="Z27" i="5"/>
  <c r="X27" i="5"/>
  <c r="V27" i="5"/>
  <c r="T26" i="5"/>
  <c r="R26" i="5"/>
  <c r="R27" i="5" s="1"/>
  <c r="P26" i="5"/>
  <c r="P27" i="5" s="1"/>
  <c r="L26" i="5"/>
  <c r="L27" i="5" s="1"/>
  <c r="J26" i="5"/>
  <c r="J27" i="5" s="1"/>
  <c r="H26" i="5"/>
  <c r="H27" i="5" s="1"/>
  <c r="T25" i="5"/>
  <c r="E24" i="5"/>
  <c r="AJ23" i="5"/>
  <c r="AH23" i="5"/>
  <c r="AF23" i="5"/>
  <c r="AD23" i="5"/>
  <c r="Z23" i="5"/>
  <c r="X23" i="5"/>
  <c r="V23" i="5"/>
  <c r="AF22" i="5"/>
  <c r="AD22" i="5"/>
  <c r="F22" i="5"/>
  <c r="AT21" i="5"/>
  <c r="AV22" i="5" s="1"/>
  <c r="AR21" i="5"/>
  <c r="AT22" i="5" s="1"/>
  <c r="AP21" i="5"/>
  <c r="AR22" i="5" s="1"/>
  <c r="AN21" i="5"/>
  <c r="AP22" i="5" s="1"/>
  <c r="AL21" i="5"/>
  <c r="AN22" i="5" s="1"/>
  <c r="AJ21" i="5"/>
  <c r="AL22" i="5" s="1"/>
  <c r="AH21" i="5"/>
  <c r="AJ22" i="5" s="1"/>
  <c r="AF21" i="5"/>
  <c r="AD21" i="5"/>
  <c r="AH22" i="5" s="1"/>
  <c r="Z21" i="5"/>
  <c r="X21" i="5"/>
  <c r="V21" i="5"/>
  <c r="R21" i="5"/>
  <c r="AT20" i="5"/>
  <c r="AR20" i="5"/>
  <c r="AP20" i="5"/>
  <c r="AN20" i="5"/>
  <c r="AF20" i="5"/>
  <c r="J20" i="5"/>
  <c r="J24" i="5" s="1"/>
  <c r="J39" i="5" s="1"/>
  <c r="H20" i="5"/>
  <c r="H24" i="5" s="1"/>
  <c r="H39" i="5" s="1"/>
  <c r="F20" i="5"/>
  <c r="T19" i="5"/>
  <c r="N19" i="5"/>
  <c r="N28" i="5" s="1"/>
  <c r="I19" i="5"/>
  <c r="G19" i="5"/>
  <c r="E19" i="5"/>
  <c r="AJ17" i="5"/>
  <c r="AH17" i="5"/>
  <c r="AF17" i="5"/>
  <c r="AD17" i="5"/>
  <c r="Z17" i="5"/>
  <c r="X17" i="5"/>
  <c r="V17" i="5"/>
  <c r="T17" i="5"/>
  <c r="R17" i="5"/>
  <c r="P17" i="5"/>
  <c r="N17" i="5"/>
  <c r="L17" i="5"/>
  <c r="J17" i="5"/>
  <c r="H17" i="5"/>
  <c r="F17" i="5"/>
  <c r="E16" i="5"/>
  <c r="AJ15" i="5"/>
  <c r="Z15" i="5"/>
  <c r="T15" i="5"/>
  <c r="N15" i="5"/>
  <c r="N26" i="5" s="1"/>
  <c r="N27" i="5" s="1"/>
  <c r="F15" i="5"/>
  <c r="F26" i="5" s="1"/>
  <c r="F27" i="5" s="1"/>
  <c r="G27" i="5" s="1"/>
  <c r="AL20" i="5"/>
  <c r="AJ14" i="5"/>
  <c r="AJ20" i="5" s="1"/>
  <c r="AH14" i="5"/>
  <c r="AH20" i="5" s="1"/>
  <c r="AD14" i="5"/>
  <c r="AD16" i="5" s="1"/>
  <c r="Z14" i="5"/>
  <c r="Z20" i="5" s="1"/>
  <c r="X14" i="5"/>
  <c r="X20" i="5" s="1"/>
  <c r="V14" i="5"/>
  <c r="V20" i="5" s="1"/>
  <c r="T14" i="5"/>
  <c r="T20" i="5" s="1"/>
  <c r="R14" i="5"/>
  <c r="R16" i="5" s="1"/>
  <c r="R38" i="5" s="1"/>
  <c r="P14" i="5"/>
  <c r="P20" i="5" s="1"/>
  <c r="N14" i="5"/>
  <c r="N20" i="5" s="1"/>
  <c r="L14" i="5"/>
  <c r="L20" i="5" s="1"/>
  <c r="T13" i="5"/>
  <c r="T21" i="5" s="1"/>
  <c r="P13" i="5"/>
  <c r="N13" i="5"/>
  <c r="N21" i="5" s="1"/>
  <c r="L13" i="5"/>
  <c r="L21" i="5" s="1"/>
  <c r="J13" i="5"/>
  <c r="J16" i="5" s="1"/>
  <c r="J38" i="5" s="1"/>
  <c r="H13" i="5"/>
  <c r="H16" i="5" s="1"/>
  <c r="H38" i="5" s="1"/>
  <c r="AL17" i="5"/>
  <c r="AM11" i="5"/>
  <c r="AK11" i="5"/>
  <c r="AI11" i="5"/>
  <c r="AG11" i="5"/>
  <c r="AE11" i="5"/>
  <c r="AA11" i="5"/>
  <c r="Y11" i="5"/>
  <c r="W11" i="5"/>
  <c r="U11" i="5"/>
  <c r="S11" i="5"/>
  <c r="Q11" i="5"/>
  <c r="O11" i="5"/>
  <c r="M11" i="5"/>
  <c r="AR10" i="5"/>
  <c r="AT10" i="5" s="1"/>
  <c r="AV10" i="5" s="1"/>
  <c r="AX10" i="5" s="1"/>
  <c r="AM10" i="5"/>
  <c r="AK10" i="5"/>
  <c r="AI10" i="5"/>
  <c r="AG10" i="5"/>
  <c r="AE10" i="5"/>
  <c r="AA10" i="5"/>
  <c r="Y10" i="5"/>
  <c r="W10" i="5"/>
  <c r="U10" i="5"/>
  <c r="S10" i="5"/>
  <c r="Q10" i="5"/>
  <c r="O10" i="5"/>
  <c r="M10" i="5"/>
  <c r="K10" i="5"/>
  <c r="I10" i="5"/>
  <c r="G10" i="5"/>
  <c r="E10" i="5"/>
  <c r="AM9" i="5"/>
  <c r="AK9" i="5"/>
  <c r="AI9" i="5"/>
  <c r="AG9" i="5"/>
  <c r="AE9" i="5"/>
  <c r="AA9" i="5"/>
  <c r="Y9" i="5"/>
  <c r="W9" i="5"/>
  <c r="U9" i="5"/>
  <c r="S9" i="5"/>
  <c r="Q9" i="5"/>
  <c r="O9" i="5"/>
  <c r="M9" i="5"/>
  <c r="K9" i="5"/>
  <c r="I9" i="5"/>
  <c r="G9" i="5"/>
  <c r="E9" i="5"/>
  <c r="AP15" i="5"/>
  <c r="AN15" i="5"/>
  <c r="AN16" i="5" s="1"/>
  <c r="AL15" i="5"/>
  <c r="AL16" i="5" s="1"/>
  <c r="AL38" i="5" s="1"/>
  <c r="AF15" i="5"/>
  <c r="AF16" i="5" s="1"/>
  <c r="AJ24" i="5" l="1"/>
  <c r="AJ39" i="5" s="1"/>
  <c r="L16" i="5"/>
  <c r="L38" i="5" s="1"/>
  <c r="V29" i="5"/>
  <c r="AF29" i="5"/>
  <c r="X24" i="5"/>
  <c r="X39" i="5" s="1"/>
  <c r="AN24" i="5"/>
  <c r="Z24" i="5"/>
  <c r="Z39" i="5" s="1"/>
  <c r="H29" i="5"/>
  <c r="T27" i="5"/>
  <c r="U27" i="5" s="1"/>
  <c r="F29" i="5"/>
  <c r="H40" i="5"/>
  <c r="H41" i="5" s="1"/>
  <c r="L24" i="5"/>
  <c r="L39" i="5" s="1"/>
  <c r="P29" i="5"/>
  <c r="X29" i="5"/>
  <c r="AH29" i="5"/>
  <c r="AH36" i="5" s="1"/>
  <c r="AH30" i="5" s="1"/>
  <c r="J40" i="5"/>
  <c r="J41" i="5" s="1"/>
  <c r="R20" i="5"/>
  <c r="R24" i="5" s="1"/>
  <c r="R39" i="5" s="1"/>
  <c r="R40" i="5" s="1"/>
  <c r="R41" i="5" s="1"/>
  <c r="AF24" i="5"/>
  <c r="L30" i="5"/>
  <c r="AE16" i="5"/>
  <c r="AD38" i="5"/>
  <c r="AN39" i="5"/>
  <c r="AO16" i="5"/>
  <c r="T16" i="5"/>
  <c r="F16" i="5"/>
  <c r="X16" i="5"/>
  <c r="X38" i="5" s="1"/>
  <c r="J29" i="5"/>
  <c r="R29" i="5"/>
  <c r="Z29" i="5"/>
  <c r="AJ29" i="5"/>
  <c r="AJ36" i="5" s="1"/>
  <c r="AJ30" i="5" s="1"/>
  <c r="K24" i="5"/>
  <c r="AD20" i="5"/>
  <c r="AD24" i="5" s="1"/>
  <c r="AP24" i="5"/>
  <c r="AG16" i="5"/>
  <c r="AR15" i="5"/>
  <c r="AR26" i="5" s="1"/>
  <c r="AP16" i="5"/>
  <c r="AQ16" i="5" s="1"/>
  <c r="P16" i="5"/>
  <c r="P38" i="5" s="1"/>
  <c r="V24" i="5"/>
  <c r="V39" i="5" s="1"/>
  <c r="AH24" i="5"/>
  <c r="O27" i="5"/>
  <c r="L29" i="5"/>
  <c r="AD29" i="5"/>
  <c r="T24" i="5"/>
  <c r="T39" i="5" s="1"/>
  <c r="K27" i="5"/>
  <c r="AK27" i="5"/>
  <c r="M16" i="5"/>
  <c r="F24" i="5"/>
  <c r="AL24" i="5"/>
  <c r="AL39" i="5" s="1"/>
  <c r="AL44" i="5" s="1"/>
  <c r="AL45" i="5" s="1"/>
  <c r="AJ16" i="5"/>
  <c r="AJ38" i="5" s="1"/>
  <c r="AL29" i="5"/>
  <c r="AL36" i="5" s="1"/>
  <c r="AN35" i="5" s="1"/>
  <c r="AR9" i="5"/>
  <c r="I16" i="5"/>
  <c r="K16" i="5"/>
  <c r="V16" i="5"/>
  <c r="V38" i="5" s="1"/>
  <c r="AL26" i="5"/>
  <c r="AL27" i="5" s="1"/>
  <c r="AM27" i="5" s="1"/>
  <c r="N16" i="5"/>
  <c r="AF26" i="5"/>
  <c r="AF27" i="5" s="1"/>
  <c r="Q27" i="5"/>
  <c r="X37" i="5"/>
  <c r="Y27" i="5"/>
  <c r="M27" i="5"/>
  <c r="Z16" i="5"/>
  <c r="Z38" i="5" s="1"/>
  <c r="N29" i="5"/>
  <c r="I27" i="5"/>
  <c r="S27" i="5"/>
  <c r="AA27" i="5"/>
  <c r="AH16" i="5"/>
  <c r="AN26" i="5"/>
  <c r="AN27" i="5" s="1"/>
  <c r="P21" i="5"/>
  <c r="P24" i="5" s="1"/>
  <c r="P39" i="5" s="1"/>
  <c r="P40" i="5" s="1"/>
  <c r="P41" i="5" s="1"/>
  <c r="T28" i="5"/>
  <c r="T29" i="5" s="1"/>
  <c r="AD26" i="5"/>
  <c r="AD27" i="5" s="1"/>
  <c r="AE27" i="5" s="1"/>
  <c r="N24" i="5"/>
  <c r="AP26" i="5"/>
  <c r="AP27" i="5" s="1"/>
  <c r="AT15" i="5" l="1"/>
  <c r="AV15" i="5" s="1"/>
  <c r="AX15" i="5" s="1"/>
  <c r="AQ24" i="5"/>
  <c r="W27" i="5"/>
  <c r="L40" i="5"/>
  <c r="L41" i="5" s="1"/>
  <c r="U24" i="5"/>
  <c r="X40" i="5"/>
  <c r="X41" i="5" s="1"/>
  <c r="Y24" i="5"/>
  <c r="Z40" i="5"/>
  <c r="Z41" i="5" s="1"/>
  <c r="V40" i="5"/>
  <c r="V41" i="5" s="1"/>
  <c r="S16" i="5"/>
  <c r="AA24" i="5"/>
  <c r="AQ27" i="5"/>
  <c r="M24" i="5"/>
  <c r="G24" i="5"/>
  <c r="F39" i="5"/>
  <c r="U16" i="5"/>
  <c r="T38" i="5"/>
  <c r="T40" i="5" s="1"/>
  <c r="T41" i="5" s="1"/>
  <c r="O24" i="5"/>
  <c r="N39" i="5"/>
  <c r="AV26" i="5"/>
  <c r="O16" i="5"/>
  <c r="N38" i="5"/>
  <c r="G16" i="5"/>
  <c r="F38" i="5"/>
  <c r="Y16" i="5"/>
  <c r="AI16" i="5"/>
  <c r="AH38" i="5"/>
  <c r="AJ44" i="5"/>
  <c r="AJ45" i="5" s="1"/>
  <c r="AJ40" i="5"/>
  <c r="AJ41" i="5" s="1"/>
  <c r="AE24" i="5"/>
  <c r="AD39" i="5"/>
  <c r="AD40" i="5" s="1"/>
  <c r="AD41" i="5" s="1"/>
  <c r="AL30" i="5"/>
  <c r="W16" i="5"/>
  <c r="AI24" i="5"/>
  <c r="AH39" i="5"/>
  <c r="AK24" i="5"/>
  <c r="AM24" i="5"/>
  <c r="W24" i="5"/>
  <c r="AL40" i="5"/>
  <c r="AL41" i="5" s="1"/>
  <c r="AA16" i="5"/>
  <c r="I24" i="5"/>
  <c r="Q16" i="5"/>
  <c r="AG24" i="5"/>
  <c r="AO24" i="5"/>
  <c r="Q24" i="5"/>
  <c r="S24" i="5"/>
  <c r="AM16" i="5"/>
  <c r="AP39" i="5"/>
  <c r="AK16" i="5"/>
  <c r="AT26" i="5"/>
  <c r="AI27" i="5"/>
  <c r="AG27" i="5"/>
  <c r="AT9" i="5"/>
  <c r="AV9" i="5" s="1"/>
  <c r="AD44" i="5" l="1"/>
  <c r="AD45" i="5" s="1"/>
  <c r="AX9" i="5"/>
  <c r="AX26" i="5"/>
  <c r="AH44" i="5"/>
  <c r="AH45" i="5" s="1"/>
  <c r="N40" i="5"/>
  <c r="N41" i="5" s="1"/>
  <c r="F40" i="5"/>
  <c r="F41" i="5" s="1"/>
  <c r="AH40" i="5"/>
  <c r="AH41" i="5" s="1"/>
  <c r="AR24" i="5"/>
  <c r="AN17" i="5"/>
  <c r="AR39" i="5" l="1"/>
  <c r="AR19" i="5"/>
  <c r="AO27" i="5"/>
  <c r="AT24" i="5"/>
  <c r="AV24" i="5" s="1"/>
  <c r="AX24" i="5" s="1"/>
  <c r="AX39" i="5" l="1"/>
  <c r="AX19" i="5"/>
  <c r="AV39" i="5"/>
  <c r="AV19" i="5"/>
  <c r="AT19" i="5"/>
  <c r="AT39" i="5"/>
  <c r="AN38" i="5" l="1"/>
  <c r="AN40" i="5" l="1"/>
  <c r="AN41" i="5" s="1"/>
  <c r="AN44" i="5"/>
  <c r="AN45" i="5" s="1"/>
  <c r="AP38" i="5"/>
  <c r="AR16" i="5"/>
  <c r="AP17" i="5"/>
  <c r="AP29" i="5" s="1"/>
  <c r="AP40" i="5" l="1"/>
  <c r="AP41" i="5" s="1"/>
  <c r="AP44" i="5"/>
  <c r="AP45" i="5" s="1"/>
  <c r="AT16" i="5"/>
  <c r="AV16" i="5" s="1"/>
  <c r="AR12" i="5"/>
  <c r="AR17" i="5" s="1"/>
  <c r="AR28" i="5" s="1"/>
  <c r="AR25" i="5" s="1"/>
  <c r="AR27" i="5" s="1"/>
  <c r="AR38" i="5"/>
  <c r="AR40" i="5" s="1"/>
  <c r="AR41" i="5" s="1"/>
  <c r="AX16" i="5" l="1"/>
  <c r="AV12" i="5"/>
  <c r="AV17" i="5" s="1"/>
  <c r="AV28" i="5" s="1"/>
  <c r="AV25" i="5" s="1"/>
  <c r="AV27" i="5" s="1"/>
  <c r="AV38" i="5"/>
  <c r="AV40" i="5" s="1"/>
  <c r="AV41" i="5" s="1"/>
  <c r="AT12" i="5"/>
  <c r="AT17" i="5" s="1"/>
  <c r="AT28" i="5" s="1"/>
  <c r="AT25" i="5" s="1"/>
  <c r="AT27" i="5" s="1"/>
  <c r="AT38" i="5"/>
  <c r="AT40" i="5" s="1"/>
  <c r="AT41" i="5" s="1"/>
  <c r="AS27" i="5"/>
  <c r="AN29" i="5"/>
  <c r="AX12" i="5" l="1"/>
  <c r="AX17" i="5" s="1"/>
  <c r="AX28" i="5" s="1"/>
  <c r="AX25" i="5" s="1"/>
  <c r="AX27" i="5" s="1"/>
  <c r="AY27" i="5" s="1"/>
  <c r="AX38" i="5"/>
  <c r="AX40" i="5" s="1"/>
  <c r="AX41" i="5" s="1"/>
  <c r="AW27" i="5"/>
  <c r="AU27" i="5"/>
  <c r="AN36" i="5"/>
  <c r="AN30" i="5" l="1"/>
  <c r="AP35" i="5"/>
  <c r="AP36" i="5" l="1"/>
  <c r="AP30" i="5" s="1"/>
</calcChain>
</file>

<file path=xl/comments1.xml><?xml version="1.0" encoding="utf-8"?>
<comments xmlns="http://schemas.openxmlformats.org/spreadsheetml/2006/main">
  <authors>
    <author>Město Jilemnice</author>
    <author>Kynčlová</author>
  </authors>
  <commentList>
    <comment ref="BB9" authorId="0">
      <text>
        <r>
          <rPr>
            <b/>
            <sz val="9"/>
            <color indexed="81"/>
            <rFont val="Tahoma"/>
            <family val="2"/>
            <charset val="238"/>
          </rPr>
          <t>Město Jilemnice:</t>
        </r>
        <r>
          <rPr>
            <sz val="9"/>
            <color indexed="81"/>
            <rFont val="Tahoma"/>
            <family val="2"/>
            <charset val="238"/>
          </rPr>
          <t xml:space="preserve">
6008 - dotace pro partnery
</t>
        </r>
      </text>
    </comment>
    <comment ref="V10" authorId="0">
      <text>
        <r>
          <rPr>
            <b/>
            <sz val="9"/>
            <color indexed="81"/>
            <rFont val="Tahoma"/>
            <family val="2"/>
            <charset val="238"/>
          </rPr>
          <t xml:space="preserve">v tom 7200 lesy
</t>
        </r>
        <r>
          <rPr>
            <sz val="9"/>
            <color indexed="81"/>
            <rFont val="Tahoma"/>
            <family val="2"/>
            <charset val="238"/>
          </rPr>
          <t xml:space="preserve">
</t>
        </r>
      </text>
    </comment>
    <comment ref="T15" authorId="1">
      <text>
        <r>
          <rPr>
            <sz val="10"/>
            <color indexed="81"/>
            <rFont val="Tahoma"/>
            <family val="2"/>
            <charset val="238"/>
          </rPr>
          <t xml:space="preserve">8894 Masarykovo nám.
5114 čp.1
12245 úspora energií MŠ (z roku 2008)
15038+74 dotace MMN obnova přístrojů
</t>
        </r>
      </text>
    </comment>
    <comment ref="V15" authorId="1">
      <text>
        <r>
          <rPr>
            <sz val="10"/>
            <color indexed="81"/>
            <rFont val="Tahoma"/>
            <family val="2"/>
            <charset val="238"/>
          </rPr>
          <t>12686 Masarykovo nám.
16222 čp.1
4954 Zateplení čp.103
30596 obnova přístrojů MMN</t>
        </r>
      </text>
    </comment>
    <comment ref="X15" authorId="1">
      <text>
        <r>
          <rPr>
            <sz val="10"/>
            <color indexed="81"/>
            <rFont val="Tahoma"/>
            <family val="2"/>
            <charset val="238"/>
          </rPr>
          <t xml:space="preserve">477 čp.1
14253 obnova přístrojů MMN
63 DPS
</t>
        </r>
      </text>
    </comment>
    <comment ref="Z23" authorId="0">
      <text>
        <r>
          <rPr>
            <sz val="9"/>
            <color indexed="81"/>
            <rFont val="Tahoma"/>
            <family val="2"/>
            <charset val="238"/>
          </rPr>
          <t>2208 zalesnění
37 generace překračují hranice
963 oprava rozhledny žalý
444 město zeleně
4013 revitalizace městské zeleně (zámecký park)
3625 Zelené Krkonoše
164 EMAS
1908 CAF
959 vzdělávání výzva 57
688 vzdělávání výzva 69</t>
        </r>
        <r>
          <rPr>
            <sz val="9"/>
            <color indexed="81"/>
            <rFont val="Tahoma"/>
            <family val="2"/>
            <charset val="238"/>
          </rPr>
          <t xml:space="preserve">
</t>
        </r>
      </text>
    </comment>
    <comment ref="AB23" authorId="0">
      <text>
        <r>
          <rPr>
            <sz val="9"/>
            <color indexed="81"/>
            <rFont val="Tahoma"/>
            <family val="2"/>
            <charset val="238"/>
          </rPr>
          <t xml:space="preserve">310 umění bez hranic
126 Zelené Krkonoše
176 integrace KŘ a prevence
1455 CAF
1940 vzdělávání výzva 69
</t>
        </r>
      </text>
    </comment>
    <comment ref="AD23" authorId="0">
      <text>
        <r>
          <rPr>
            <b/>
            <sz val="9"/>
            <color indexed="81"/>
            <rFont val="Tahoma"/>
            <family val="2"/>
            <charset val="238"/>
          </rPr>
          <t>534 Umění bez hranic
293 vzdělávání
2198 projekt C2</t>
        </r>
        <r>
          <rPr>
            <sz val="9"/>
            <color indexed="81"/>
            <rFont val="Tahoma"/>
            <family val="2"/>
            <charset val="238"/>
          </rPr>
          <t xml:space="preserve">
</t>
        </r>
      </text>
    </comment>
    <comment ref="AF23" authorId="0">
      <text>
        <r>
          <rPr>
            <b/>
            <sz val="9"/>
            <color indexed="81"/>
            <rFont val="Tahoma"/>
            <family val="2"/>
            <charset val="238"/>
          </rPr>
          <t>Město Jilemnice:</t>
        </r>
        <r>
          <rPr>
            <sz val="9"/>
            <color indexed="81"/>
            <rFont val="Tahoma"/>
            <family val="2"/>
            <charset val="238"/>
          </rPr>
          <t xml:space="preserve">
1000 Jilemnice udržitelná
1826 projekt C2
</t>
        </r>
      </text>
    </comment>
    <comment ref="AH23" authorId="0">
      <text>
        <r>
          <rPr>
            <b/>
            <sz val="9"/>
            <color indexed="81"/>
            <rFont val="Tahoma"/>
            <family val="2"/>
            <charset val="238"/>
          </rPr>
          <t>Město Jilemnice:</t>
        </r>
        <r>
          <rPr>
            <sz val="9"/>
            <color indexed="81"/>
            <rFont val="Tahoma"/>
            <family val="2"/>
            <charset val="238"/>
          </rPr>
          <t xml:space="preserve">
578
 Jilemnice udržitelná
1200 projekt C2
</t>
        </r>
      </text>
    </comment>
    <comment ref="AJ23" authorId="0">
      <text>
        <r>
          <rPr>
            <b/>
            <sz val="9"/>
            <color indexed="81"/>
            <rFont val="Tahoma"/>
            <family val="2"/>
            <charset val="238"/>
          </rPr>
          <t>Město Jilemnice:</t>
        </r>
        <r>
          <rPr>
            <sz val="9"/>
            <color indexed="81"/>
            <rFont val="Tahoma"/>
            <family val="2"/>
            <charset val="238"/>
          </rPr>
          <t xml:space="preserve">
687 Jilemnice udržitelná
281 Revitalizace parku v Dolení ul.
</t>
        </r>
      </text>
    </comment>
    <comment ref="AN23" authorId="0">
      <text>
        <r>
          <rPr>
            <b/>
            <sz val="9"/>
            <color indexed="81"/>
            <rFont val="Tahoma"/>
            <family val="2"/>
            <charset val="238"/>
          </rPr>
          <t>Město Jilemnice:</t>
        </r>
        <r>
          <rPr>
            <sz val="9"/>
            <color indexed="81"/>
            <rFont val="Tahoma"/>
            <family val="2"/>
            <charset val="238"/>
          </rPr>
          <t xml:space="preserve">
1028 Rozvoj MA21
1136 Podpora soc. práce</t>
        </r>
      </text>
    </comment>
    <comment ref="BF24" authorId="0">
      <text>
        <r>
          <rPr>
            <b/>
            <sz val="9"/>
            <color indexed="81"/>
            <rFont val="Tahoma"/>
            <family val="2"/>
            <charset val="238"/>
          </rPr>
          <t>Město Jilemnice:</t>
        </r>
        <r>
          <rPr>
            <sz val="9"/>
            <color indexed="81"/>
            <rFont val="Tahoma"/>
            <family val="2"/>
            <charset val="238"/>
          </rPr>
          <t xml:space="preserve">
847 - modernizace odpadového systému
</t>
        </r>
      </text>
    </comment>
    <comment ref="BG24" authorId="0">
      <text>
        <r>
          <rPr>
            <b/>
            <sz val="9"/>
            <color indexed="81"/>
            <rFont val="Tahoma"/>
            <family val="2"/>
            <charset val="238"/>
          </rPr>
          <t>348,- zahradní domek</t>
        </r>
        <r>
          <rPr>
            <sz val="9"/>
            <color indexed="81"/>
            <rFont val="Tahoma"/>
            <family val="2"/>
            <charset val="238"/>
          </rPr>
          <t xml:space="preserve">
60 modernizace odpadového systému</t>
        </r>
      </text>
    </comment>
    <comment ref="BH24" authorId="0">
      <text>
        <r>
          <rPr>
            <b/>
            <sz val="9"/>
            <color indexed="81"/>
            <rFont val="Tahoma"/>
            <family val="2"/>
            <charset val="238"/>
          </rPr>
          <t>Město Jilemnice:</t>
        </r>
        <r>
          <rPr>
            <sz val="9"/>
            <color indexed="81"/>
            <rFont val="Tahoma"/>
            <family val="2"/>
            <charset val="238"/>
          </rPr>
          <t xml:space="preserve">
5800 zahradní domek</t>
        </r>
      </text>
    </comment>
    <comment ref="T26" authorId="1">
      <text>
        <r>
          <rPr>
            <sz val="10"/>
            <color indexed="81"/>
            <rFont val="Tahoma"/>
            <family val="2"/>
            <charset val="238"/>
          </rPr>
          <t xml:space="preserve">21534 Masarykovo nám.
27120 čp.1
15038 MMN
</t>
        </r>
        <r>
          <rPr>
            <sz val="10"/>
            <color indexed="81"/>
            <rFont val="Tahoma"/>
            <family val="2"/>
            <charset val="238"/>
          </rPr>
          <t xml:space="preserve">
</t>
        </r>
      </text>
    </comment>
    <comment ref="V26" authorId="1">
      <text>
        <r>
          <rPr>
            <sz val="10"/>
            <color indexed="81"/>
            <rFont val="Tahoma"/>
            <family val="2"/>
            <charset val="238"/>
          </rPr>
          <t>2167 Masarykovo nám.
14060 čp.1
9300 zateplení čp.103
8610 zateplení bytů</t>
        </r>
      </text>
    </comment>
    <comment ref="AJ26" authorId="0">
      <text>
        <r>
          <rPr>
            <b/>
            <sz val="9"/>
            <color indexed="81"/>
            <rFont val="Tahoma"/>
            <family val="2"/>
            <charset val="238"/>
          </rPr>
          <t>Město Jilemnice:</t>
        </r>
        <r>
          <rPr>
            <sz val="9"/>
            <color indexed="81"/>
            <rFont val="Tahoma"/>
            <family val="2"/>
            <charset val="238"/>
          </rPr>
          <t xml:space="preserve">
3000 dotace MMN na reko márnice
1142 Hraběnka
</t>
        </r>
      </text>
    </comment>
    <comment ref="BG27" authorId="0">
      <text>
        <r>
          <rPr>
            <b/>
            <sz val="9"/>
            <color indexed="81"/>
            <rFont val="Tahoma"/>
            <family val="2"/>
            <charset val="238"/>
          </rPr>
          <t>Město Jilemnice:</t>
        </r>
        <r>
          <rPr>
            <sz val="9"/>
            <color indexed="81"/>
            <rFont val="Tahoma"/>
            <family val="2"/>
            <charset val="238"/>
          </rPr>
          <t xml:space="preserve">
4000 bátovka
948 Za Lázněmi z daru</t>
        </r>
      </text>
    </comment>
    <comment ref="BG31" authorId="0">
      <text>
        <r>
          <rPr>
            <b/>
            <sz val="9"/>
            <color indexed="81"/>
            <rFont val="Tahoma"/>
            <family val="2"/>
            <charset val="238"/>
          </rPr>
          <t>Město Jilemnice:</t>
        </r>
        <r>
          <rPr>
            <sz val="9"/>
            <color indexed="81"/>
            <rFont val="Tahoma"/>
            <family val="2"/>
            <charset val="238"/>
          </rPr>
          <t xml:space="preserve">
4923 Metyšova</t>
        </r>
      </text>
    </comment>
    <comment ref="BF39" authorId="0">
      <text>
        <r>
          <rPr>
            <b/>
            <sz val="9"/>
            <color indexed="81"/>
            <rFont val="Tahoma"/>
            <family val="2"/>
            <charset val="238"/>
          </rPr>
          <t xml:space="preserve">1619 MMN,a.s.
</t>
        </r>
        <r>
          <rPr>
            <sz val="9"/>
            <color indexed="81"/>
            <rFont val="Tahoma"/>
            <family val="2"/>
            <charset val="238"/>
          </rPr>
          <t xml:space="preserve">
</t>
        </r>
      </text>
    </comment>
    <comment ref="BG39" authorId="0">
      <text>
        <r>
          <rPr>
            <b/>
            <sz val="9"/>
            <color indexed="81"/>
            <rFont val="Tahoma"/>
            <family val="2"/>
            <charset val="238"/>
          </rPr>
          <t>Město Jilemnice:</t>
        </r>
        <r>
          <rPr>
            <sz val="9"/>
            <color indexed="81"/>
            <rFont val="Tahoma"/>
            <family val="2"/>
            <charset val="238"/>
          </rPr>
          <t xml:space="preserve">
2800 spalcení ZK
=962+3300 příplatek MZK</t>
        </r>
      </text>
    </comment>
    <comment ref="BF42" authorId="0">
      <text>
        <r>
          <rPr>
            <b/>
            <sz val="9"/>
            <color indexed="81"/>
            <rFont val="Tahoma"/>
            <family val="2"/>
            <charset val="238"/>
          </rPr>
          <t xml:space="preserve">žižkova
</t>
        </r>
        <r>
          <rPr>
            <sz val="9"/>
            <color indexed="81"/>
            <rFont val="Tahoma"/>
            <family val="2"/>
            <charset val="238"/>
          </rPr>
          <t xml:space="preserve">
</t>
        </r>
      </text>
    </comment>
    <comment ref="BG42" authorId="0">
      <text>
        <r>
          <rPr>
            <b/>
            <sz val="9"/>
            <color indexed="81"/>
            <rFont val="Tahoma"/>
            <family val="2"/>
            <charset val="238"/>
          </rPr>
          <t>Město Jilemnice:</t>
        </r>
        <r>
          <rPr>
            <sz val="9"/>
            <color indexed="81"/>
            <rFont val="Tahoma"/>
            <family val="2"/>
            <charset val="238"/>
          </rPr>
          <t xml:space="preserve">
dle smlouvy</t>
        </r>
      </text>
    </comment>
    <comment ref="AB43" authorId="0">
      <text>
        <r>
          <rPr>
            <b/>
            <sz val="9"/>
            <color indexed="81"/>
            <rFont val="Tahoma"/>
            <family val="2"/>
            <charset val="238"/>
          </rPr>
          <t>Město Jilemnice:</t>
        </r>
        <r>
          <rPr>
            <sz val="9"/>
            <color indexed="81"/>
            <rFont val="Tahoma"/>
            <family val="2"/>
            <charset val="238"/>
          </rPr>
          <t xml:space="preserve">
2023 oprava mostu v Dolení ul.
800 cca z oprav budov škol
4500 z památek - oprava střechy zámku
1238 reko střechy SDJilm
1961 reko tenisových kurtů
1500 opravy bytů</t>
        </r>
      </text>
    </comment>
    <comment ref="AD43" authorId="0">
      <text>
        <r>
          <rPr>
            <b/>
            <sz val="9"/>
            <color indexed="81"/>
            <rFont val="Tahoma"/>
            <family val="2"/>
            <charset val="238"/>
          </rPr>
          <t>Město Jilemnice:</t>
        </r>
        <r>
          <rPr>
            <sz val="9"/>
            <color indexed="81"/>
            <rFont val="Tahoma"/>
            <family val="2"/>
            <charset val="238"/>
          </rPr>
          <t xml:space="preserve">
1317 oprava mostu K Vejrychovsku
3000 opravy budov škol
2500 cca opravy památek
2748 reko střecha SDJilm 
1800 cca z oprav bytů</t>
        </r>
      </text>
    </comment>
    <comment ref="AH43" authorId="0">
      <text>
        <r>
          <rPr>
            <b/>
            <sz val="9"/>
            <color indexed="81"/>
            <rFont val="Tahoma"/>
            <family val="2"/>
            <charset val="238"/>
          </rPr>
          <t>Město Jilemnice:</t>
        </r>
        <r>
          <rPr>
            <sz val="9"/>
            <color indexed="81"/>
            <rFont val="Tahoma"/>
            <family val="2"/>
            <charset val="238"/>
          </rPr>
          <t xml:space="preserve">
238 most U Jarmary
924 příprava chodník čsl. Legiií
2000 cca opravy budov škol
1600 cca památky
1024 příprava Hraběnka
1500 cca byty
</t>
        </r>
      </text>
    </comment>
    <comment ref="AJ43" authorId="0">
      <text>
        <r>
          <rPr>
            <b/>
            <sz val="9"/>
            <color indexed="81"/>
            <rFont val="Tahoma"/>
            <family val="2"/>
            <charset val="238"/>
          </rPr>
          <t>Město Jilemnice:</t>
        </r>
        <r>
          <rPr>
            <sz val="9"/>
            <color indexed="81"/>
            <rFont val="Tahoma"/>
            <family val="2"/>
            <charset val="238"/>
          </rPr>
          <t xml:space="preserve">
287 Valdštejnská - chodníky
3900 opravy budov škol
1500 z památek
2000 byty</t>
        </r>
      </text>
    </comment>
    <comment ref="AL43" authorId="0">
      <text>
        <r>
          <rPr>
            <b/>
            <sz val="9"/>
            <color indexed="81"/>
            <rFont val="Tahoma"/>
            <family val="2"/>
            <charset val="238"/>
          </rPr>
          <t>Město Jilemnice:</t>
        </r>
        <r>
          <rPr>
            <sz val="9"/>
            <color indexed="81"/>
            <rFont val="Tahoma"/>
            <family val="2"/>
            <charset val="238"/>
          </rPr>
          <t xml:space="preserve">
1672 parkoviště SDJilm
3900 opravy budov škol
500 památky
1600 opravy bytů
</t>
        </r>
      </text>
    </comment>
    <comment ref="AN43" authorId="0">
      <text>
        <r>
          <rPr>
            <b/>
            <sz val="9"/>
            <color indexed="81"/>
            <rFont val="Tahoma"/>
            <family val="2"/>
            <charset val="238"/>
          </rPr>
          <t>Město Jilemnice:</t>
        </r>
        <r>
          <rPr>
            <sz val="9"/>
            <color indexed="81"/>
            <rFont val="Tahoma"/>
            <family val="2"/>
            <charset val="238"/>
          </rPr>
          <t xml:space="preserve">
4554 zahradní domek
1700 opravy  budov škol
598 střecha kina
2841 projekt EPC
3000 opravy bytů</t>
        </r>
      </text>
    </comment>
    <comment ref="AP43" authorId="0">
      <text>
        <r>
          <rPr>
            <b/>
            <sz val="9"/>
            <color indexed="81"/>
            <rFont val="Tahoma"/>
            <family val="2"/>
            <charset val="238"/>
          </rPr>
          <t>Město Jilemnice:</t>
        </r>
        <r>
          <rPr>
            <sz val="9"/>
            <color indexed="81"/>
            <rFont val="Tahoma"/>
            <family val="2"/>
            <charset val="238"/>
          </rPr>
          <t xml:space="preserve">
500 komunikace 
3150 střecha Scolarest
1500 památky
1200 starý hřbitov
2800 byty
</t>
        </r>
      </text>
    </comment>
    <comment ref="BD43" authorId="0">
      <text>
        <r>
          <rPr>
            <b/>
            <sz val="9"/>
            <color indexed="81"/>
            <rFont val="Tahoma"/>
            <family val="2"/>
            <charset val="238"/>
          </rPr>
          <t>Město Jilemnice:</t>
        </r>
        <r>
          <rPr>
            <sz val="9"/>
            <color indexed="81"/>
            <rFont val="Tahoma"/>
            <family val="2"/>
            <charset val="238"/>
          </rPr>
          <t xml:space="preserve">
725  parkovací automaty
969 inv. Přčíspěvek SC
580 inv. Příspěvek MMN
395 pečovatelská služba</t>
        </r>
      </text>
    </comment>
    <comment ref="BE43" authorId="0">
      <text>
        <r>
          <rPr>
            <b/>
            <sz val="9"/>
            <color indexed="81"/>
            <rFont val="Tahoma"/>
            <family val="2"/>
            <charset val="238"/>
          </rPr>
          <t>Město Jilemnice:</t>
        </r>
        <r>
          <rPr>
            <sz val="9"/>
            <color indexed="81"/>
            <rFont val="Tahoma"/>
            <family val="2"/>
            <charset val="238"/>
          </rPr>
          <t xml:space="preserve">
846 SC
1200 založení SC,s.r.o
315 MMN příplatek </t>
        </r>
      </text>
    </comment>
    <comment ref="BG43" authorId="0">
      <text>
        <r>
          <rPr>
            <b/>
            <sz val="9"/>
            <color indexed="81"/>
            <rFont val="Tahoma"/>
            <family val="2"/>
            <charset val="238"/>
          </rPr>
          <t>4054 reko čp. 85</t>
        </r>
        <r>
          <rPr>
            <sz val="9"/>
            <color indexed="81"/>
            <rFont val="Tahoma"/>
            <family val="2"/>
            <charset val="238"/>
          </rPr>
          <t xml:space="preserve">
1420 kotelna ve st. Gymnáziu
257 kolumbárium
224 podium v parku</t>
        </r>
      </text>
    </comment>
  </commentList>
</comments>
</file>

<file path=xl/sharedStrings.xml><?xml version="1.0" encoding="utf-8"?>
<sst xmlns="http://schemas.openxmlformats.org/spreadsheetml/2006/main" count="152" uniqueCount="121">
  <si>
    <t>Projekty financované částečně z dotací</t>
  </si>
  <si>
    <t>skutečnost</t>
  </si>
  <si>
    <t>Rozpočet</t>
  </si>
  <si>
    <t>výhled</t>
  </si>
  <si>
    <t>Rozpis jednotlivých projektů</t>
  </si>
  <si>
    <t>Skutečnost</t>
  </si>
  <si>
    <t>Řádek</t>
  </si>
  <si>
    <t>POLOŽKA</t>
  </si>
  <si>
    <t>01/00</t>
  </si>
  <si>
    <t>02/01</t>
  </si>
  <si>
    <t>03/02</t>
  </si>
  <si>
    <t>04/03</t>
  </si>
  <si>
    <t>05/04</t>
  </si>
  <si>
    <t>06/05</t>
  </si>
  <si>
    <t>07/06</t>
  </si>
  <si>
    <t>08/07</t>
  </si>
  <si>
    <t>09/08</t>
  </si>
  <si>
    <t>10/09</t>
  </si>
  <si>
    <t>11/10</t>
  </si>
  <si>
    <t>12/11</t>
  </si>
  <si>
    <t>13/12</t>
  </si>
  <si>
    <t>14/13</t>
  </si>
  <si>
    <t>15/14</t>
  </si>
  <si>
    <t>16/15</t>
  </si>
  <si>
    <t>17/16</t>
  </si>
  <si>
    <t>18/17</t>
  </si>
  <si>
    <t>19/18</t>
  </si>
  <si>
    <t>Příjmy</t>
  </si>
  <si>
    <t>kapitálové dotace ROP</t>
  </si>
  <si>
    <t>Zateplení DPS a 5 budov (r. 2013-15)</t>
  </si>
  <si>
    <t>Daňové příjmy</t>
  </si>
  <si>
    <t>Projekt Zelené Krkonoše</t>
  </si>
  <si>
    <t>Nedaňové příjmy</t>
  </si>
  <si>
    <t>Expozice muzea čp. 1</t>
  </si>
  <si>
    <t>Kapitálové příjmy</t>
  </si>
  <si>
    <t>Hraběnka</t>
  </si>
  <si>
    <t>Přijaté dotace celkem</t>
  </si>
  <si>
    <t>MMN obnova přístrojů,reko márnice</t>
  </si>
  <si>
    <t>z toho: soc.dávky</t>
  </si>
  <si>
    <t xml:space="preserve">         dotace pro třetí subjekty</t>
  </si>
  <si>
    <t>Požární ochrana</t>
  </si>
  <si>
    <t xml:space="preserve">           kapitálové dotace</t>
  </si>
  <si>
    <t xml:space="preserve">           ostatní dotace</t>
  </si>
  <si>
    <t>Příjmy celkem</t>
  </si>
  <si>
    <t>Kap. výdaje z dotací ROP</t>
  </si>
  <si>
    <t>Výdaje</t>
  </si>
  <si>
    <t>Běžné výdaje</t>
  </si>
  <si>
    <t>MMN obnova přístrojů, reko márnice</t>
  </si>
  <si>
    <t>z toho: dotace pro třetí subjekty</t>
  </si>
  <si>
    <t xml:space="preserve">           sociální dávky dotace</t>
  </si>
  <si>
    <t xml:space="preserve">           vratka dotací</t>
  </si>
  <si>
    <t>neinv. projekty z dotací</t>
  </si>
  <si>
    <t>Ostatní z dotací</t>
  </si>
  <si>
    <t xml:space="preserve">           výdaje na provoz</t>
  </si>
  <si>
    <t>Kapitálové výdaje</t>
  </si>
  <si>
    <t>z toho: z dotací a projekty ROP</t>
  </si>
  <si>
    <t>Kap. výdaje z vlastních zdrojů</t>
  </si>
  <si>
    <t xml:space="preserve">        z vlastních zdrojů </t>
  </si>
  <si>
    <t>VHS (Bátovka)</t>
  </si>
  <si>
    <t>Výdaje celkem</t>
  </si>
  <si>
    <t>Bytová výstavba Nouzov</t>
  </si>
  <si>
    <t>SALDO (Příjmy-Výdaje)</t>
  </si>
  <si>
    <t>Cyklostezky</t>
  </si>
  <si>
    <t>Finacování salda</t>
  </si>
  <si>
    <t>Chodník čsl.legií vč. kanalizace</t>
  </si>
  <si>
    <t>přijaté úvěry</t>
  </si>
  <si>
    <t>Koupaliště</t>
  </si>
  <si>
    <t>splátky úvěrů a půjček ost.</t>
  </si>
  <si>
    <t>Město zeleně a podium v parku</t>
  </si>
  <si>
    <t>nákup/prodej podíl. listů</t>
  </si>
  <si>
    <t>zapojení kumul. přebytku z min. roku</t>
  </si>
  <si>
    <t>Pozemky</t>
  </si>
  <si>
    <t>přebytek(-), ztráta (+)</t>
  </si>
  <si>
    <t>Požární ochrana, policie</t>
  </si>
  <si>
    <t>Projekty</t>
  </si>
  <si>
    <t>Přechod pro chodce Hrabačov,Krkonošská</t>
  </si>
  <si>
    <t>Sociální služby - čp. 64</t>
  </si>
  <si>
    <t>Správa</t>
  </si>
  <si>
    <t>Střecha, digitalizace kina  SDJilm</t>
  </si>
  <si>
    <t>Ostatní (PO, jednotlivé investice)</t>
  </si>
  <si>
    <t>Zpracovala:</t>
  </si>
  <si>
    <t>Ing. Miroslava Kynčlová</t>
  </si>
  <si>
    <t>vedoucí finančního odboru</t>
  </si>
  <si>
    <t xml:space="preserve">Součet kapitálových výdajů </t>
  </si>
  <si>
    <t>20/19</t>
  </si>
  <si>
    <t>21/20</t>
  </si>
  <si>
    <t>Chodník Čsl. legií</t>
  </si>
  <si>
    <t>Žižkova ul. (zatím projekce, dotace VHS)</t>
  </si>
  <si>
    <t xml:space="preserve">Investiční rezerva </t>
  </si>
  <si>
    <t>MĚSTO JILEMNICE</t>
  </si>
  <si>
    <t>1.</t>
  </si>
  <si>
    <t>3.</t>
  </si>
  <si>
    <t>6</t>
  </si>
  <si>
    <t>Ostatní     - Chodník Čsl. legií (2018)</t>
  </si>
  <si>
    <t>V předloženém výhledu se zatím nepočítá s přijetím úvěru k financování investičních akcí.</t>
  </si>
  <si>
    <t>Podpis oprávněné osoby, potvrzující zveřejnění:</t>
  </si>
  <si>
    <t>Příplatky mimo ZK</t>
  </si>
  <si>
    <t>běžné příjmy bez dotací pro 3. osoby</t>
  </si>
  <si>
    <t>běžné výdaje</t>
  </si>
  <si>
    <t>saldo běžného hospodaření</t>
  </si>
  <si>
    <t>Zateplení DPS a 5 budov (r. 2013-15), ost. od r. 2018</t>
  </si>
  <si>
    <t>splátky dlouh. závazků</t>
  </si>
  <si>
    <t>Komunikace - kruh. obj. u  Normy, Spořilov, Metyšova</t>
  </si>
  <si>
    <t>Parkoviště (SDJilm, Hrabačov, u DPS,gymn.)</t>
  </si>
  <si>
    <t>velké opravy (odečet z provozu)</t>
  </si>
  <si>
    <t>% z běžných příjmů</t>
  </si>
  <si>
    <t>R</t>
  </si>
  <si>
    <t>rozpočet</t>
  </si>
  <si>
    <t>22/21</t>
  </si>
  <si>
    <t>23/22</t>
  </si>
  <si>
    <t xml:space="preserve">2. </t>
  </si>
  <si>
    <t>Předložený materiál je doplněn o saldo běžného hospodaření v minulých letech, které vypovídá o poměru běžných výdajů k běžným příjmům. Dle doporučení by mělo být pro Jilemnici vyšší.</t>
  </si>
  <si>
    <t xml:space="preserve">Návrh střednědobého výhledu zatím nezahrnuje jednotlivé investiční projekty, neboť v roce 2019 se projekčně připravují. Jedná se např. o projekty výstavba obytné zóny Nouzov, Buben - architektonická studie, koupaliště, cyklistické stezky, Spořilov - řešení vodohospodářské infrastruktury a následně komunikací, oprava mostu Hrabačov, silnice Za nemocnicí, projekt IROP pro ZŠ J. Harracha apod. </t>
  </si>
  <si>
    <t>Návrh rozpočtový výhled vychází  z porovnání skutečností z předchozích let 2015-2018, schváleného rozpočtu na rok 2019 a predikce příjmů a výdajů v základním členění</t>
  </si>
  <si>
    <t>Ve financování jsou zahrnuty splátky dlouhodobého závazku z projektu EPC, který byl dokončen v roce 2018.</t>
  </si>
  <si>
    <t>Vlastní zdroje města k realizování investičních akcí jsou vyčísleny v rozmezí 17,5 - 18 mil. Kč. Tyto zdroje mohou být navýšeny případným přebytkem hospodaření r. 2019.</t>
  </si>
  <si>
    <t>4.</t>
  </si>
  <si>
    <t>5.</t>
  </si>
  <si>
    <t>V elektronické podobě vyvěšeno od: 20.6.2019</t>
  </si>
  <si>
    <t xml:space="preserve">Komentář ke  střednědobého výhledu rozpočtu  </t>
  </si>
  <si>
    <t>SCHVÁLENÝ STŘEDNĚDOBÝ VÝHLED ROZPOČTU NA ROKY 2020 - 2023 (schváleno ZM dne 19. 6. 2019 pod č. usn.:  44/19)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</si>
</sst>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color theme="1"/>
      <name val="Calibri"/>
      <family val="2"/>
      <charset val="238"/>
      <scheme val="minor"/>
    </font>
    <font>
      <sz val="11"/>
      <color theme="1"/>
      <name val="Calibri"/>
      <family val="2"/>
      <charset val="238"/>
      <scheme val="minor"/>
    </font>
    <font>
      <b/>
      <u/>
      <sz val="10"/>
      <name val="Arial CE"/>
      <family val="2"/>
      <charset val="238"/>
    </font>
    <font>
      <sz val="10"/>
      <name val="Arial CE"/>
      <family val="2"/>
      <charset val="238"/>
    </font>
    <font>
      <sz val="8"/>
      <name val="Arial CE"/>
      <family val="2"/>
      <charset val="238"/>
    </font>
    <font>
      <b/>
      <sz val="8"/>
      <name val="Arial CE"/>
      <charset val="238"/>
    </font>
    <font>
      <b/>
      <sz val="10"/>
      <name val="Arial CE"/>
      <charset val="238"/>
    </font>
    <font>
      <b/>
      <sz val="9"/>
      <name val="Arial CE"/>
      <family val="2"/>
      <charset val="238"/>
    </font>
    <font>
      <b/>
      <sz val="10"/>
      <name val="Arial CE"/>
      <family val="2"/>
      <charset val="238"/>
    </font>
    <font>
      <b/>
      <sz val="8"/>
      <name val="Arial CE"/>
      <family val="2"/>
      <charset val="238"/>
    </font>
    <font>
      <b/>
      <u/>
      <sz val="8"/>
      <name val="Arial CE"/>
      <family val="2"/>
      <charset val="238"/>
    </font>
    <font>
      <sz val="10"/>
      <name val="Arial CE"/>
      <charset val="238"/>
    </font>
    <font>
      <sz val="8"/>
      <name val="Arial CE"/>
      <charset val="238"/>
    </font>
    <font>
      <b/>
      <sz val="9"/>
      <color indexed="81"/>
      <name val="Tahoma"/>
      <family val="2"/>
      <charset val="238"/>
    </font>
    <font>
      <sz val="9"/>
      <color indexed="81"/>
      <name val="Tahoma"/>
      <family val="2"/>
      <charset val="238"/>
    </font>
    <font>
      <sz val="10"/>
      <color indexed="81"/>
      <name val="Tahoma"/>
      <family val="2"/>
      <charset val="238"/>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s>
  <borders count="38">
    <border>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79">
    <xf numFmtId="0" fontId="0" fillId="0" borderId="0" xfId="0"/>
    <xf numFmtId="0" fontId="3" fillId="0" borderId="0" xfId="0" applyFont="1" applyBorder="1"/>
    <xf numFmtId="0" fontId="4" fillId="0" borderId="0" xfId="0" applyFont="1" applyBorder="1"/>
    <xf numFmtId="0" fontId="3" fillId="0" borderId="0" xfId="0" applyFont="1" applyFill="1" applyBorder="1"/>
    <xf numFmtId="0" fontId="3" fillId="2" borderId="0" xfId="0" applyFont="1" applyFill="1" applyBorder="1"/>
    <xf numFmtId="0" fontId="4" fillId="2" borderId="0" xfId="0" applyFont="1" applyFill="1" applyBorder="1"/>
    <xf numFmtId="0" fontId="3" fillId="0" borderId="1" xfId="0" applyFont="1" applyBorder="1"/>
    <xf numFmtId="0" fontId="4" fillId="0" borderId="3" xfId="0" applyFont="1" applyBorder="1"/>
    <xf numFmtId="0" fontId="3" fillId="0" borderId="3" xfId="0" applyFont="1" applyBorder="1"/>
    <xf numFmtId="0" fontId="3" fillId="0" borderId="3" xfId="0" applyFont="1" applyFill="1" applyBorder="1"/>
    <xf numFmtId="0" fontId="4" fillId="0" borderId="3" xfId="0" applyFont="1" applyBorder="1" applyAlignment="1">
      <alignment horizontal="center"/>
    </xf>
    <xf numFmtId="0" fontId="3" fillId="0" borderId="3" xfId="0" applyFont="1" applyFill="1" applyBorder="1" applyAlignment="1">
      <alignment horizontal="center"/>
    </xf>
    <xf numFmtId="0" fontId="4" fillId="0" borderId="3" xfId="0" applyFont="1" applyFill="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5" fillId="0" borderId="6" xfId="0" applyFont="1" applyBorder="1"/>
    <xf numFmtId="0" fontId="6" fillId="0" borderId="3" xfId="0" applyFont="1" applyBorder="1"/>
    <xf numFmtId="0" fontId="6" fillId="0" borderId="3" xfId="0" applyFont="1" applyBorder="1" applyAlignment="1">
      <alignment horizontal="right"/>
    </xf>
    <xf numFmtId="0" fontId="7" fillId="0" borderId="7" xfId="0" applyFont="1" applyBorder="1"/>
    <xf numFmtId="0" fontId="3"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4" fillId="0" borderId="9" xfId="0" applyFont="1" applyBorder="1" applyAlignment="1">
      <alignment horizontal="center"/>
    </xf>
    <xf numFmtId="49" fontId="4" fillId="0" borderId="9" xfId="0" applyNumberFormat="1" applyFont="1" applyBorder="1" applyAlignment="1">
      <alignment horizontal="center"/>
    </xf>
    <xf numFmtId="0" fontId="8" fillId="0" borderId="9" xfId="0" applyFont="1" applyFill="1" applyBorder="1" applyAlignment="1">
      <alignment horizontal="center"/>
    </xf>
    <xf numFmtId="49" fontId="4" fillId="0" borderId="10" xfId="0" applyNumberFormat="1" applyFont="1" applyBorder="1" applyAlignment="1">
      <alignment horizontal="center"/>
    </xf>
    <xf numFmtId="49" fontId="4" fillId="0" borderId="11" xfId="0" applyNumberFormat="1" applyFont="1" applyBorder="1" applyAlignment="1">
      <alignment horizontal="center"/>
    </xf>
    <xf numFmtId="49" fontId="9" fillId="0" borderId="0" xfId="0" applyNumberFormat="1" applyFont="1" applyBorder="1" applyAlignment="1">
      <alignment horizontal="center"/>
    </xf>
    <xf numFmtId="0" fontId="4" fillId="0" borderId="12" xfId="0" applyFont="1" applyBorder="1"/>
    <xf numFmtId="0" fontId="6" fillId="0" borderId="13" xfId="0" applyFont="1" applyBorder="1"/>
    <xf numFmtId="0" fontId="7" fillId="0" borderId="14" xfId="0" applyFont="1" applyBorder="1" applyAlignment="1">
      <alignment horizontal="center"/>
    </xf>
    <xf numFmtId="0" fontId="2" fillId="0" borderId="14" xfId="0" applyFont="1" applyBorder="1"/>
    <xf numFmtId="0" fontId="2" fillId="0" borderId="15" xfId="0" applyFont="1" applyBorder="1"/>
    <xf numFmtId="0" fontId="2" fillId="0" borderId="13" xfId="0" applyFont="1" applyBorder="1"/>
    <xf numFmtId="0" fontId="10" fillId="0" borderId="13" xfId="0" applyFont="1" applyBorder="1"/>
    <xf numFmtId="0" fontId="2" fillId="0" borderId="13" xfId="0" applyFont="1" applyFill="1" applyBorder="1"/>
    <xf numFmtId="0" fontId="3" fillId="0" borderId="13" xfId="0" applyFont="1" applyBorder="1"/>
    <xf numFmtId="9" fontId="4" fillId="0" borderId="13" xfId="0" applyNumberFormat="1" applyFont="1" applyBorder="1"/>
    <xf numFmtId="0" fontId="4" fillId="0" borderId="13" xfId="0" applyFont="1" applyBorder="1"/>
    <xf numFmtId="0" fontId="4" fillId="0" borderId="16" xfId="0" applyFont="1" applyBorder="1"/>
    <xf numFmtId="0" fontId="3" fillId="0" borderId="15" xfId="0" applyFont="1" applyBorder="1"/>
    <xf numFmtId="0" fontId="4" fillId="0" borderId="17" xfId="0" applyFont="1" applyBorder="1"/>
    <xf numFmtId="0" fontId="5" fillId="0" borderId="18" xfId="0" applyFont="1" applyBorder="1"/>
    <xf numFmtId="3" fontId="6" fillId="3" borderId="19" xfId="0" applyNumberFormat="1" applyFont="1" applyFill="1" applyBorder="1"/>
    <xf numFmtId="0" fontId="3" fillId="0" borderId="13" xfId="0" applyFont="1" applyFill="1" applyBorder="1"/>
    <xf numFmtId="0" fontId="4" fillId="0" borderId="21" xfId="0" applyFont="1" applyBorder="1"/>
    <xf numFmtId="0" fontId="3" fillId="0" borderId="22" xfId="0" applyFont="1" applyFill="1" applyBorder="1"/>
    <xf numFmtId="0" fontId="3" fillId="0" borderId="22" xfId="0" applyFont="1" applyBorder="1"/>
    <xf numFmtId="0" fontId="3" fillId="0" borderId="14" xfId="0" applyFont="1" applyBorder="1"/>
    <xf numFmtId="3" fontId="3" fillId="0" borderId="15" xfId="0" applyNumberFormat="1" applyFont="1" applyBorder="1"/>
    <xf numFmtId="3" fontId="3" fillId="0" borderId="13" xfId="0" applyNumberFormat="1" applyFont="1" applyBorder="1"/>
    <xf numFmtId="9" fontId="4" fillId="0" borderId="13" xfId="1" applyFont="1" applyBorder="1"/>
    <xf numFmtId="3" fontId="3" fillId="0" borderId="13" xfId="0" applyNumberFormat="1" applyFont="1" applyFill="1" applyBorder="1"/>
    <xf numFmtId="9" fontId="4" fillId="0" borderId="16" xfId="1" applyFont="1" applyBorder="1"/>
    <xf numFmtId="3" fontId="3" fillId="0" borderId="15" xfId="0" applyNumberFormat="1" applyFont="1" applyFill="1" applyBorder="1"/>
    <xf numFmtId="9" fontId="4" fillId="0" borderId="17" xfId="1" applyFont="1" applyBorder="1"/>
    <xf numFmtId="3" fontId="3" fillId="0" borderId="23" xfId="0" applyNumberFormat="1" applyFont="1" applyFill="1" applyBorder="1"/>
    <xf numFmtId="9" fontId="4" fillId="4" borderId="17" xfId="0" applyNumberFormat="1" applyFont="1" applyFill="1" applyBorder="1"/>
    <xf numFmtId="9" fontId="4" fillId="0" borderId="0" xfId="1" applyFont="1" applyBorder="1"/>
    <xf numFmtId="0" fontId="4" fillId="0" borderId="24" xfId="0" applyFont="1" applyBorder="1"/>
    <xf numFmtId="3" fontId="3" fillId="0" borderId="25" xfId="0" applyNumberFormat="1" applyFont="1" applyFill="1" applyBorder="1"/>
    <xf numFmtId="3" fontId="3" fillId="0" borderId="25" xfId="0" applyNumberFormat="1" applyFont="1" applyBorder="1"/>
    <xf numFmtId="3" fontId="4" fillId="0" borderId="13" xfId="0" applyNumberFormat="1" applyFont="1" applyBorder="1"/>
    <xf numFmtId="9" fontId="4" fillId="0" borderId="13" xfId="0" applyNumberFormat="1" applyFont="1" applyFill="1" applyBorder="1"/>
    <xf numFmtId="3" fontId="3" fillId="4" borderId="13" xfId="0" applyNumberFormat="1" applyFont="1" applyFill="1" applyBorder="1"/>
    <xf numFmtId="9" fontId="4" fillId="0" borderId="17" xfId="0" applyNumberFormat="1" applyFont="1" applyFill="1" applyBorder="1"/>
    <xf numFmtId="9" fontId="4" fillId="0" borderId="16" xfId="0" applyNumberFormat="1" applyFont="1" applyFill="1" applyBorder="1"/>
    <xf numFmtId="0" fontId="4" fillId="0" borderId="26" xfId="0" applyFont="1" applyBorder="1"/>
    <xf numFmtId="3" fontId="3" fillId="0" borderId="27" xfId="0" applyNumberFormat="1" applyFont="1" applyBorder="1"/>
    <xf numFmtId="3" fontId="3" fillId="3" borderId="13" xfId="0" applyNumberFormat="1" applyFont="1" applyFill="1" applyBorder="1"/>
    <xf numFmtId="3" fontId="3" fillId="3" borderId="15" xfId="0" applyNumberFormat="1" applyFont="1" applyFill="1" applyBorder="1"/>
    <xf numFmtId="0" fontId="4" fillId="0" borderId="0" xfId="0" applyFont="1" applyFill="1" applyBorder="1"/>
    <xf numFmtId="9" fontId="4" fillId="0" borderId="11" xfId="1" applyFont="1" applyBorder="1"/>
    <xf numFmtId="0" fontId="7" fillId="0" borderId="28" xfId="0" applyFont="1" applyBorder="1" applyAlignment="1">
      <alignment horizontal="center"/>
    </xf>
    <xf numFmtId="0" fontId="8" fillId="0" borderId="28" xfId="0" applyFont="1" applyBorder="1"/>
    <xf numFmtId="3" fontId="8" fillId="0" borderId="19" xfId="0" applyNumberFormat="1" applyFont="1" applyBorder="1"/>
    <xf numFmtId="0" fontId="9" fillId="0" borderId="19" xfId="0" applyFont="1" applyBorder="1"/>
    <xf numFmtId="3" fontId="9" fillId="0" borderId="19" xfId="0" applyNumberFormat="1" applyFont="1" applyBorder="1"/>
    <xf numFmtId="3" fontId="8" fillId="0" borderId="19" xfId="0" applyNumberFormat="1" applyFont="1" applyFill="1" applyBorder="1"/>
    <xf numFmtId="9" fontId="9" fillId="0" borderId="19" xfId="0" applyNumberFormat="1" applyFont="1" applyFill="1" applyBorder="1"/>
    <xf numFmtId="9" fontId="9" fillId="0" borderId="29" xfId="0" applyNumberFormat="1" applyFont="1" applyFill="1" applyBorder="1"/>
    <xf numFmtId="3" fontId="8" fillId="0" borderId="18" xfId="0" applyNumberFormat="1" applyFont="1" applyFill="1" applyBorder="1"/>
    <xf numFmtId="9" fontId="9" fillId="0" borderId="20" xfId="0" applyNumberFormat="1" applyFont="1" applyFill="1" applyBorder="1"/>
    <xf numFmtId="0" fontId="3" fillId="0" borderId="15" xfId="0" applyFont="1" applyFill="1" applyBorder="1"/>
    <xf numFmtId="3" fontId="3" fillId="0" borderId="22" xfId="0" applyNumberFormat="1" applyFont="1" applyBorder="1"/>
    <xf numFmtId="0" fontId="3" fillId="0" borderId="25" xfId="0" applyFont="1" applyBorder="1"/>
    <xf numFmtId="0" fontId="11" fillId="0" borderId="14" xfId="0" applyFont="1" applyBorder="1" applyAlignment="1">
      <alignment horizontal="center"/>
    </xf>
    <xf numFmtId="3" fontId="3" fillId="2" borderId="13" xfId="0" applyNumberFormat="1" applyFont="1" applyFill="1" applyBorder="1"/>
    <xf numFmtId="0" fontId="5" fillId="0" borderId="30" xfId="0" applyFont="1" applyBorder="1"/>
    <xf numFmtId="3" fontId="6" fillId="2" borderId="31" xfId="0" applyNumberFormat="1" applyFont="1" applyFill="1" applyBorder="1"/>
    <xf numFmtId="0" fontId="3" fillId="2" borderId="14" xfId="0" applyFont="1" applyFill="1" applyBorder="1"/>
    <xf numFmtId="3" fontId="3" fillId="2" borderId="15" xfId="0" applyNumberFormat="1" applyFont="1" applyFill="1" applyBorder="1"/>
    <xf numFmtId="3" fontId="3" fillId="2" borderId="8" xfId="0" applyNumberFormat="1" applyFont="1" applyFill="1" applyBorder="1"/>
    <xf numFmtId="9" fontId="4" fillId="0" borderId="11" xfId="0" applyNumberFormat="1" applyFont="1" applyFill="1" applyBorder="1"/>
    <xf numFmtId="3" fontId="8" fillId="0" borderId="18" xfId="0" applyNumberFormat="1" applyFont="1" applyBorder="1"/>
    <xf numFmtId="3" fontId="3" fillId="0" borderId="0" xfId="0" applyNumberFormat="1" applyFont="1" applyBorder="1"/>
    <xf numFmtId="3" fontId="9" fillId="0" borderId="19" xfId="0" applyNumberFormat="1" applyFont="1" applyFill="1" applyBorder="1"/>
    <xf numFmtId="3" fontId="9" fillId="0" borderId="29" xfId="0" applyNumberFormat="1" applyFont="1" applyFill="1" applyBorder="1"/>
    <xf numFmtId="3" fontId="9" fillId="0" borderId="20" xfId="0" applyNumberFormat="1" applyFont="1" applyFill="1" applyBorder="1"/>
    <xf numFmtId="3" fontId="8" fillId="0" borderId="13" xfId="0" applyNumberFormat="1" applyFont="1" applyBorder="1"/>
    <xf numFmtId="3" fontId="9" fillId="0" borderId="13" xfId="0" applyNumberFormat="1" applyFont="1" applyBorder="1"/>
    <xf numFmtId="3" fontId="8" fillId="0" borderId="13" xfId="0" applyNumberFormat="1" applyFont="1" applyFill="1" applyBorder="1"/>
    <xf numFmtId="3" fontId="9" fillId="0" borderId="16" xfId="0" applyNumberFormat="1" applyFont="1" applyBorder="1"/>
    <xf numFmtId="3" fontId="8" fillId="0" borderId="15" xfId="0" applyNumberFormat="1" applyFont="1" applyBorder="1"/>
    <xf numFmtId="3" fontId="9" fillId="0" borderId="17" xfId="0" applyNumberFormat="1" applyFont="1" applyBorder="1"/>
    <xf numFmtId="3" fontId="4" fillId="0" borderId="16" xfId="0" applyNumberFormat="1" applyFont="1" applyBorder="1"/>
    <xf numFmtId="3" fontId="4" fillId="0" borderId="17" xfId="0" applyNumberFormat="1" applyFont="1" applyBorder="1"/>
    <xf numFmtId="0" fontId="3" fillId="0" borderId="14" xfId="0" applyFont="1" applyFill="1" applyBorder="1"/>
    <xf numFmtId="0" fontId="4" fillId="0" borderId="13" xfId="0" applyFont="1" applyFill="1" applyBorder="1"/>
    <xf numFmtId="3" fontId="4" fillId="0" borderId="13" xfId="0" applyNumberFormat="1" applyFont="1" applyFill="1" applyBorder="1"/>
    <xf numFmtId="3" fontId="4" fillId="0" borderId="16" xfId="0" applyNumberFormat="1" applyFont="1" applyFill="1" applyBorder="1"/>
    <xf numFmtId="3" fontId="4" fillId="0" borderId="17" xfId="0" applyNumberFormat="1" applyFont="1" applyFill="1" applyBorder="1"/>
    <xf numFmtId="0" fontId="4" fillId="0" borderId="14" xfId="0" applyFont="1" applyBorder="1"/>
    <xf numFmtId="0" fontId="7" fillId="0" borderId="7" xfId="0" applyFont="1" applyBorder="1" applyAlignment="1">
      <alignment horizontal="center"/>
    </xf>
    <xf numFmtId="0" fontId="3" fillId="0" borderId="7" xfId="0" applyFont="1" applyBorder="1"/>
    <xf numFmtId="3" fontId="3" fillId="0" borderId="8" xfId="0" applyNumberFormat="1" applyFont="1" applyBorder="1"/>
    <xf numFmtId="3" fontId="3" fillId="0" borderId="9" xfId="0" applyNumberFormat="1" applyFont="1" applyBorder="1"/>
    <xf numFmtId="0" fontId="4" fillId="0" borderId="9" xfId="0" applyFont="1" applyBorder="1"/>
    <xf numFmtId="3" fontId="4" fillId="0" borderId="9" xfId="0" applyNumberFormat="1" applyFont="1" applyBorder="1"/>
    <xf numFmtId="3" fontId="3" fillId="0" borderId="9" xfId="0" applyNumberFormat="1" applyFont="1" applyFill="1" applyBorder="1"/>
    <xf numFmtId="3" fontId="4" fillId="0" borderId="10" xfId="0" applyNumberFormat="1" applyFont="1" applyBorder="1"/>
    <xf numFmtId="3" fontId="4" fillId="0" borderId="11" xfId="0" applyNumberFormat="1" applyFont="1" applyBorder="1"/>
    <xf numFmtId="0" fontId="7" fillId="0" borderId="0" xfId="0" applyFont="1" applyBorder="1" applyAlignment="1">
      <alignment horizontal="center"/>
    </xf>
    <xf numFmtId="3" fontId="4" fillId="0" borderId="0" xfId="0" applyNumberFormat="1" applyFont="1" applyBorder="1"/>
    <xf numFmtId="3" fontId="3" fillId="0" borderId="0" xfId="0" applyNumberFormat="1" applyFont="1" applyFill="1" applyBorder="1"/>
    <xf numFmtId="9" fontId="4" fillId="0" borderId="0" xfId="1" applyFont="1" applyFill="1" applyBorder="1"/>
    <xf numFmtId="0" fontId="4" fillId="0" borderId="0" xfId="0" applyFont="1" applyFill="1" applyBorder="1" applyAlignment="1">
      <alignment horizontal="center"/>
    </xf>
    <xf numFmtId="0" fontId="12" fillId="0" borderId="0" xfId="0" applyFont="1" applyFill="1" applyBorder="1" applyAlignment="1">
      <alignment horizontal="right"/>
    </xf>
    <xf numFmtId="0" fontId="11" fillId="0" borderId="0" xfId="0" applyFont="1" applyFill="1" applyBorder="1" applyAlignment="1">
      <alignment horizontal="right"/>
    </xf>
    <xf numFmtId="0" fontId="4" fillId="0" borderId="0" xfId="0" applyFont="1" applyBorder="1" applyAlignment="1">
      <alignment horizontal="center"/>
    </xf>
    <xf numFmtId="0" fontId="11" fillId="0" borderId="0" xfId="0" applyFont="1" applyBorder="1"/>
    <xf numFmtId="0" fontId="6" fillId="0" borderId="0" xfId="0" applyFont="1" applyBorder="1"/>
    <xf numFmtId="0" fontId="6" fillId="0" borderId="0" xfId="0" applyFont="1" applyFill="1" applyBorder="1"/>
    <xf numFmtId="0" fontId="11" fillId="0" borderId="0" xfId="0" applyFont="1" applyFill="1" applyBorder="1"/>
    <xf numFmtId="3" fontId="6" fillId="0" borderId="0" xfId="0" applyNumberFormat="1" applyFont="1" applyFill="1" applyBorder="1"/>
    <xf numFmtId="3" fontId="3" fillId="0" borderId="27" xfId="0" applyNumberFormat="1" applyFont="1" applyFill="1" applyBorder="1"/>
    <xf numFmtId="0" fontId="8" fillId="0" borderId="0" xfId="0" applyFont="1" applyBorder="1"/>
    <xf numFmtId="49" fontId="3" fillId="0" borderId="0" xfId="0" applyNumberFormat="1" applyFont="1" applyBorder="1"/>
    <xf numFmtId="0" fontId="3" fillId="0" borderId="3"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center"/>
    </xf>
    <xf numFmtId="0" fontId="11" fillId="0" borderId="33" xfId="0" applyFont="1" applyBorder="1"/>
    <xf numFmtId="3" fontId="3" fillId="0" borderId="33" xfId="0" applyNumberFormat="1" applyFont="1" applyBorder="1"/>
    <xf numFmtId="0" fontId="4" fillId="0" borderId="33" xfId="0" applyFont="1" applyBorder="1"/>
    <xf numFmtId="3" fontId="4" fillId="0" borderId="33" xfId="0" applyNumberFormat="1" applyFont="1" applyBorder="1"/>
    <xf numFmtId="3" fontId="3" fillId="0" borderId="33" xfId="0" applyNumberFormat="1" applyFont="1" applyFill="1" applyBorder="1"/>
    <xf numFmtId="0" fontId="3" fillId="0" borderId="33" xfId="0" applyFont="1" applyBorder="1"/>
    <xf numFmtId="3" fontId="3" fillId="0" borderId="34" xfId="0" applyNumberFormat="1" applyFont="1" applyFill="1" applyBorder="1"/>
    <xf numFmtId="0" fontId="3" fillId="0" borderId="23" xfId="0" applyFont="1" applyFill="1" applyBorder="1"/>
    <xf numFmtId="0" fontId="3" fillId="0" borderId="36" xfId="0" applyFont="1" applyBorder="1"/>
    <xf numFmtId="0" fontId="3" fillId="0" borderId="36" xfId="0" applyFont="1" applyFill="1" applyBorder="1"/>
    <xf numFmtId="0" fontId="4" fillId="0" borderId="36" xfId="0" applyFont="1" applyFill="1" applyBorder="1"/>
    <xf numFmtId="0" fontId="4" fillId="0" borderId="36" xfId="0" applyFont="1" applyBorder="1"/>
    <xf numFmtId="49" fontId="4" fillId="0" borderId="36" xfId="0" applyNumberFormat="1" applyFont="1" applyBorder="1" applyAlignment="1">
      <alignment horizontal="center"/>
    </xf>
    <xf numFmtId="0" fontId="11" fillId="0" borderId="36" xfId="0" applyFont="1" applyFill="1" applyBorder="1" applyAlignment="1">
      <alignment horizontal="right"/>
    </xf>
    <xf numFmtId="49" fontId="12" fillId="0" borderId="36" xfId="0" applyNumberFormat="1" applyFont="1" applyFill="1" applyBorder="1" applyAlignment="1">
      <alignment horizontal="right"/>
    </xf>
    <xf numFmtId="49" fontId="4" fillId="0" borderId="36" xfId="0" applyNumberFormat="1" applyFont="1" applyFill="1" applyBorder="1" applyAlignment="1">
      <alignment horizontal="center"/>
    </xf>
    <xf numFmtId="164" fontId="3" fillId="0" borderId="36" xfId="1" applyNumberFormat="1" applyFont="1" applyFill="1" applyBorder="1"/>
    <xf numFmtId="164" fontId="4" fillId="0" borderId="36" xfId="0" applyNumberFormat="1" applyFont="1" applyBorder="1" applyAlignment="1">
      <alignment horizontal="center"/>
    </xf>
    <xf numFmtId="164" fontId="3" fillId="0" borderId="36" xfId="0" applyNumberFormat="1" applyFont="1" applyBorder="1"/>
    <xf numFmtId="164" fontId="3" fillId="0" borderId="36" xfId="0" applyNumberFormat="1" applyFont="1" applyFill="1" applyBorder="1"/>
    <xf numFmtId="9" fontId="3" fillId="0" borderId="36" xfId="1" applyFont="1" applyFill="1" applyBorder="1"/>
    <xf numFmtId="0" fontId="3" fillId="0" borderId="37" xfId="0" applyFont="1" applyFill="1" applyBorder="1"/>
    <xf numFmtId="0" fontId="3" fillId="0" borderId="33" xfId="0" applyFont="1" applyFill="1" applyBorder="1"/>
    <xf numFmtId="0" fontId="4" fillId="0" borderId="33" xfId="0" applyFont="1" applyFill="1" applyBorder="1"/>
    <xf numFmtId="0" fontId="6" fillId="0" borderId="33" xfId="0" applyFont="1" applyBorder="1"/>
    <xf numFmtId="0" fontId="11" fillId="0" borderId="33" xfId="0" applyFont="1" applyFill="1" applyBorder="1" applyAlignment="1">
      <alignment horizontal="right"/>
    </xf>
    <xf numFmtId="0" fontId="6" fillId="0" borderId="33" xfId="0" applyFont="1" applyFill="1" applyBorder="1"/>
    <xf numFmtId="0" fontId="3" fillId="0" borderId="34" xfId="0" applyFont="1" applyFill="1" applyBorder="1"/>
    <xf numFmtId="0" fontId="3" fillId="0" borderId="32" xfId="0" applyFont="1" applyFill="1" applyBorder="1"/>
    <xf numFmtId="0" fontId="3" fillId="0" borderId="16" xfId="0" applyFont="1" applyBorder="1"/>
    <xf numFmtId="0" fontId="3" fillId="0" borderId="35" xfId="0" applyFont="1" applyBorder="1"/>
    <xf numFmtId="0" fontId="3" fillId="0" borderId="3" xfId="0" applyFont="1" applyBorder="1" applyAlignment="1">
      <alignment horizontal="center"/>
    </xf>
    <xf numFmtId="0" fontId="3" fillId="0" borderId="0" xfId="0" applyFont="1" applyBorder="1" applyAlignment="1">
      <alignment vertical="top"/>
    </xf>
    <xf numFmtId="0" fontId="11" fillId="0" borderId="32" xfId="0" applyFont="1" applyBorder="1"/>
    <xf numFmtId="0" fontId="3" fillId="0" borderId="2" xfId="0" applyFont="1" applyBorder="1" applyAlignment="1">
      <alignment horizontal="center"/>
    </xf>
    <xf numFmtId="0" fontId="3" fillId="0" borderId="3" xfId="0" applyFont="1" applyBorder="1" applyAlignment="1">
      <alignment horizontal="center"/>
    </xf>
    <xf numFmtId="0" fontId="11" fillId="0" borderId="0" xfId="0" applyFont="1" applyBorder="1" applyAlignment="1">
      <alignment wrapText="1"/>
    </xf>
    <xf numFmtId="0" fontId="0" fillId="0" borderId="0" xfId="0" applyAlignment="1">
      <alignment wrapText="1"/>
    </xf>
  </cellXfs>
  <cellStyles count="2">
    <cellStyle name="Normální" xfId="0" builtinId="0"/>
    <cellStyle name="Procent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71"/>
  <sheetViews>
    <sheetView tabSelected="1" workbookViewId="0">
      <selection activeCell="A3" sqref="A3"/>
    </sheetView>
  </sheetViews>
  <sheetFormatPr defaultRowHeight="12.75" x14ac:dyDescent="0.2"/>
  <cols>
    <col min="1" max="1" width="5.7109375" style="1" customWidth="1"/>
    <col min="2" max="2" width="26.85546875" style="1" customWidth="1"/>
    <col min="3" max="4" width="7.85546875" style="1" hidden="1" customWidth="1"/>
    <col min="5" max="5" width="7.85546875" style="2" hidden="1" customWidth="1"/>
    <col min="6" max="6" width="7.85546875" style="1" hidden="1" customWidth="1"/>
    <col min="7" max="7" width="7.85546875" style="2" hidden="1" customWidth="1"/>
    <col min="8" max="8" width="7.85546875" style="3" hidden="1" customWidth="1"/>
    <col min="9" max="9" width="7.85546875" style="2" hidden="1" customWidth="1"/>
    <col min="10" max="10" width="7.85546875" style="1" hidden="1" customWidth="1"/>
    <col min="11" max="11" width="7.85546875" style="2" hidden="1" customWidth="1"/>
    <col min="12" max="12" width="7.85546875" style="1" hidden="1" customWidth="1"/>
    <col min="13" max="13" width="7.85546875" style="2" hidden="1" customWidth="1"/>
    <col min="14" max="14" width="7.85546875" style="1" hidden="1" customWidth="1"/>
    <col min="15" max="15" width="7.85546875" style="2" hidden="1" customWidth="1"/>
    <col min="16" max="16" width="7.85546875" style="1" hidden="1" customWidth="1"/>
    <col min="17" max="17" width="7.85546875" style="2" hidden="1" customWidth="1"/>
    <col min="18" max="25" width="7.85546875" style="1" hidden="1" customWidth="1"/>
    <col min="26" max="27" width="8.85546875" style="1" hidden="1" customWidth="1"/>
    <col min="28" max="28" width="7.7109375" style="1" hidden="1" customWidth="1"/>
    <col min="29" max="29" width="4.7109375" style="1" hidden="1" customWidth="1"/>
    <col min="30" max="30" width="7.42578125" style="2" hidden="1" customWidth="1"/>
    <col min="31" max="31" width="5.85546875" style="1" hidden="1" customWidth="1"/>
    <col min="32" max="32" width="7.28515625" style="1" hidden="1" customWidth="1"/>
    <col min="33" max="33" width="5.85546875" style="1" hidden="1" customWidth="1"/>
    <col min="34" max="34" width="8.42578125" style="3" customWidth="1"/>
    <col min="35" max="35" width="5.85546875" style="3" customWidth="1"/>
    <col min="36" max="36" width="8.140625" style="3" customWidth="1"/>
    <col min="37" max="37" width="6" style="3" customWidth="1"/>
    <col min="38" max="38" width="7.28515625" style="3" customWidth="1"/>
    <col min="39" max="39" width="6" style="3" customWidth="1"/>
    <col min="40" max="40" width="8" style="3" customWidth="1"/>
    <col min="41" max="41" width="5" style="3" customWidth="1"/>
    <col min="42" max="42" width="8" style="3" customWidth="1"/>
    <col min="43" max="43" width="6" style="3" customWidth="1"/>
    <col min="44" max="44" width="8" style="3" customWidth="1"/>
    <col min="45" max="45" width="4.7109375" style="3" customWidth="1"/>
    <col min="46" max="46" width="7.42578125" style="3" customWidth="1"/>
    <col min="47" max="47" width="6" style="3" customWidth="1"/>
    <col min="48" max="48" width="7.28515625" style="3" customWidth="1"/>
    <col min="49" max="49" width="6" style="3" customWidth="1"/>
    <col min="50" max="50" width="8" style="3" customWidth="1"/>
    <col min="51" max="51" width="5.140625" style="3" customWidth="1"/>
    <col min="52" max="52" width="4" style="1" customWidth="1"/>
    <col min="53" max="53" width="31.42578125" style="2" bestFit="1" customWidth="1"/>
    <col min="54" max="60" width="10.42578125" style="1" customWidth="1"/>
    <col min="61" max="260" width="9.140625" style="1"/>
    <col min="261" max="261" width="5.7109375" style="1" customWidth="1"/>
    <col min="262" max="262" width="27.85546875" style="1" bestFit="1" customWidth="1"/>
    <col min="263" max="287" width="0" style="1" hidden="1" customWidth="1"/>
    <col min="288" max="288" width="7.7109375" style="1" customWidth="1"/>
    <col min="289" max="289" width="4.7109375" style="1" customWidth="1"/>
    <col min="290" max="290" width="7.42578125" style="1" customWidth="1"/>
    <col min="291" max="291" width="5.85546875" style="1" customWidth="1"/>
    <col min="292" max="293" width="0" style="1" hidden="1" customWidth="1"/>
    <col min="294" max="294" width="7.28515625" style="1" customWidth="1"/>
    <col min="295" max="295" width="5.85546875" style="1" customWidth="1"/>
    <col min="296" max="296" width="8.140625" style="1" customWidth="1"/>
    <col min="297" max="297" width="6" style="1" customWidth="1"/>
    <col min="298" max="298" width="7.28515625" style="1" customWidth="1"/>
    <col min="299" max="299" width="6" style="1" customWidth="1"/>
    <col min="300" max="300" width="8" style="1" customWidth="1"/>
    <col min="301" max="301" width="5" style="1" customWidth="1"/>
    <col min="302" max="302" width="8" style="1" customWidth="1"/>
    <col min="303" max="303" width="6" style="1" customWidth="1"/>
    <col min="304" max="304" width="8" style="1" customWidth="1"/>
    <col min="305" max="305" width="6" style="1" customWidth="1"/>
    <col min="306" max="306" width="4" style="1" customWidth="1"/>
    <col min="307" max="307" width="31.42578125" style="1" bestFit="1" customWidth="1"/>
    <col min="308" max="313" width="9.140625" style="1"/>
    <col min="314" max="314" width="9.140625" style="1" customWidth="1"/>
    <col min="315" max="516" width="9.140625" style="1"/>
    <col min="517" max="517" width="5.7109375" style="1" customWidth="1"/>
    <col min="518" max="518" width="27.85546875" style="1" bestFit="1" customWidth="1"/>
    <col min="519" max="543" width="0" style="1" hidden="1" customWidth="1"/>
    <col min="544" max="544" width="7.7109375" style="1" customWidth="1"/>
    <col min="545" max="545" width="4.7109375" style="1" customWidth="1"/>
    <col min="546" max="546" width="7.42578125" style="1" customWidth="1"/>
    <col min="547" max="547" width="5.85546875" style="1" customWidth="1"/>
    <col min="548" max="549" width="0" style="1" hidden="1" customWidth="1"/>
    <col min="550" max="550" width="7.28515625" style="1" customWidth="1"/>
    <col min="551" max="551" width="5.85546875" style="1" customWidth="1"/>
    <col min="552" max="552" width="8.140625" style="1" customWidth="1"/>
    <col min="553" max="553" width="6" style="1" customWidth="1"/>
    <col min="554" max="554" width="7.28515625" style="1" customWidth="1"/>
    <col min="555" max="555" width="6" style="1" customWidth="1"/>
    <col min="556" max="556" width="8" style="1" customWidth="1"/>
    <col min="557" max="557" width="5" style="1" customWidth="1"/>
    <col min="558" max="558" width="8" style="1" customWidth="1"/>
    <col min="559" max="559" width="6" style="1" customWidth="1"/>
    <col min="560" max="560" width="8" style="1" customWidth="1"/>
    <col min="561" max="561" width="6" style="1" customWidth="1"/>
    <col min="562" max="562" width="4" style="1" customWidth="1"/>
    <col min="563" max="563" width="31.42578125" style="1" bestFit="1" customWidth="1"/>
    <col min="564" max="569" width="9.140625" style="1"/>
    <col min="570" max="570" width="9.140625" style="1" customWidth="1"/>
    <col min="571" max="772" width="9.140625" style="1"/>
    <col min="773" max="773" width="5.7109375" style="1" customWidth="1"/>
    <col min="774" max="774" width="27.85546875" style="1" bestFit="1" customWidth="1"/>
    <col min="775" max="799" width="0" style="1" hidden="1" customWidth="1"/>
    <col min="800" max="800" width="7.7109375" style="1" customWidth="1"/>
    <col min="801" max="801" width="4.7109375" style="1" customWidth="1"/>
    <col min="802" max="802" width="7.42578125" style="1" customWidth="1"/>
    <col min="803" max="803" width="5.85546875" style="1" customWidth="1"/>
    <col min="804" max="805" width="0" style="1" hidden="1" customWidth="1"/>
    <col min="806" max="806" width="7.28515625" style="1" customWidth="1"/>
    <col min="807" max="807" width="5.85546875" style="1" customWidth="1"/>
    <col min="808" max="808" width="8.140625" style="1" customWidth="1"/>
    <col min="809" max="809" width="6" style="1" customWidth="1"/>
    <col min="810" max="810" width="7.28515625" style="1" customWidth="1"/>
    <col min="811" max="811" width="6" style="1" customWidth="1"/>
    <col min="812" max="812" width="8" style="1" customWidth="1"/>
    <col min="813" max="813" width="5" style="1" customWidth="1"/>
    <col min="814" max="814" width="8" style="1" customWidth="1"/>
    <col min="815" max="815" width="6" style="1" customWidth="1"/>
    <col min="816" max="816" width="8" style="1" customWidth="1"/>
    <col min="817" max="817" width="6" style="1" customWidth="1"/>
    <col min="818" max="818" width="4" style="1" customWidth="1"/>
    <col min="819" max="819" width="31.42578125" style="1" bestFit="1" customWidth="1"/>
    <col min="820" max="825" width="9.140625" style="1"/>
    <col min="826" max="826" width="9.140625" style="1" customWidth="1"/>
    <col min="827" max="1028" width="9.140625" style="1"/>
    <col min="1029" max="1029" width="5.7109375" style="1" customWidth="1"/>
    <col min="1030" max="1030" width="27.85546875" style="1" bestFit="1" customWidth="1"/>
    <col min="1031" max="1055" width="0" style="1" hidden="1" customWidth="1"/>
    <col min="1056" max="1056" width="7.7109375" style="1" customWidth="1"/>
    <col min="1057" max="1057" width="4.7109375" style="1" customWidth="1"/>
    <col min="1058" max="1058" width="7.42578125" style="1" customWidth="1"/>
    <col min="1059" max="1059" width="5.85546875" style="1" customWidth="1"/>
    <col min="1060" max="1061" width="0" style="1" hidden="1" customWidth="1"/>
    <col min="1062" max="1062" width="7.28515625" style="1" customWidth="1"/>
    <col min="1063" max="1063" width="5.85546875" style="1" customWidth="1"/>
    <col min="1064" max="1064" width="8.140625" style="1" customWidth="1"/>
    <col min="1065" max="1065" width="6" style="1" customWidth="1"/>
    <col min="1066" max="1066" width="7.28515625" style="1" customWidth="1"/>
    <col min="1067" max="1067" width="6" style="1" customWidth="1"/>
    <col min="1068" max="1068" width="8" style="1" customWidth="1"/>
    <col min="1069" max="1069" width="5" style="1" customWidth="1"/>
    <col min="1070" max="1070" width="8" style="1" customWidth="1"/>
    <col min="1071" max="1071" width="6" style="1" customWidth="1"/>
    <col min="1072" max="1072" width="8" style="1" customWidth="1"/>
    <col min="1073" max="1073" width="6" style="1" customWidth="1"/>
    <col min="1074" max="1074" width="4" style="1" customWidth="1"/>
    <col min="1075" max="1075" width="31.42578125" style="1" bestFit="1" customWidth="1"/>
    <col min="1076" max="1081" width="9.140625" style="1"/>
    <col min="1082" max="1082" width="9.140625" style="1" customWidth="1"/>
    <col min="1083" max="1284" width="9.140625" style="1"/>
    <col min="1285" max="1285" width="5.7109375" style="1" customWidth="1"/>
    <col min="1286" max="1286" width="27.85546875" style="1" bestFit="1" customWidth="1"/>
    <col min="1287" max="1311" width="0" style="1" hidden="1" customWidth="1"/>
    <col min="1312" max="1312" width="7.7109375" style="1" customWidth="1"/>
    <col min="1313" max="1313" width="4.7109375" style="1" customWidth="1"/>
    <col min="1314" max="1314" width="7.42578125" style="1" customWidth="1"/>
    <col min="1315" max="1315" width="5.85546875" style="1" customWidth="1"/>
    <col min="1316" max="1317" width="0" style="1" hidden="1" customWidth="1"/>
    <col min="1318" max="1318" width="7.28515625" style="1" customWidth="1"/>
    <col min="1319" max="1319" width="5.85546875" style="1" customWidth="1"/>
    <col min="1320" max="1320" width="8.140625" style="1" customWidth="1"/>
    <col min="1321" max="1321" width="6" style="1" customWidth="1"/>
    <col min="1322" max="1322" width="7.28515625" style="1" customWidth="1"/>
    <col min="1323" max="1323" width="6" style="1" customWidth="1"/>
    <col min="1324" max="1324" width="8" style="1" customWidth="1"/>
    <col min="1325" max="1325" width="5" style="1" customWidth="1"/>
    <col min="1326" max="1326" width="8" style="1" customWidth="1"/>
    <col min="1327" max="1327" width="6" style="1" customWidth="1"/>
    <col min="1328" max="1328" width="8" style="1" customWidth="1"/>
    <col min="1329" max="1329" width="6" style="1" customWidth="1"/>
    <col min="1330" max="1330" width="4" style="1" customWidth="1"/>
    <col min="1331" max="1331" width="31.42578125" style="1" bestFit="1" customWidth="1"/>
    <col min="1332" max="1337" width="9.140625" style="1"/>
    <col min="1338" max="1338" width="9.140625" style="1" customWidth="1"/>
    <col min="1339" max="1540" width="9.140625" style="1"/>
    <col min="1541" max="1541" width="5.7109375" style="1" customWidth="1"/>
    <col min="1542" max="1542" width="27.85546875" style="1" bestFit="1" customWidth="1"/>
    <col min="1543" max="1567" width="0" style="1" hidden="1" customWidth="1"/>
    <col min="1568" max="1568" width="7.7109375" style="1" customWidth="1"/>
    <col min="1569" max="1569" width="4.7109375" style="1" customWidth="1"/>
    <col min="1570" max="1570" width="7.42578125" style="1" customWidth="1"/>
    <col min="1571" max="1571" width="5.85546875" style="1" customWidth="1"/>
    <col min="1572" max="1573" width="0" style="1" hidden="1" customWidth="1"/>
    <col min="1574" max="1574" width="7.28515625" style="1" customWidth="1"/>
    <col min="1575" max="1575" width="5.85546875" style="1" customWidth="1"/>
    <col min="1576" max="1576" width="8.140625" style="1" customWidth="1"/>
    <col min="1577" max="1577" width="6" style="1" customWidth="1"/>
    <col min="1578" max="1578" width="7.28515625" style="1" customWidth="1"/>
    <col min="1579" max="1579" width="6" style="1" customWidth="1"/>
    <col min="1580" max="1580" width="8" style="1" customWidth="1"/>
    <col min="1581" max="1581" width="5" style="1" customWidth="1"/>
    <col min="1582" max="1582" width="8" style="1" customWidth="1"/>
    <col min="1583" max="1583" width="6" style="1" customWidth="1"/>
    <col min="1584" max="1584" width="8" style="1" customWidth="1"/>
    <col min="1585" max="1585" width="6" style="1" customWidth="1"/>
    <col min="1586" max="1586" width="4" style="1" customWidth="1"/>
    <col min="1587" max="1587" width="31.42578125" style="1" bestFit="1" customWidth="1"/>
    <col min="1588" max="1593" width="9.140625" style="1"/>
    <col min="1594" max="1594" width="9.140625" style="1" customWidth="1"/>
    <col min="1595" max="1796" width="9.140625" style="1"/>
    <col min="1797" max="1797" width="5.7109375" style="1" customWidth="1"/>
    <col min="1798" max="1798" width="27.85546875" style="1" bestFit="1" customWidth="1"/>
    <col min="1799" max="1823" width="0" style="1" hidden="1" customWidth="1"/>
    <col min="1824" max="1824" width="7.7109375" style="1" customWidth="1"/>
    <col min="1825" max="1825" width="4.7109375" style="1" customWidth="1"/>
    <col min="1826" max="1826" width="7.42578125" style="1" customWidth="1"/>
    <col min="1827" max="1827" width="5.85546875" style="1" customWidth="1"/>
    <col min="1828" max="1829" width="0" style="1" hidden="1" customWidth="1"/>
    <col min="1830" max="1830" width="7.28515625" style="1" customWidth="1"/>
    <col min="1831" max="1831" width="5.85546875" style="1" customWidth="1"/>
    <col min="1832" max="1832" width="8.140625" style="1" customWidth="1"/>
    <col min="1833" max="1833" width="6" style="1" customWidth="1"/>
    <col min="1834" max="1834" width="7.28515625" style="1" customWidth="1"/>
    <col min="1835" max="1835" width="6" style="1" customWidth="1"/>
    <col min="1836" max="1836" width="8" style="1" customWidth="1"/>
    <col min="1837" max="1837" width="5" style="1" customWidth="1"/>
    <col min="1838" max="1838" width="8" style="1" customWidth="1"/>
    <col min="1839" max="1839" width="6" style="1" customWidth="1"/>
    <col min="1840" max="1840" width="8" style="1" customWidth="1"/>
    <col min="1841" max="1841" width="6" style="1" customWidth="1"/>
    <col min="1842" max="1842" width="4" style="1" customWidth="1"/>
    <col min="1843" max="1843" width="31.42578125" style="1" bestFit="1" customWidth="1"/>
    <col min="1844" max="1849" width="9.140625" style="1"/>
    <col min="1850" max="1850" width="9.140625" style="1" customWidth="1"/>
    <col min="1851" max="2052" width="9.140625" style="1"/>
    <col min="2053" max="2053" width="5.7109375" style="1" customWidth="1"/>
    <col min="2054" max="2054" width="27.85546875" style="1" bestFit="1" customWidth="1"/>
    <col min="2055" max="2079" width="0" style="1" hidden="1" customWidth="1"/>
    <col min="2080" max="2080" width="7.7109375" style="1" customWidth="1"/>
    <col min="2081" max="2081" width="4.7109375" style="1" customWidth="1"/>
    <col min="2082" max="2082" width="7.42578125" style="1" customWidth="1"/>
    <col min="2083" max="2083" width="5.85546875" style="1" customWidth="1"/>
    <col min="2084" max="2085" width="0" style="1" hidden="1" customWidth="1"/>
    <col min="2086" max="2086" width="7.28515625" style="1" customWidth="1"/>
    <col min="2087" max="2087" width="5.85546875" style="1" customWidth="1"/>
    <col min="2088" max="2088" width="8.140625" style="1" customWidth="1"/>
    <col min="2089" max="2089" width="6" style="1" customWidth="1"/>
    <col min="2090" max="2090" width="7.28515625" style="1" customWidth="1"/>
    <col min="2091" max="2091" width="6" style="1" customWidth="1"/>
    <col min="2092" max="2092" width="8" style="1" customWidth="1"/>
    <col min="2093" max="2093" width="5" style="1" customWidth="1"/>
    <col min="2094" max="2094" width="8" style="1" customWidth="1"/>
    <col min="2095" max="2095" width="6" style="1" customWidth="1"/>
    <col min="2096" max="2096" width="8" style="1" customWidth="1"/>
    <col min="2097" max="2097" width="6" style="1" customWidth="1"/>
    <col min="2098" max="2098" width="4" style="1" customWidth="1"/>
    <col min="2099" max="2099" width="31.42578125" style="1" bestFit="1" customWidth="1"/>
    <col min="2100" max="2105" width="9.140625" style="1"/>
    <col min="2106" max="2106" width="9.140625" style="1" customWidth="1"/>
    <col min="2107" max="2308" width="9.140625" style="1"/>
    <col min="2309" max="2309" width="5.7109375" style="1" customWidth="1"/>
    <col min="2310" max="2310" width="27.85546875" style="1" bestFit="1" customWidth="1"/>
    <col min="2311" max="2335" width="0" style="1" hidden="1" customWidth="1"/>
    <col min="2336" max="2336" width="7.7109375" style="1" customWidth="1"/>
    <col min="2337" max="2337" width="4.7109375" style="1" customWidth="1"/>
    <col min="2338" max="2338" width="7.42578125" style="1" customWidth="1"/>
    <col min="2339" max="2339" width="5.85546875" style="1" customWidth="1"/>
    <col min="2340" max="2341" width="0" style="1" hidden="1" customWidth="1"/>
    <col min="2342" max="2342" width="7.28515625" style="1" customWidth="1"/>
    <col min="2343" max="2343" width="5.85546875" style="1" customWidth="1"/>
    <col min="2344" max="2344" width="8.140625" style="1" customWidth="1"/>
    <col min="2345" max="2345" width="6" style="1" customWidth="1"/>
    <col min="2346" max="2346" width="7.28515625" style="1" customWidth="1"/>
    <col min="2347" max="2347" width="6" style="1" customWidth="1"/>
    <col min="2348" max="2348" width="8" style="1" customWidth="1"/>
    <col min="2349" max="2349" width="5" style="1" customWidth="1"/>
    <col min="2350" max="2350" width="8" style="1" customWidth="1"/>
    <col min="2351" max="2351" width="6" style="1" customWidth="1"/>
    <col min="2352" max="2352" width="8" style="1" customWidth="1"/>
    <col min="2353" max="2353" width="6" style="1" customWidth="1"/>
    <col min="2354" max="2354" width="4" style="1" customWidth="1"/>
    <col min="2355" max="2355" width="31.42578125" style="1" bestFit="1" customWidth="1"/>
    <col min="2356" max="2361" width="9.140625" style="1"/>
    <col min="2362" max="2362" width="9.140625" style="1" customWidth="1"/>
    <col min="2363" max="2564" width="9.140625" style="1"/>
    <col min="2565" max="2565" width="5.7109375" style="1" customWidth="1"/>
    <col min="2566" max="2566" width="27.85546875" style="1" bestFit="1" customWidth="1"/>
    <col min="2567" max="2591" width="0" style="1" hidden="1" customWidth="1"/>
    <col min="2592" max="2592" width="7.7109375" style="1" customWidth="1"/>
    <col min="2593" max="2593" width="4.7109375" style="1" customWidth="1"/>
    <col min="2594" max="2594" width="7.42578125" style="1" customWidth="1"/>
    <col min="2595" max="2595" width="5.85546875" style="1" customWidth="1"/>
    <col min="2596" max="2597" width="0" style="1" hidden="1" customWidth="1"/>
    <col min="2598" max="2598" width="7.28515625" style="1" customWidth="1"/>
    <col min="2599" max="2599" width="5.85546875" style="1" customWidth="1"/>
    <col min="2600" max="2600" width="8.140625" style="1" customWidth="1"/>
    <col min="2601" max="2601" width="6" style="1" customWidth="1"/>
    <col min="2602" max="2602" width="7.28515625" style="1" customWidth="1"/>
    <col min="2603" max="2603" width="6" style="1" customWidth="1"/>
    <col min="2604" max="2604" width="8" style="1" customWidth="1"/>
    <col min="2605" max="2605" width="5" style="1" customWidth="1"/>
    <col min="2606" max="2606" width="8" style="1" customWidth="1"/>
    <col min="2607" max="2607" width="6" style="1" customWidth="1"/>
    <col min="2608" max="2608" width="8" style="1" customWidth="1"/>
    <col min="2609" max="2609" width="6" style="1" customWidth="1"/>
    <col min="2610" max="2610" width="4" style="1" customWidth="1"/>
    <col min="2611" max="2611" width="31.42578125" style="1" bestFit="1" customWidth="1"/>
    <col min="2612" max="2617" width="9.140625" style="1"/>
    <col min="2618" max="2618" width="9.140625" style="1" customWidth="1"/>
    <col min="2619" max="2820" width="9.140625" style="1"/>
    <col min="2821" max="2821" width="5.7109375" style="1" customWidth="1"/>
    <col min="2822" max="2822" width="27.85546875" style="1" bestFit="1" customWidth="1"/>
    <col min="2823" max="2847" width="0" style="1" hidden="1" customWidth="1"/>
    <col min="2848" max="2848" width="7.7109375" style="1" customWidth="1"/>
    <col min="2849" max="2849" width="4.7109375" style="1" customWidth="1"/>
    <col min="2850" max="2850" width="7.42578125" style="1" customWidth="1"/>
    <col min="2851" max="2851" width="5.85546875" style="1" customWidth="1"/>
    <col min="2852" max="2853" width="0" style="1" hidden="1" customWidth="1"/>
    <col min="2854" max="2854" width="7.28515625" style="1" customWidth="1"/>
    <col min="2855" max="2855" width="5.85546875" style="1" customWidth="1"/>
    <col min="2856" max="2856" width="8.140625" style="1" customWidth="1"/>
    <col min="2857" max="2857" width="6" style="1" customWidth="1"/>
    <col min="2858" max="2858" width="7.28515625" style="1" customWidth="1"/>
    <col min="2859" max="2859" width="6" style="1" customWidth="1"/>
    <col min="2860" max="2860" width="8" style="1" customWidth="1"/>
    <col min="2861" max="2861" width="5" style="1" customWidth="1"/>
    <col min="2862" max="2862" width="8" style="1" customWidth="1"/>
    <col min="2863" max="2863" width="6" style="1" customWidth="1"/>
    <col min="2864" max="2864" width="8" style="1" customWidth="1"/>
    <col min="2865" max="2865" width="6" style="1" customWidth="1"/>
    <col min="2866" max="2866" width="4" style="1" customWidth="1"/>
    <col min="2867" max="2867" width="31.42578125" style="1" bestFit="1" customWidth="1"/>
    <col min="2868" max="2873" width="9.140625" style="1"/>
    <col min="2874" max="2874" width="9.140625" style="1" customWidth="1"/>
    <col min="2875" max="3076" width="9.140625" style="1"/>
    <col min="3077" max="3077" width="5.7109375" style="1" customWidth="1"/>
    <col min="3078" max="3078" width="27.85546875" style="1" bestFit="1" customWidth="1"/>
    <col min="3079" max="3103" width="0" style="1" hidden="1" customWidth="1"/>
    <col min="3104" max="3104" width="7.7109375" style="1" customWidth="1"/>
    <col min="3105" max="3105" width="4.7109375" style="1" customWidth="1"/>
    <col min="3106" max="3106" width="7.42578125" style="1" customWidth="1"/>
    <col min="3107" max="3107" width="5.85546875" style="1" customWidth="1"/>
    <col min="3108" max="3109" width="0" style="1" hidden="1" customWidth="1"/>
    <col min="3110" max="3110" width="7.28515625" style="1" customWidth="1"/>
    <col min="3111" max="3111" width="5.85546875" style="1" customWidth="1"/>
    <col min="3112" max="3112" width="8.140625" style="1" customWidth="1"/>
    <col min="3113" max="3113" width="6" style="1" customWidth="1"/>
    <col min="3114" max="3114" width="7.28515625" style="1" customWidth="1"/>
    <col min="3115" max="3115" width="6" style="1" customWidth="1"/>
    <col min="3116" max="3116" width="8" style="1" customWidth="1"/>
    <col min="3117" max="3117" width="5" style="1" customWidth="1"/>
    <col min="3118" max="3118" width="8" style="1" customWidth="1"/>
    <col min="3119" max="3119" width="6" style="1" customWidth="1"/>
    <col min="3120" max="3120" width="8" style="1" customWidth="1"/>
    <col min="3121" max="3121" width="6" style="1" customWidth="1"/>
    <col min="3122" max="3122" width="4" style="1" customWidth="1"/>
    <col min="3123" max="3123" width="31.42578125" style="1" bestFit="1" customWidth="1"/>
    <col min="3124" max="3129" width="9.140625" style="1"/>
    <col min="3130" max="3130" width="9.140625" style="1" customWidth="1"/>
    <col min="3131" max="3332" width="9.140625" style="1"/>
    <col min="3333" max="3333" width="5.7109375" style="1" customWidth="1"/>
    <col min="3334" max="3334" width="27.85546875" style="1" bestFit="1" customWidth="1"/>
    <col min="3335" max="3359" width="0" style="1" hidden="1" customWidth="1"/>
    <col min="3360" max="3360" width="7.7109375" style="1" customWidth="1"/>
    <col min="3361" max="3361" width="4.7109375" style="1" customWidth="1"/>
    <col min="3362" max="3362" width="7.42578125" style="1" customWidth="1"/>
    <col min="3363" max="3363" width="5.85546875" style="1" customWidth="1"/>
    <col min="3364" max="3365" width="0" style="1" hidden="1" customWidth="1"/>
    <col min="3366" max="3366" width="7.28515625" style="1" customWidth="1"/>
    <col min="3367" max="3367" width="5.85546875" style="1" customWidth="1"/>
    <col min="3368" max="3368" width="8.140625" style="1" customWidth="1"/>
    <col min="3369" max="3369" width="6" style="1" customWidth="1"/>
    <col min="3370" max="3370" width="7.28515625" style="1" customWidth="1"/>
    <col min="3371" max="3371" width="6" style="1" customWidth="1"/>
    <col min="3372" max="3372" width="8" style="1" customWidth="1"/>
    <col min="3373" max="3373" width="5" style="1" customWidth="1"/>
    <col min="3374" max="3374" width="8" style="1" customWidth="1"/>
    <col min="3375" max="3375" width="6" style="1" customWidth="1"/>
    <col min="3376" max="3376" width="8" style="1" customWidth="1"/>
    <col min="3377" max="3377" width="6" style="1" customWidth="1"/>
    <col min="3378" max="3378" width="4" style="1" customWidth="1"/>
    <col min="3379" max="3379" width="31.42578125" style="1" bestFit="1" customWidth="1"/>
    <col min="3380" max="3385" width="9.140625" style="1"/>
    <col min="3386" max="3386" width="9.140625" style="1" customWidth="1"/>
    <col min="3387" max="3588" width="9.140625" style="1"/>
    <col min="3589" max="3589" width="5.7109375" style="1" customWidth="1"/>
    <col min="3590" max="3590" width="27.85546875" style="1" bestFit="1" customWidth="1"/>
    <col min="3591" max="3615" width="0" style="1" hidden="1" customWidth="1"/>
    <col min="3616" max="3616" width="7.7109375" style="1" customWidth="1"/>
    <col min="3617" max="3617" width="4.7109375" style="1" customWidth="1"/>
    <col min="3618" max="3618" width="7.42578125" style="1" customWidth="1"/>
    <col min="3619" max="3619" width="5.85546875" style="1" customWidth="1"/>
    <col min="3620" max="3621" width="0" style="1" hidden="1" customWidth="1"/>
    <col min="3622" max="3622" width="7.28515625" style="1" customWidth="1"/>
    <col min="3623" max="3623" width="5.85546875" style="1" customWidth="1"/>
    <col min="3624" max="3624" width="8.140625" style="1" customWidth="1"/>
    <col min="3625" max="3625" width="6" style="1" customWidth="1"/>
    <col min="3626" max="3626" width="7.28515625" style="1" customWidth="1"/>
    <col min="3627" max="3627" width="6" style="1" customWidth="1"/>
    <col min="3628" max="3628" width="8" style="1" customWidth="1"/>
    <col min="3629" max="3629" width="5" style="1" customWidth="1"/>
    <col min="3630" max="3630" width="8" style="1" customWidth="1"/>
    <col min="3631" max="3631" width="6" style="1" customWidth="1"/>
    <col min="3632" max="3632" width="8" style="1" customWidth="1"/>
    <col min="3633" max="3633" width="6" style="1" customWidth="1"/>
    <col min="3634" max="3634" width="4" style="1" customWidth="1"/>
    <col min="3635" max="3635" width="31.42578125" style="1" bestFit="1" customWidth="1"/>
    <col min="3636" max="3641" width="9.140625" style="1"/>
    <col min="3642" max="3642" width="9.140625" style="1" customWidth="1"/>
    <col min="3643" max="3844" width="9.140625" style="1"/>
    <col min="3845" max="3845" width="5.7109375" style="1" customWidth="1"/>
    <col min="3846" max="3846" width="27.85546875" style="1" bestFit="1" customWidth="1"/>
    <col min="3847" max="3871" width="0" style="1" hidden="1" customWidth="1"/>
    <col min="3872" max="3872" width="7.7109375" style="1" customWidth="1"/>
    <col min="3873" max="3873" width="4.7109375" style="1" customWidth="1"/>
    <col min="3874" max="3874" width="7.42578125" style="1" customWidth="1"/>
    <col min="3875" max="3875" width="5.85546875" style="1" customWidth="1"/>
    <col min="3876" max="3877" width="0" style="1" hidden="1" customWidth="1"/>
    <col min="3878" max="3878" width="7.28515625" style="1" customWidth="1"/>
    <col min="3879" max="3879" width="5.85546875" style="1" customWidth="1"/>
    <col min="3880" max="3880" width="8.140625" style="1" customWidth="1"/>
    <col min="3881" max="3881" width="6" style="1" customWidth="1"/>
    <col min="3882" max="3882" width="7.28515625" style="1" customWidth="1"/>
    <col min="3883" max="3883" width="6" style="1" customWidth="1"/>
    <col min="3884" max="3884" width="8" style="1" customWidth="1"/>
    <col min="3885" max="3885" width="5" style="1" customWidth="1"/>
    <col min="3886" max="3886" width="8" style="1" customWidth="1"/>
    <col min="3887" max="3887" width="6" style="1" customWidth="1"/>
    <col min="3888" max="3888" width="8" style="1" customWidth="1"/>
    <col min="3889" max="3889" width="6" style="1" customWidth="1"/>
    <col min="3890" max="3890" width="4" style="1" customWidth="1"/>
    <col min="3891" max="3891" width="31.42578125" style="1" bestFit="1" customWidth="1"/>
    <col min="3892" max="3897" width="9.140625" style="1"/>
    <col min="3898" max="3898" width="9.140625" style="1" customWidth="1"/>
    <col min="3899" max="4100" width="9.140625" style="1"/>
    <col min="4101" max="4101" width="5.7109375" style="1" customWidth="1"/>
    <col min="4102" max="4102" width="27.85546875" style="1" bestFit="1" customWidth="1"/>
    <col min="4103" max="4127" width="0" style="1" hidden="1" customWidth="1"/>
    <col min="4128" max="4128" width="7.7109375" style="1" customWidth="1"/>
    <col min="4129" max="4129" width="4.7109375" style="1" customWidth="1"/>
    <col min="4130" max="4130" width="7.42578125" style="1" customWidth="1"/>
    <col min="4131" max="4131" width="5.85546875" style="1" customWidth="1"/>
    <col min="4132" max="4133" width="0" style="1" hidden="1" customWidth="1"/>
    <col min="4134" max="4134" width="7.28515625" style="1" customWidth="1"/>
    <col min="4135" max="4135" width="5.85546875" style="1" customWidth="1"/>
    <col min="4136" max="4136" width="8.140625" style="1" customWidth="1"/>
    <col min="4137" max="4137" width="6" style="1" customWidth="1"/>
    <col min="4138" max="4138" width="7.28515625" style="1" customWidth="1"/>
    <col min="4139" max="4139" width="6" style="1" customWidth="1"/>
    <col min="4140" max="4140" width="8" style="1" customWidth="1"/>
    <col min="4141" max="4141" width="5" style="1" customWidth="1"/>
    <col min="4142" max="4142" width="8" style="1" customWidth="1"/>
    <col min="4143" max="4143" width="6" style="1" customWidth="1"/>
    <col min="4144" max="4144" width="8" style="1" customWidth="1"/>
    <col min="4145" max="4145" width="6" style="1" customWidth="1"/>
    <col min="4146" max="4146" width="4" style="1" customWidth="1"/>
    <col min="4147" max="4147" width="31.42578125" style="1" bestFit="1" customWidth="1"/>
    <col min="4148" max="4153" width="9.140625" style="1"/>
    <col min="4154" max="4154" width="9.140625" style="1" customWidth="1"/>
    <col min="4155" max="4356" width="9.140625" style="1"/>
    <col min="4357" max="4357" width="5.7109375" style="1" customWidth="1"/>
    <col min="4358" max="4358" width="27.85546875" style="1" bestFit="1" customWidth="1"/>
    <col min="4359" max="4383" width="0" style="1" hidden="1" customWidth="1"/>
    <col min="4384" max="4384" width="7.7109375" style="1" customWidth="1"/>
    <col min="4385" max="4385" width="4.7109375" style="1" customWidth="1"/>
    <col min="4386" max="4386" width="7.42578125" style="1" customWidth="1"/>
    <col min="4387" max="4387" width="5.85546875" style="1" customWidth="1"/>
    <col min="4388" max="4389" width="0" style="1" hidden="1" customWidth="1"/>
    <col min="4390" max="4390" width="7.28515625" style="1" customWidth="1"/>
    <col min="4391" max="4391" width="5.85546875" style="1" customWidth="1"/>
    <col min="4392" max="4392" width="8.140625" style="1" customWidth="1"/>
    <col min="4393" max="4393" width="6" style="1" customWidth="1"/>
    <col min="4394" max="4394" width="7.28515625" style="1" customWidth="1"/>
    <col min="4395" max="4395" width="6" style="1" customWidth="1"/>
    <col min="4396" max="4396" width="8" style="1" customWidth="1"/>
    <col min="4397" max="4397" width="5" style="1" customWidth="1"/>
    <col min="4398" max="4398" width="8" style="1" customWidth="1"/>
    <col min="4399" max="4399" width="6" style="1" customWidth="1"/>
    <col min="4400" max="4400" width="8" style="1" customWidth="1"/>
    <col min="4401" max="4401" width="6" style="1" customWidth="1"/>
    <col min="4402" max="4402" width="4" style="1" customWidth="1"/>
    <col min="4403" max="4403" width="31.42578125" style="1" bestFit="1" customWidth="1"/>
    <col min="4404" max="4409" width="9.140625" style="1"/>
    <col min="4410" max="4410" width="9.140625" style="1" customWidth="1"/>
    <col min="4411" max="4612" width="9.140625" style="1"/>
    <col min="4613" max="4613" width="5.7109375" style="1" customWidth="1"/>
    <col min="4614" max="4614" width="27.85546875" style="1" bestFit="1" customWidth="1"/>
    <col min="4615" max="4639" width="0" style="1" hidden="1" customWidth="1"/>
    <col min="4640" max="4640" width="7.7109375" style="1" customWidth="1"/>
    <col min="4641" max="4641" width="4.7109375" style="1" customWidth="1"/>
    <col min="4642" max="4642" width="7.42578125" style="1" customWidth="1"/>
    <col min="4643" max="4643" width="5.85546875" style="1" customWidth="1"/>
    <col min="4644" max="4645" width="0" style="1" hidden="1" customWidth="1"/>
    <col min="4646" max="4646" width="7.28515625" style="1" customWidth="1"/>
    <col min="4647" max="4647" width="5.85546875" style="1" customWidth="1"/>
    <col min="4648" max="4648" width="8.140625" style="1" customWidth="1"/>
    <col min="4649" max="4649" width="6" style="1" customWidth="1"/>
    <col min="4650" max="4650" width="7.28515625" style="1" customWidth="1"/>
    <col min="4651" max="4651" width="6" style="1" customWidth="1"/>
    <col min="4652" max="4652" width="8" style="1" customWidth="1"/>
    <col min="4653" max="4653" width="5" style="1" customWidth="1"/>
    <col min="4654" max="4654" width="8" style="1" customWidth="1"/>
    <col min="4655" max="4655" width="6" style="1" customWidth="1"/>
    <col min="4656" max="4656" width="8" style="1" customWidth="1"/>
    <col min="4657" max="4657" width="6" style="1" customWidth="1"/>
    <col min="4658" max="4658" width="4" style="1" customWidth="1"/>
    <col min="4659" max="4659" width="31.42578125" style="1" bestFit="1" customWidth="1"/>
    <col min="4660" max="4665" width="9.140625" style="1"/>
    <col min="4666" max="4666" width="9.140625" style="1" customWidth="1"/>
    <col min="4667" max="4868" width="9.140625" style="1"/>
    <col min="4869" max="4869" width="5.7109375" style="1" customWidth="1"/>
    <col min="4870" max="4870" width="27.85546875" style="1" bestFit="1" customWidth="1"/>
    <col min="4871" max="4895" width="0" style="1" hidden="1" customWidth="1"/>
    <col min="4896" max="4896" width="7.7109375" style="1" customWidth="1"/>
    <col min="4897" max="4897" width="4.7109375" style="1" customWidth="1"/>
    <col min="4898" max="4898" width="7.42578125" style="1" customWidth="1"/>
    <col min="4899" max="4899" width="5.85546875" style="1" customWidth="1"/>
    <col min="4900" max="4901" width="0" style="1" hidden="1" customWidth="1"/>
    <col min="4902" max="4902" width="7.28515625" style="1" customWidth="1"/>
    <col min="4903" max="4903" width="5.85546875" style="1" customWidth="1"/>
    <col min="4904" max="4904" width="8.140625" style="1" customWidth="1"/>
    <col min="4905" max="4905" width="6" style="1" customWidth="1"/>
    <col min="4906" max="4906" width="7.28515625" style="1" customWidth="1"/>
    <col min="4907" max="4907" width="6" style="1" customWidth="1"/>
    <col min="4908" max="4908" width="8" style="1" customWidth="1"/>
    <col min="4909" max="4909" width="5" style="1" customWidth="1"/>
    <col min="4910" max="4910" width="8" style="1" customWidth="1"/>
    <col min="4911" max="4911" width="6" style="1" customWidth="1"/>
    <col min="4912" max="4912" width="8" style="1" customWidth="1"/>
    <col min="4913" max="4913" width="6" style="1" customWidth="1"/>
    <col min="4914" max="4914" width="4" style="1" customWidth="1"/>
    <col min="4915" max="4915" width="31.42578125" style="1" bestFit="1" customWidth="1"/>
    <col min="4916" max="4921" width="9.140625" style="1"/>
    <col min="4922" max="4922" width="9.140625" style="1" customWidth="1"/>
    <col min="4923" max="5124" width="9.140625" style="1"/>
    <col min="5125" max="5125" width="5.7109375" style="1" customWidth="1"/>
    <col min="5126" max="5126" width="27.85546875" style="1" bestFit="1" customWidth="1"/>
    <col min="5127" max="5151" width="0" style="1" hidden="1" customWidth="1"/>
    <col min="5152" max="5152" width="7.7109375" style="1" customWidth="1"/>
    <col min="5153" max="5153" width="4.7109375" style="1" customWidth="1"/>
    <col min="5154" max="5154" width="7.42578125" style="1" customWidth="1"/>
    <col min="5155" max="5155" width="5.85546875" style="1" customWidth="1"/>
    <col min="5156" max="5157" width="0" style="1" hidden="1" customWidth="1"/>
    <col min="5158" max="5158" width="7.28515625" style="1" customWidth="1"/>
    <col min="5159" max="5159" width="5.85546875" style="1" customWidth="1"/>
    <col min="5160" max="5160" width="8.140625" style="1" customWidth="1"/>
    <col min="5161" max="5161" width="6" style="1" customWidth="1"/>
    <col min="5162" max="5162" width="7.28515625" style="1" customWidth="1"/>
    <col min="5163" max="5163" width="6" style="1" customWidth="1"/>
    <col min="5164" max="5164" width="8" style="1" customWidth="1"/>
    <col min="5165" max="5165" width="5" style="1" customWidth="1"/>
    <col min="5166" max="5166" width="8" style="1" customWidth="1"/>
    <col min="5167" max="5167" width="6" style="1" customWidth="1"/>
    <col min="5168" max="5168" width="8" style="1" customWidth="1"/>
    <col min="5169" max="5169" width="6" style="1" customWidth="1"/>
    <col min="5170" max="5170" width="4" style="1" customWidth="1"/>
    <col min="5171" max="5171" width="31.42578125" style="1" bestFit="1" customWidth="1"/>
    <col min="5172" max="5177" width="9.140625" style="1"/>
    <col min="5178" max="5178" width="9.140625" style="1" customWidth="1"/>
    <col min="5179" max="5380" width="9.140625" style="1"/>
    <col min="5381" max="5381" width="5.7109375" style="1" customWidth="1"/>
    <col min="5382" max="5382" width="27.85546875" style="1" bestFit="1" customWidth="1"/>
    <col min="5383" max="5407" width="0" style="1" hidden="1" customWidth="1"/>
    <col min="5408" max="5408" width="7.7109375" style="1" customWidth="1"/>
    <col min="5409" max="5409" width="4.7109375" style="1" customWidth="1"/>
    <col min="5410" max="5410" width="7.42578125" style="1" customWidth="1"/>
    <col min="5411" max="5411" width="5.85546875" style="1" customWidth="1"/>
    <col min="5412" max="5413" width="0" style="1" hidden="1" customWidth="1"/>
    <col min="5414" max="5414" width="7.28515625" style="1" customWidth="1"/>
    <col min="5415" max="5415" width="5.85546875" style="1" customWidth="1"/>
    <col min="5416" max="5416" width="8.140625" style="1" customWidth="1"/>
    <col min="5417" max="5417" width="6" style="1" customWidth="1"/>
    <col min="5418" max="5418" width="7.28515625" style="1" customWidth="1"/>
    <col min="5419" max="5419" width="6" style="1" customWidth="1"/>
    <col min="5420" max="5420" width="8" style="1" customWidth="1"/>
    <col min="5421" max="5421" width="5" style="1" customWidth="1"/>
    <col min="5422" max="5422" width="8" style="1" customWidth="1"/>
    <col min="5423" max="5423" width="6" style="1" customWidth="1"/>
    <col min="5424" max="5424" width="8" style="1" customWidth="1"/>
    <col min="5425" max="5425" width="6" style="1" customWidth="1"/>
    <col min="5426" max="5426" width="4" style="1" customWidth="1"/>
    <col min="5427" max="5427" width="31.42578125" style="1" bestFit="1" customWidth="1"/>
    <col min="5428" max="5433" width="9.140625" style="1"/>
    <col min="5434" max="5434" width="9.140625" style="1" customWidth="1"/>
    <col min="5435" max="5636" width="9.140625" style="1"/>
    <col min="5637" max="5637" width="5.7109375" style="1" customWidth="1"/>
    <col min="5638" max="5638" width="27.85546875" style="1" bestFit="1" customWidth="1"/>
    <col min="5639" max="5663" width="0" style="1" hidden="1" customWidth="1"/>
    <col min="5664" max="5664" width="7.7109375" style="1" customWidth="1"/>
    <col min="5665" max="5665" width="4.7109375" style="1" customWidth="1"/>
    <col min="5666" max="5666" width="7.42578125" style="1" customWidth="1"/>
    <col min="5667" max="5667" width="5.85546875" style="1" customWidth="1"/>
    <col min="5668" max="5669" width="0" style="1" hidden="1" customWidth="1"/>
    <col min="5670" max="5670" width="7.28515625" style="1" customWidth="1"/>
    <col min="5671" max="5671" width="5.85546875" style="1" customWidth="1"/>
    <col min="5672" max="5672" width="8.140625" style="1" customWidth="1"/>
    <col min="5673" max="5673" width="6" style="1" customWidth="1"/>
    <col min="5674" max="5674" width="7.28515625" style="1" customWidth="1"/>
    <col min="5675" max="5675" width="6" style="1" customWidth="1"/>
    <col min="5676" max="5676" width="8" style="1" customWidth="1"/>
    <col min="5677" max="5677" width="5" style="1" customWidth="1"/>
    <col min="5678" max="5678" width="8" style="1" customWidth="1"/>
    <col min="5679" max="5679" width="6" style="1" customWidth="1"/>
    <col min="5680" max="5680" width="8" style="1" customWidth="1"/>
    <col min="5681" max="5681" width="6" style="1" customWidth="1"/>
    <col min="5682" max="5682" width="4" style="1" customWidth="1"/>
    <col min="5683" max="5683" width="31.42578125" style="1" bestFit="1" customWidth="1"/>
    <col min="5684" max="5689" width="9.140625" style="1"/>
    <col min="5690" max="5690" width="9.140625" style="1" customWidth="1"/>
    <col min="5691" max="5892" width="9.140625" style="1"/>
    <col min="5893" max="5893" width="5.7109375" style="1" customWidth="1"/>
    <col min="5894" max="5894" width="27.85546875" style="1" bestFit="1" customWidth="1"/>
    <col min="5895" max="5919" width="0" style="1" hidden="1" customWidth="1"/>
    <col min="5920" max="5920" width="7.7109375" style="1" customWidth="1"/>
    <col min="5921" max="5921" width="4.7109375" style="1" customWidth="1"/>
    <col min="5922" max="5922" width="7.42578125" style="1" customWidth="1"/>
    <col min="5923" max="5923" width="5.85546875" style="1" customWidth="1"/>
    <col min="5924" max="5925" width="0" style="1" hidden="1" customWidth="1"/>
    <col min="5926" max="5926" width="7.28515625" style="1" customWidth="1"/>
    <col min="5927" max="5927" width="5.85546875" style="1" customWidth="1"/>
    <col min="5928" max="5928" width="8.140625" style="1" customWidth="1"/>
    <col min="5929" max="5929" width="6" style="1" customWidth="1"/>
    <col min="5930" max="5930" width="7.28515625" style="1" customWidth="1"/>
    <col min="5931" max="5931" width="6" style="1" customWidth="1"/>
    <col min="5932" max="5932" width="8" style="1" customWidth="1"/>
    <col min="5933" max="5933" width="5" style="1" customWidth="1"/>
    <col min="5934" max="5934" width="8" style="1" customWidth="1"/>
    <col min="5935" max="5935" width="6" style="1" customWidth="1"/>
    <col min="5936" max="5936" width="8" style="1" customWidth="1"/>
    <col min="5937" max="5937" width="6" style="1" customWidth="1"/>
    <col min="5938" max="5938" width="4" style="1" customWidth="1"/>
    <col min="5939" max="5939" width="31.42578125" style="1" bestFit="1" customWidth="1"/>
    <col min="5940" max="5945" width="9.140625" style="1"/>
    <col min="5946" max="5946" width="9.140625" style="1" customWidth="1"/>
    <col min="5947" max="6148" width="9.140625" style="1"/>
    <col min="6149" max="6149" width="5.7109375" style="1" customWidth="1"/>
    <col min="6150" max="6150" width="27.85546875" style="1" bestFit="1" customWidth="1"/>
    <col min="6151" max="6175" width="0" style="1" hidden="1" customWidth="1"/>
    <col min="6176" max="6176" width="7.7109375" style="1" customWidth="1"/>
    <col min="6177" max="6177" width="4.7109375" style="1" customWidth="1"/>
    <col min="6178" max="6178" width="7.42578125" style="1" customWidth="1"/>
    <col min="6179" max="6179" width="5.85546875" style="1" customWidth="1"/>
    <col min="6180" max="6181" width="0" style="1" hidden="1" customWidth="1"/>
    <col min="6182" max="6182" width="7.28515625" style="1" customWidth="1"/>
    <col min="6183" max="6183" width="5.85546875" style="1" customWidth="1"/>
    <col min="6184" max="6184" width="8.140625" style="1" customWidth="1"/>
    <col min="6185" max="6185" width="6" style="1" customWidth="1"/>
    <col min="6186" max="6186" width="7.28515625" style="1" customWidth="1"/>
    <col min="6187" max="6187" width="6" style="1" customWidth="1"/>
    <col min="6188" max="6188" width="8" style="1" customWidth="1"/>
    <col min="6189" max="6189" width="5" style="1" customWidth="1"/>
    <col min="6190" max="6190" width="8" style="1" customWidth="1"/>
    <col min="6191" max="6191" width="6" style="1" customWidth="1"/>
    <col min="6192" max="6192" width="8" style="1" customWidth="1"/>
    <col min="6193" max="6193" width="6" style="1" customWidth="1"/>
    <col min="6194" max="6194" width="4" style="1" customWidth="1"/>
    <col min="6195" max="6195" width="31.42578125" style="1" bestFit="1" customWidth="1"/>
    <col min="6196" max="6201" width="9.140625" style="1"/>
    <col min="6202" max="6202" width="9.140625" style="1" customWidth="1"/>
    <col min="6203" max="6404" width="9.140625" style="1"/>
    <col min="6405" max="6405" width="5.7109375" style="1" customWidth="1"/>
    <col min="6406" max="6406" width="27.85546875" style="1" bestFit="1" customWidth="1"/>
    <col min="6407" max="6431" width="0" style="1" hidden="1" customWidth="1"/>
    <col min="6432" max="6432" width="7.7109375" style="1" customWidth="1"/>
    <col min="6433" max="6433" width="4.7109375" style="1" customWidth="1"/>
    <col min="6434" max="6434" width="7.42578125" style="1" customWidth="1"/>
    <col min="6435" max="6435" width="5.85546875" style="1" customWidth="1"/>
    <col min="6436" max="6437" width="0" style="1" hidden="1" customWidth="1"/>
    <col min="6438" max="6438" width="7.28515625" style="1" customWidth="1"/>
    <col min="6439" max="6439" width="5.85546875" style="1" customWidth="1"/>
    <col min="6440" max="6440" width="8.140625" style="1" customWidth="1"/>
    <col min="6441" max="6441" width="6" style="1" customWidth="1"/>
    <col min="6442" max="6442" width="7.28515625" style="1" customWidth="1"/>
    <col min="6443" max="6443" width="6" style="1" customWidth="1"/>
    <col min="6444" max="6444" width="8" style="1" customWidth="1"/>
    <col min="6445" max="6445" width="5" style="1" customWidth="1"/>
    <col min="6446" max="6446" width="8" style="1" customWidth="1"/>
    <col min="6447" max="6447" width="6" style="1" customWidth="1"/>
    <col min="6448" max="6448" width="8" style="1" customWidth="1"/>
    <col min="6449" max="6449" width="6" style="1" customWidth="1"/>
    <col min="6450" max="6450" width="4" style="1" customWidth="1"/>
    <col min="6451" max="6451" width="31.42578125" style="1" bestFit="1" customWidth="1"/>
    <col min="6452" max="6457" width="9.140625" style="1"/>
    <col min="6458" max="6458" width="9.140625" style="1" customWidth="1"/>
    <col min="6459" max="6660" width="9.140625" style="1"/>
    <col min="6661" max="6661" width="5.7109375" style="1" customWidth="1"/>
    <col min="6662" max="6662" width="27.85546875" style="1" bestFit="1" customWidth="1"/>
    <col min="6663" max="6687" width="0" style="1" hidden="1" customWidth="1"/>
    <col min="6688" max="6688" width="7.7109375" style="1" customWidth="1"/>
    <col min="6689" max="6689" width="4.7109375" style="1" customWidth="1"/>
    <col min="6690" max="6690" width="7.42578125" style="1" customWidth="1"/>
    <col min="6691" max="6691" width="5.85546875" style="1" customWidth="1"/>
    <col min="6692" max="6693" width="0" style="1" hidden="1" customWidth="1"/>
    <col min="6694" max="6694" width="7.28515625" style="1" customWidth="1"/>
    <col min="6695" max="6695" width="5.85546875" style="1" customWidth="1"/>
    <col min="6696" max="6696" width="8.140625" style="1" customWidth="1"/>
    <col min="6697" max="6697" width="6" style="1" customWidth="1"/>
    <col min="6698" max="6698" width="7.28515625" style="1" customWidth="1"/>
    <col min="6699" max="6699" width="6" style="1" customWidth="1"/>
    <col min="6700" max="6700" width="8" style="1" customWidth="1"/>
    <col min="6701" max="6701" width="5" style="1" customWidth="1"/>
    <col min="6702" max="6702" width="8" style="1" customWidth="1"/>
    <col min="6703" max="6703" width="6" style="1" customWidth="1"/>
    <col min="6704" max="6704" width="8" style="1" customWidth="1"/>
    <col min="6705" max="6705" width="6" style="1" customWidth="1"/>
    <col min="6706" max="6706" width="4" style="1" customWidth="1"/>
    <col min="6707" max="6707" width="31.42578125" style="1" bestFit="1" customWidth="1"/>
    <col min="6708" max="6713" width="9.140625" style="1"/>
    <col min="6714" max="6714" width="9.140625" style="1" customWidth="1"/>
    <col min="6715" max="6916" width="9.140625" style="1"/>
    <col min="6917" max="6917" width="5.7109375" style="1" customWidth="1"/>
    <col min="6918" max="6918" width="27.85546875" style="1" bestFit="1" customWidth="1"/>
    <col min="6919" max="6943" width="0" style="1" hidden="1" customWidth="1"/>
    <col min="6944" max="6944" width="7.7109375" style="1" customWidth="1"/>
    <col min="6945" max="6945" width="4.7109375" style="1" customWidth="1"/>
    <col min="6946" max="6946" width="7.42578125" style="1" customWidth="1"/>
    <col min="6947" max="6947" width="5.85546875" style="1" customWidth="1"/>
    <col min="6948" max="6949" width="0" style="1" hidden="1" customWidth="1"/>
    <col min="6950" max="6950" width="7.28515625" style="1" customWidth="1"/>
    <col min="6951" max="6951" width="5.85546875" style="1" customWidth="1"/>
    <col min="6952" max="6952" width="8.140625" style="1" customWidth="1"/>
    <col min="6953" max="6953" width="6" style="1" customWidth="1"/>
    <col min="6954" max="6954" width="7.28515625" style="1" customWidth="1"/>
    <col min="6955" max="6955" width="6" style="1" customWidth="1"/>
    <col min="6956" max="6956" width="8" style="1" customWidth="1"/>
    <col min="6957" max="6957" width="5" style="1" customWidth="1"/>
    <col min="6958" max="6958" width="8" style="1" customWidth="1"/>
    <col min="6959" max="6959" width="6" style="1" customWidth="1"/>
    <col min="6960" max="6960" width="8" style="1" customWidth="1"/>
    <col min="6961" max="6961" width="6" style="1" customWidth="1"/>
    <col min="6962" max="6962" width="4" style="1" customWidth="1"/>
    <col min="6963" max="6963" width="31.42578125" style="1" bestFit="1" customWidth="1"/>
    <col min="6964" max="6969" width="9.140625" style="1"/>
    <col min="6970" max="6970" width="9.140625" style="1" customWidth="1"/>
    <col min="6971" max="7172" width="9.140625" style="1"/>
    <col min="7173" max="7173" width="5.7109375" style="1" customWidth="1"/>
    <col min="7174" max="7174" width="27.85546875" style="1" bestFit="1" customWidth="1"/>
    <col min="7175" max="7199" width="0" style="1" hidden="1" customWidth="1"/>
    <col min="7200" max="7200" width="7.7109375" style="1" customWidth="1"/>
    <col min="7201" max="7201" width="4.7109375" style="1" customWidth="1"/>
    <col min="7202" max="7202" width="7.42578125" style="1" customWidth="1"/>
    <col min="7203" max="7203" width="5.85546875" style="1" customWidth="1"/>
    <col min="7204" max="7205" width="0" style="1" hidden="1" customWidth="1"/>
    <col min="7206" max="7206" width="7.28515625" style="1" customWidth="1"/>
    <col min="7207" max="7207" width="5.85546875" style="1" customWidth="1"/>
    <col min="7208" max="7208" width="8.140625" style="1" customWidth="1"/>
    <col min="7209" max="7209" width="6" style="1" customWidth="1"/>
    <col min="7210" max="7210" width="7.28515625" style="1" customWidth="1"/>
    <col min="7211" max="7211" width="6" style="1" customWidth="1"/>
    <col min="7212" max="7212" width="8" style="1" customWidth="1"/>
    <col min="7213" max="7213" width="5" style="1" customWidth="1"/>
    <col min="7214" max="7214" width="8" style="1" customWidth="1"/>
    <col min="7215" max="7215" width="6" style="1" customWidth="1"/>
    <col min="7216" max="7216" width="8" style="1" customWidth="1"/>
    <col min="7217" max="7217" width="6" style="1" customWidth="1"/>
    <col min="7218" max="7218" width="4" style="1" customWidth="1"/>
    <col min="7219" max="7219" width="31.42578125" style="1" bestFit="1" customWidth="1"/>
    <col min="7220" max="7225" width="9.140625" style="1"/>
    <col min="7226" max="7226" width="9.140625" style="1" customWidth="1"/>
    <col min="7227" max="7428" width="9.140625" style="1"/>
    <col min="7429" max="7429" width="5.7109375" style="1" customWidth="1"/>
    <col min="7430" max="7430" width="27.85546875" style="1" bestFit="1" customWidth="1"/>
    <col min="7431" max="7455" width="0" style="1" hidden="1" customWidth="1"/>
    <col min="7456" max="7456" width="7.7109375" style="1" customWidth="1"/>
    <col min="7457" max="7457" width="4.7109375" style="1" customWidth="1"/>
    <col min="7458" max="7458" width="7.42578125" style="1" customWidth="1"/>
    <col min="7459" max="7459" width="5.85546875" style="1" customWidth="1"/>
    <col min="7460" max="7461" width="0" style="1" hidden="1" customWidth="1"/>
    <col min="7462" max="7462" width="7.28515625" style="1" customWidth="1"/>
    <col min="7463" max="7463" width="5.85546875" style="1" customWidth="1"/>
    <col min="7464" max="7464" width="8.140625" style="1" customWidth="1"/>
    <col min="7465" max="7465" width="6" style="1" customWidth="1"/>
    <col min="7466" max="7466" width="7.28515625" style="1" customWidth="1"/>
    <col min="7467" max="7467" width="6" style="1" customWidth="1"/>
    <col min="7468" max="7468" width="8" style="1" customWidth="1"/>
    <col min="7469" max="7469" width="5" style="1" customWidth="1"/>
    <col min="7470" max="7470" width="8" style="1" customWidth="1"/>
    <col min="7471" max="7471" width="6" style="1" customWidth="1"/>
    <col min="7472" max="7472" width="8" style="1" customWidth="1"/>
    <col min="7473" max="7473" width="6" style="1" customWidth="1"/>
    <col min="7474" max="7474" width="4" style="1" customWidth="1"/>
    <col min="7475" max="7475" width="31.42578125" style="1" bestFit="1" customWidth="1"/>
    <col min="7476" max="7481" width="9.140625" style="1"/>
    <col min="7482" max="7482" width="9.140625" style="1" customWidth="1"/>
    <col min="7483" max="7684" width="9.140625" style="1"/>
    <col min="7685" max="7685" width="5.7109375" style="1" customWidth="1"/>
    <col min="7686" max="7686" width="27.85546875" style="1" bestFit="1" customWidth="1"/>
    <col min="7687" max="7711" width="0" style="1" hidden="1" customWidth="1"/>
    <col min="7712" max="7712" width="7.7109375" style="1" customWidth="1"/>
    <col min="7713" max="7713" width="4.7109375" style="1" customWidth="1"/>
    <col min="7714" max="7714" width="7.42578125" style="1" customWidth="1"/>
    <col min="7715" max="7715" width="5.85546875" style="1" customWidth="1"/>
    <col min="7716" max="7717" width="0" style="1" hidden="1" customWidth="1"/>
    <col min="7718" max="7718" width="7.28515625" style="1" customWidth="1"/>
    <col min="7719" max="7719" width="5.85546875" style="1" customWidth="1"/>
    <col min="7720" max="7720" width="8.140625" style="1" customWidth="1"/>
    <col min="7721" max="7721" width="6" style="1" customWidth="1"/>
    <col min="7722" max="7722" width="7.28515625" style="1" customWidth="1"/>
    <col min="7723" max="7723" width="6" style="1" customWidth="1"/>
    <col min="7724" max="7724" width="8" style="1" customWidth="1"/>
    <col min="7725" max="7725" width="5" style="1" customWidth="1"/>
    <col min="7726" max="7726" width="8" style="1" customWidth="1"/>
    <col min="7727" max="7727" width="6" style="1" customWidth="1"/>
    <col min="7728" max="7728" width="8" style="1" customWidth="1"/>
    <col min="7729" max="7729" width="6" style="1" customWidth="1"/>
    <col min="7730" max="7730" width="4" style="1" customWidth="1"/>
    <col min="7731" max="7731" width="31.42578125" style="1" bestFit="1" customWidth="1"/>
    <col min="7732" max="7737" width="9.140625" style="1"/>
    <col min="7738" max="7738" width="9.140625" style="1" customWidth="1"/>
    <col min="7739" max="7940" width="9.140625" style="1"/>
    <col min="7941" max="7941" width="5.7109375" style="1" customWidth="1"/>
    <col min="7942" max="7942" width="27.85546875" style="1" bestFit="1" customWidth="1"/>
    <col min="7943" max="7967" width="0" style="1" hidden="1" customWidth="1"/>
    <col min="7968" max="7968" width="7.7109375" style="1" customWidth="1"/>
    <col min="7969" max="7969" width="4.7109375" style="1" customWidth="1"/>
    <col min="7970" max="7970" width="7.42578125" style="1" customWidth="1"/>
    <col min="7971" max="7971" width="5.85546875" style="1" customWidth="1"/>
    <col min="7972" max="7973" width="0" style="1" hidden="1" customWidth="1"/>
    <col min="7974" max="7974" width="7.28515625" style="1" customWidth="1"/>
    <col min="7975" max="7975" width="5.85546875" style="1" customWidth="1"/>
    <col min="7976" max="7976" width="8.140625" style="1" customWidth="1"/>
    <col min="7977" max="7977" width="6" style="1" customWidth="1"/>
    <col min="7978" max="7978" width="7.28515625" style="1" customWidth="1"/>
    <col min="7979" max="7979" width="6" style="1" customWidth="1"/>
    <col min="7980" max="7980" width="8" style="1" customWidth="1"/>
    <col min="7981" max="7981" width="5" style="1" customWidth="1"/>
    <col min="7982" max="7982" width="8" style="1" customWidth="1"/>
    <col min="7983" max="7983" width="6" style="1" customWidth="1"/>
    <col min="7984" max="7984" width="8" style="1" customWidth="1"/>
    <col min="7985" max="7985" width="6" style="1" customWidth="1"/>
    <col min="7986" max="7986" width="4" style="1" customWidth="1"/>
    <col min="7987" max="7987" width="31.42578125" style="1" bestFit="1" customWidth="1"/>
    <col min="7988" max="7993" width="9.140625" style="1"/>
    <col min="7994" max="7994" width="9.140625" style="1" customWidth="1"/>
    <col min="7995" max="8196" width="9.140625" style="1"/>
    <col min="8197" max="8197" width="5.7109375" style="1" customWidth="1"/>
    <col min="8198" max="8198" width="27.85546875" style="1" bestFit="1" customWidth="1"/>
    <col min="8199" max="8223" width="0" style="1" hidden="1" customWidth="1"/>
    <col min="8224" max="8224" width="7.7109375" style="1" customWidth="1"/>
    <col min="8225" max="8225" width="4.7109375" style="1" customWidth="1"/>
    <col min="8226" max="8226" width="7.42578125" style="1" customWidth="1"/>
    <col min="8227" max="8227" width="5.85546875" style="1" customWidth="1"/>
    <col min="8228" max="8229" width="0" style="1" hidden="1" customWidth="1"/>
    <col min="8230" max="8230" width="7.28515625" style="1" customWidth="1"/>
    <col min="8231" max="8231" width="5.85546875" style="1" customWidth="1"/>
    <col min="8232" max="8232" width="8.140625" style="1" customWidth="1"/>
    <col min="8233" max="8233" width="6" style="1" customWidth="1"/>
    <col min="8234" max="8234" width="7.28515625" style="1" customWidth="1"/>
    <col min="8235" max="8235" width="6" style="1" customWidth="1"/>
    <col min="8236" max="8236" width="8" style="1" customWidth="1"/>
    <col min="8237" max="8237" width="5" style="1" customWidth="1"/>
    <col min="8238" max="8238" width="8" style="1" customWidth="1"/>
    <col min="8239" max="8239" width="6" style="1" customWidth="1"/>
    <col min="8240" max="8240" width="8" style="1" customWidth="1"/>
    <col min="8241" max="8241" width="6" style="1" customWidth="1"/>
    <col min="8242" max="8242" width="4" style="1" customWidth="1"/>
    <col min="8243" max="8243" width="31.42578125" style="1" bestFit="1" customWidth="1"/>
    <col min="8244" max="8249" width="9.140625" style="1"/>
    <col min="8250" max="8250" width="9.140625" style="1" customWidth="1"/>
    <col min="8251" max="8452" width="9.140625" style="1"/>
    <col min="8453" max="8453" width="5.7109375" style="1" customWidth="1"/>
    <col min="8454" max="8454" width="27.85546875" style="1" bestFit="1" customWidth="1"/>
    <col min="8455" max="8479" width="0" style="1" hidden="1" customWidth="1"/>
    <col min="8480" max="8480" width="7.7109375" style="1" customWidth="1"/>
    <col min="8481" max="8481" width="4.7109375" style="1" customWidth="1"/>
    <col min="8482" max="8482" width="7.42578125" style="1" customWidth="1"/>
    <col min="8483" max="8483" width="5.85546875" style="1" customWidth="1"/>
    <col min="8484" max="8485" width="0" style="1" hidden="1" customWidth="1"/>
    <col min="8486" max="8486" width="7.28515625" style="1" customWidth="1"/>
    <col min="8487" max="8487" width="5.85546875" style="1" customWidth="1"/>
    <col min="8488" max="8488" width="8.140625" style="1" customWidth="1"/>
    <col min="8489" max="8489" width="6" style="1" customWidth="1"/>
    <col min="8490" max="8490" width="7.28515625" style="1" customWidth="1"/>
    <col min="8491" max="8491" width="6" style="1" customWidth="1"/>
    <col min="8492" max="8492" width="8" style="1" customWidth="1"/>
    <col min="8493" max="8493" width="5" style="1" customWidth="1"/>
    <col min="8494" max="8494" width="8" style="1" customWidth="1"/>
    <col min="8495" max="8495" width="6" style="1" customWidth="1"/>
    <col min="8496" max="8496" width="8" style="1" customWidth="1"/>
    <col min="8497" max="8497" width="6" style="1" customWidth="1"/>
    <col min="8498" max="8498" width="4" style="1" customWidth="1"/>
    <col min="8499" max="8499" width="31.42578125" style="1" bestFit="1" customWidth="1"/>
    <col min="8500" max="8505" width="9.140625" style="1"/>
    <col min="8506" max="8506" width="9.140625" style="1" customWidth="1"/>
    <col min="8507" max="8708" width="9.140625" style="1"/>
    <col min="8709" max="8709" width="5.7109375" style="1" customWidth="1"/>
    <col min="8710" max="8710" width="27.85546875" style="1" bestFit="1" customWidth="1"/>
    <col min="8711" max="8735" width="0" style="1" hidden="1" customWidth="1"/>
    <col min="8736" max="8736" width="7.7109375" style="1" customWidth="1"/>
    <col min="8737" max="8737" width="4.7109375" style="1" customWidth="1"/>
    <col min="8738" max="8738" width="7.42578125" style="1" customWidth="1"/>
    <col min="8739" max="8739" width="5.85546875" style="1" customWidth="1"/>
    <col min="8740" max="8741" width="0" style="1" hidden="1" customWidth="1"/>
    <col min="8742" max="8742" width="7.28515625" style="1" customWidth="1"/>
    <col min="8743" max="8743" width="5.85546875" style="1" customWidth="1"/>
    <col min="8744" max="8744" width="8.140625" style="1" customWidth="1"/>
    <col min="8745" max="8745" width="6" style="1" customWidth="1"/>
    <col min="8746" max="8746" width="7.28515625" style="1" customWidth="1"/>
    <col min="8747" max="8747" width="6" style="1" customWidth="1"/>
    <col min="8748" max="8748" width="8" style="1" customWidth="1"/>
    <col min="8749" max="8749" width="5" style="1" customWidth="1"/>
    <col min="8750" max="8750" width="8" style="1" customWidth="1"/>
    <col min="8751" max="8751" width="6" style="1" customWidth="1"/>
    <col min="8752" max="8752" width="8" style="1" customWidth="1"/>
    <col min="8753" max="8753" width="6" style="1" customWidth="1"/>
    <col min="8754" max="8754" width="4" style="1" customWidth="1"/>
    <col min="8755" max="8755" width="31.42578125" style="1" bestFit="1" customWidth="1"/>
    <col min="8756" max="8761" width="9.140625" style="1"/>
    <col min="8762" max="8762" width="9.140625" style="1" customWidth="1"/>
    <col min="8763" max="8964" width="9.140625" style="1"/>
    <col min="8965" max="8965" width="5.7109375" style="1" customWidth="1"/>
    <col min="8966" max="8966" width="27.85546875" style="1" bestFit="1" customWidth="1"/>
    <col min="8967" max="8991" width="0" style="1" hidden="1" customWidth="1"/>
    <col min="8992" max="8992" width="7.7109375" style="1" customWidth="1"/>
    <col min="8993" max="8993" width="4.7109375" style="1" customWidth="1"/>
    <col min="8994" max="8994" width="7.42578125" style="1" customWidth="1"/>
    <col min="8995" max="8995" width="5.85546875" style="1" customWidth="1"/>
    <col min="8996" max="8997" width="0" style="1" hidden="1" customWidth="1"/>
    <col min="8998" max="8998" width="7.28515625" style="1" customWidth="1"/>
    <col min="8999" max="8999" width="5.85546875" style="1" customWidth="1"/>
    <col min="9000" max="9000" width="8.140625" style="1" customWidth="1"/>
    <col min="9001" max="9001" width="6" style="1" customWidth="1"/>
    <col min="9002" max="9002" width="7.28515625" style="1" customWidth="1"/>
    <col min="9003" max="9003" width="6" style="1" customWidth="1"/>
    <col min="9004" max="9004" width="8" style="1" customWidth="1"/>
    <col min="9005" max="9005" width="5" style="1" customWidth="1"/>
    <col min="9006" max="9006" width="8" style="1" customWidth="1"/>
    <col min="9007" max="9007" width="6" style="1" customWidth="1"/>
    <col min="9008" max="9008" width="8" style="1" customWidth="1"/>
    <col min="9009" max="9009" width="6" style="1" customWidth="1"/>
    <col min="9010" max="9010" width="4" style="1" customWidth="1"/>
    <col min="9011" max="9011" width="31.42578125" style="1" bestFit="1" customWidth="1"/>
    <col min="9012" max="9017" width="9.140625" style="1"/>
    <col min="9018" max="9018" width="9.140625" style="1" customWidth="1"/>
    <col min="9019" max="9220" width="9.140625" style="1"/>
    <col min="9221" max="9221" width="5.7109375" style="1" customWidth="1"/>
    <col min="9222" max="9222" width="27.85546875" style="1" bestFit="1" customWidth="1"/>
    <col min="9223" max="9247" width="0" style="1" hidden="1" customWidth="1"/>
    <col min="9248" max="9248" width="7.7109375" style="1" customWidth="1"/>
    <col min="9249" max="9249" width="4.7109375" style="1" customWidth="1"/>
    <col min="9250" max="9250" width="7.42578125" style="1" customWidth="1"/>
    <col min="9251" max="9251" width="5.85546875" style="1" customWidth="1"/>
    <col min="9252" max="9253" width="0" style="1" hidden="1" customWidth="1"/>
    <col min="9254" max="9254" width="7.28515625" style="1" customWidth="1"/>
    <col min="9255" max="9255" width="5.85546875" style="1" customWidth="1"/>
    <col min="9256" max="9256" width="8.140625" style="1" customWidth="1"/>
    <col min="9257" max="9257" width="6" style="1" customWidth="1"/>
    <col min="9258" max="9258" width="7.28515625" style="1" customWidth="1"/>
    <col min="9259" max="9259" width="6" style="1" customWidth="1"/>
    <col min="9260" max="9260" width="8" style="1" customWidth="1"/>
    <col min="9261" max="9261" width="5" style="1" customWidth="1"/>
    <col min="9262" max="9262" width="8" style="1" customWidth="1"/>
    <col min="9263" max="9263" width="6" style="1" customWidth="1"/>
    <col min="9264" max="9264" width="8" style="1" customWidth="1"/>
    <col min="9265" max="9265" width="6" style="1" customWidth="1"/>
    <col min="9266" max="9266" width="4" style="1" customWidth="1"/>
    <col min="9267" max="9267" width="31.42578125" style="1" bestFit="1" customWidth="1"/>
    <col min="9268" max="9273" width="9.140625" style="1"/>
    <col min="9274" max="9274" width="9.140625" style="1" customWidth="1"/>
    <col min="9275" max="9476" width="9.140625" style="1"/>
    <col min="9477" max="9477" width="5.7109375" style="1" customWidth="1"/>
    <col min="9478" max="9478" width="27.85546875" style="1" bestFit="1" customWidth="1"/>
    <col min="9479" max="9503" width="0" style="1" hidden="1" customWidth="1"/>
    <col min="9504" max="9504" width="7.7109375" style="1" customWidth="1"/>
    <col min="9505" max="9505" width="4.7109375" style="1" customWidth="1"/>
    <col min="9506" max="9506" width="7.42578125" style="1" customWidth="1"/>
    <col min="9507" max="9507" width="5.85546875" style="1" customWidth="1"/>
    <col min="9508" max="9509" width="0" style="1" hidden="1" customWidth="1"/>
    <col min="9510" max="9510" width="7.28515625" style="1" customWidth="1"/>
    <col min="9511" max="9511" width="5.85546875" style="1" customWidth="1"/>
    <col min="9512" max="9512" width="8.140625" style="1" customWidth="1"/>
    <col min="9513" max="9513" width="6" style="1" customWidth="1"/>
    <col min="9514" max="9514" width="7.28515625" style="1" customWidth="1"/>
    <col min="9515" max="9515" width="6" style="1" customWidth="1"/>
    <col min="9516" max="9516" width="8" style="1" customWidth="1"/>
    <col min="9517" max="9517" width="5" style="1" customWidth="1"/>
    <col min="9518" max="9518" width="8" style="1" customWidth="1"/>
    <col min="9519" max="9519" width="6" style="1" customWidth="1"/>
    <col min="9520" max="9520" width="8" style="1" customWidth="1"/>
    <col min="9521" max="9521" width="6" style="1" customWidth="1"/>
    <col min="9522" max="9522" width="4" style="1" customWidth="1"/>
    <col min="9523" max="9523" width="31.42578125" style="1" bestFit="1" customWidth="1"/>
    <col min="9524" max="9529" width="9.140625" style="1"/>
    <col min="9530" max="9530" width="9.140625" style="1" customWidth="1"/>
    <col min="9531" max="9732" width="9.140625" style="1"/>
    <col min="9733" max="9733" width="5.7109375" style="1" customWidth="1"/>
    <col min="9734" max="9734" width="27.85546875" style="1" bestFit="1" customWidth="1"/>
    <col min="9735" max="9759" width="0" style="1" hidden="1" customWidth="1"/>
    <col min="9760" max="9760" width="7.7109375" style="1" customWidth="1"/>
    <col min="9761" max="9761" width="4.7109375" style="1" customWidth="1"/>
    <col min="9762" max="9762" width="7.42578125" style="1" customWidth="1"/>
    <col min="9763" max="9763" width="5.85546875" style="1" customWidth="1"/>
    <col min="9764" max="9765" width="0" style="1" hidden="1" customWidth="1"/>
    <col min="9766" max="9766" width="7.28515625" style="1" customWidth="1"/>
    <col min="9767" max="9767" width="5.85546875" style="1" customWidth="1"/>
    <col min="9768" max="9768" width="8.140625" style="1" customWidth="1"/>
    <col min="9769" max="9769" width="6" style="1" customWidth="1"/>
    <col min="9770" max="9770" width="7.28515625" style="1" customWidth="1"/>
    <col min="9771" max="9771" width="6" style="1" customWidth="1"/>
    <col min="9772" max="9772" width="8" style="1" customWidth="1"/>
    <col min="9773" max="9773" width="5" style="1" customWidth="1"/>
    <col min="9774" max="9774" width="8" style="1" customWidth="1"/>
    <col min="9775" max="9775" width="6" style="1" customWidth="1"/>
    <col min="9776" max="9776" width="8" style="1" customWidth="1"/>
    <col min="9777" max="9777" width="6" style="1" customWidth="1"/>
    <col min="9778" max="9778" width="4" style="1" customWidth="1"/>
    <col min="9779" max="9779" width="31.42578125" style="1" bestFit="1" customWidth="1"/>
    <col min="9780" max="9785" width="9.140625" style="1"/>
    <col min="9786" max="9786" width="9.140625" style="1" customWidth="1"/>
    <col min="9787" max="9988" width="9.140625" style="1"/>
    <col min="9989" max="9989" width="5.7109375" style="1" customWidth="1"/>
    <col min="9990" max="9990" width="27.85546875" style="1" bestFit="1" customWidth="1"/>
    <col min="9991" max="10015" width="0" style="1" hidden="1" customWidth="1"/>
    <col min="10016" max="10016" width="7.7109375" style="1" customWidth="1"/>
    <col min="10017" max="10017" width="4.7109375" style="1" customWidth="1"/>
    <col min="10018" max="10018" width="7.42578125" style="1" customWidth="1"/>
    <col min="10019" max="10019" width="5.85546875" style="1" customWidth="1"/>
    <col min="10020" max="10021" width="0" style="1" hidden="1" customWidth="1"/>
    <col min="10022" max="10022" width="7.28515625" style="1" customWidth="1"/>
    <col min="10023" max="10023" width="5.85546875" style="1" customWidth="1"/>
    <col min="10024" max="10024" width="8.140625" style="1" customWidth="1"/>
    <col min="10025" max="10025" width="6" style="1" customWidth="1"/>
    <col min="10026" max="10026" width="7.28515625" style="1" customWidth="1"/>
    <col min="10027" max="10027" width="6" style="1" customWidth="1"/>
    <col min="10028" max="10028" width="8" style="1" customWidth="1"/>
    <col min="10029" max="10029" width="5" style="1" customWidth="1"/>
    <col min="10030" max="10030" width="8" style="1" customWidth="1"/>
    <col min="10031" max="10031" width="6" style="1" customWidth="1"/>
    <col min="10032" max="10032" width="8" style="1" customWidth="1"/>
    <col min="10033" max="10033" width="6" style="1" customWidth="1"/>
    <col min="10034" max="10034" width="4" style="1" customWidth="1"/>
    <col min="10035" max="10035" width="31.42578125" style="1" bestFit="1" customWidth="1"/>
    <col min="10036" max="10041" width="9.140625" style="1"/>
    <col min="10042" max="10042" width="9.140625" style="1" customWidth="1"/>
    <col min="10043" max="10244" width="9.140625" style="1"/>
    <col min="10245" max="10245" width="5.7109375" style="1" customWidth="1"/>
    <col min="10246" max="10246" width="27.85546875" style="1" bestFit="1" customWidth="1"/>
    <col min="10247" max="10271" width="0" style="1" hidden="1" customWidth="1"/>
    <col min="10272" max="10272" width="7.7109375" style="1" customWidth="1"/>
    <col min="10273" max="10273" width="4.7109375" style="1" customWidth="1"/>
    <col min="10274" max="10274" width="7.42578125" style="1" customWidth="1"/>
    <col min="10275" max="10275" width="5.85546875" style="1" customWidth="1"/>
    <col min="10276" max="10277" width="0" style="1" hidden="1" customWidth="1"/>
    <col min="10278" max="10278" width="7.28515625" style="1" customWidth="1"/>
    <col min="10279" max="10279" width="5.85546875" style="1" customWidth="1"/>
    <col min="10280" max="10280" width="8.140625" style="1" customWidth="1"/>
    <col min="10281" max="10281" width="6" style="1" customWidth="1"/>
    <col min="10282" max="10282" width="7.28515625" style="1" customWidth="1"/>
    <col min="10283" max="10283" width="6" style="1" customWidth="1"/>
    <col min="10284" max="10284" width="8" style="1" customWidth="1"/>
    <col min="10285" max="10285" width="5" style="1" customWidth="1"/>
    <col min="10286" max="10286" width="8" style="1" customWidth="1"/>
    <col min="10287" max="10287" width="6" style="1" customWidth="1"/>
    <col min="10288" max="10288" width="8" style="1" customWidth="1"/>
    <col min="10289" max="10289" width="6" style="1" customWidth="1"/>
    <col min="10290" max="10290" width="4" style="1" customWidth="1"/>
    <col min="10291" max="10291" width="31.42578125" style="1" bestFit="1" customWidth="1"/>
    <col min="10292" max="10297" width="9.140625" style="1"/>
    <col min="10298" max="10298" width="9.140625" style="1" customWidth="1"/>
    <col min="10299" max="10500" width="9.140625" style="1"/>
    <col min="10501" max="10501" width="5.7109375" style="1" customWidth="1"/>
    <col min="10502" max="10502" width="27.85546875" style="1" bestFit="1" customWidth="1"/>
    <col min="10503" max="10527" width="0" style="1" hidden="1" customWidth="1"/>
    <col min="10528" max="10528" width="7.7109375" style="1" customWidth="1"/>
    <col min="10529" max="10529" width="4.7109375" style="1" customWidth="1"/>
    <col min="10530" max="10530" width="7.42578125" style="1" customWidth="1"/>
    <col min="10531" max="10531" width="5.85546875" style="1" customWidth="1"/>
    <col min="10532" max="10533" width="0" style="1" hidden="1" customWidth="1"/>
    <col min="10534" max="10534" width="7.28515625" style="1" customWidth="1"/>
    <col min="10535" max="10535" width="5.85546875" style="1" customWidth="1"/>
    <col min="10536" max="10536" width="8.140625" style="1" customWidth="1"/>
    <col min="10537" max="10537" width="6" style="1" customWidth="1"/>
    <col min="10538" max="10538" width="7.28515625" style="1" customWidth="1"/>
    <col min="10539" max="10539" width="6" style="1" customWidth="1"/>
    <col min="10540" max="10540" width="8" style="1" customWidth="1"/>
    <col min="10541" max="10541" width="5" style="1" customWidth="1"/>
    <col min="10542" max="10542" width="8" style="1" customWidth="1"/>
    <col min="10543" max="10543" width="6" style="1" customWidth="1"/>
    <col min="10544" max="10544" width="8" style="1" customWidth="1"/>
    <col min="10545" max="10545" width="6" style="1" customWidth="1"/>
    <col min="10546" max="10546" width="4" style="1" customWidth="1"/>
    <col min="10547" max="10547" width="31.42578125" style="1" bestFit="1" customWidth="1"/>
    <col min="10548" max="10553" width="9.140625" style="1"/>
    <col min="10554" max="10554" width="9.140625" style="1" customWidth="1"/>
    <col min="10555" max="10756" width="9.140625" style="1"/>
    <col min="10757" max="10757" width="5.7109375" style="1" customWidth="1"/>
    <col min="10758" max="10758" width="27.85546875" style="1" bestFit="1" customWidth="1"/>
    <col min="10759" max="10783" width="0" style="1" hidden="1" customWidth="1"/>
    <col min="10784" max="10784" width="7.7109375" style="1" customWidth="1"/>
    <col min="10785" max="10785" width="4.7109375" style="1" customWidth="1"/>
    <col min="10786" max="10786" width="7.42578125" style="1" customWidth="1"/>
    <col min="10787" max="10787" width="5.85546875" style="1" customWidth="1"/>
    <col min="10788" max="10789" width="0" style="1" hidden="1" customWidth="1"/>
    <col min="10790" max="10790" width="7.28515625" style="1" customWidth="1"/>
    <col min="10791" max="10791" width="5.85546875" style="1" customWidth="1"/>
    <col min="10792" max="10792" width="8.140625" style="1" customWidth="1"/>
    <col min="10793" max="10793" width="6" style="1" customWidth="1"/>
    <col min="10794" max="10794" width="7.28515625" style="1" customWidth="1"/>
    <col min="10795" max="10795" width="6" style="1" customWidth="1"/>
    <col min="10796" max="10796" width="8" style="1" customWidth="1"/>
    <col min="10797" max="10797" width="5" style="1" customWidth="1"/>
    <col min="10798" max="10798" width="8" style="1" customWidth="1"/>
    <col min="10799" max="10799" width="6" style="1" customWidth="1"/>
    <col min="10800" max="10800" width="8" style="1" customWidth="1"/>
    <col min="10801" max="10801" width="6" style="1" customWidth="1"/>
    <col min="10802" max="10802" width="4" style="1" customWidth="1"/>
    <col min="10803" max="10803" width="31.42578125" style="1" bestFit="1" customWidth="1"/>
    <col min="10804" max="10809" width="9.140625" style="1"/>
    <col min="10810" max="10810" width="9.140625" style="1" customWidth="1"/>
    <col min="10811" max="11012" width="9.140625" style="1"/>
    <col min="11013" max="11013" width="5.7109375" style="1" customWidth="1"/>
    <col min="11014" max="11014" width="27.85546875" style="1" bestFit="1" customWidth="1"/>
    <col min="11015" max="11039" width="0" style="1" hidden="1" customWidth="1"/>
    <col min="11040" max="11040" width="7.7109375" style="1" customWidth="1"/>
    <col min="11041" max="11041" width="4.7109375" style="1" customWidth="1"/>
    <col min="11042" max="11042" width="7.42578125" style="1" customWidth="1"/>
    <col min="11043" max="11043" width="5.85546875" style="1" customWidth="1"/>
    <col min="11044" max="11045" width="0" style="1" hidden="1" customWidth="1"/>
    <col min="11046" max="11046" width="7.28515625" style="1" customWidth="1"/>
    <col min="11047" max="11047" width="5.85546875" style="1" customWidth="1"/>
    <col min="11048" max="11048" width="8.140625" style="1" customWidth="1"/>
    <col min="11049" max="11049" width="6" style="1" customWidth="1"/>
    <col min="11050" max="11050" width="7.28515625" style="1" customWidth="1"/>
    <col min="11051" max="11051" width="6" style="1" customWidth="1"/>
    <col min="11052" max="11052" width="8" style="1" customWidth="1"/>
    <col min="11053" max="11053" width="5" style="1" customWidth="1"/>
    <col min="11054" max="11054" width="8" style="1" customWidth="1"/>
    <col min="11055" max="11055" width="6" style="1" customWidth="1"/>
    <col min="11056" max="11056" width="8" style="1" customWidth="1"/>
    <col min="11057" max="11057" width="6" style="1" customWidth="1"/>
    <col min="11058" max="11058" width="4" style="1" customWidth="1"/>
    <col min="11059" max="11059" width="31.42578125" style="1" bestFit="1" customWidth="1"/>
    <col min="11060" max="11065" width="9.140625" style="1"/>
    <col min="11066" max="11066" width="9.140625" style="1" customWidth="1"/>
    <col min="11067" max="11268" width="9.140625" style="1"/>
    <col min="11269" max="11269" width="5.7109375" style="1" customWidth="1"/>
    <col min="11270" max="11270" width="27.85546875" style="1" bestFit="1" customWidth="1"/>
    <col min="11271" max="11295" width="0" style="1" hidden="1" customWidth="1"/>
    <col min="11296" max="11296" width="7.7109375" style="1" customWidth="1"/>
    <col min="11297" max="11297" width="4.7109375" style="1" customWidth="1"/>
    <col min="11298" max="11298" width="7.42578125" style="1" customWidth="1"/>
    <col min="11299" max="11299" width="5.85546875" style="1" customWidth="1"/>
    <col min="11300" max="11301" width="0" style="1" hidden="1" customWidth="1"/>
    <col min="11302" max="11302" width="7.28515625" style="1" customWidth="1"/>
    <col min="11303" max="11303" width="5.85546875" style="1" customWidth="1"/>
    <col min="11304" max="11304" width="8.140625" style="1" customWidth="1"/>
    <col min="11305" max="11305" width="6" style="1" customWidth="1"/>
    <col min="11306" max="11306" width="7.28515625" style="1" customWidth="1"/>
    <col min="11307" max="11307" width="6" style="1" customWidth="1"/>
    <col min="11308" max="11308" width="8" style="1" customWidth="1"/>
    <col min="11309" max="11309" width="5" style="1" customWidth="1"/>
    <col min="11310" max="11310" width="8" style="1" customWidth="1"/>
    <col min="11311" max="11311" width="6" style="1" customWidth="1"/>
    <col min="11312" max="11312" width="8" style="1" customWidth="1"/>
    <col min="11313" max="11313" width="6" style="1" customWidth="1"/>
    <col min="11314" max="11314" width="4" style="1" customWidth="1"/>
    <col min="11315" max="11315" width="31.42578125" style="1" bestFit="1" customWidth="1"/>
    <col min="11316" max="11321" width="9.140625" style="1"/>
    <col min="11322" max="11322" width="9.140625" style="1" customWidth="1"/>
    <col min="11323" max="11524" width="9.140625" style="1"/>
    <col min="11525" max="11525" width="5.7109375" style="1" customWidth="1"/>
    <col min="11526" max="11526" width="27.85546875" style="1" bestFit="1" customWidth="1"/>
    <col min="11527" max="11551" width="0" style="1" hidden="1" customWidth="1"/>
    <col min="11552" max="11552" width="7.7109375" style="1" customWidth="1"/>
    <col min="11553" max="11553" width="4.7109375" style="1" customWidth="1"/>
    <col min="11554" max="11554" width="7.42578125" style="1" customWidth="1"/>
    <col min="11555" max="11555" width="5.85546875" style="1" customWidth="1"/>
    <col min="11556" max="11557" width="0" style="1" hidden="1" customWidth="1"/>
    <col min="11558" max="11558" width="7.28515625" style="1" customWidth="1"/>
    <col min="11559" max="11559" width="5.85546875" style="1" customWidth="1"/>
    <col min="11560" max="11560" width="8.140625" style="1" customWidth="1"/>
    <col min="11561" max="11561" width="6" style="1" customWidth="1"/>
    <col min="11562" max="11562" width="7.28515625" style="1" customWidth="1"/>
    <col min="11563" max="11563" width="6" style="1" customWidth="1"/>
    <col min="11564" max="11564" width="8" style="1" customWidth="1"/>
    <col min="11565" max="11565" width="5" style="1" customWidth="1"/>
    <col min="11566" max="11566" width="8" style="1" customWidth="1"/>
    <col min="11567" max="11567" width="6" style="1" customWidth="1"/>
    <col min="11568" max="11568" width="8" style="1" customWidth="1"/>
    <col min="11569" max="11569" width="6" style="1" customWidth="1"/>
    <col min="11570" max="11570" width="4" style="1" customWidth="1"/>
    <col min="11571" max="11571" width="31.42578125" style="1" bestFit="1" customWidth="1"/>
    <col min="11572" max="11577" width="9.140625" style="1"/>
    <col min="11578" max="11578" width="9.140625" style="1" customWidth="1"/>
    <col min="11579" max="11780" width="9.140625" style="1"/>
    <col min="11781" max="11781" width="5.7109375" style="1" customWidth="1"/>
    <col min="11782" max="11782" width="27.85546875" style="1" bestFit="1" customWidth="1"/>
    <col min="11783" max="11807" width="0" style="1" hidden="1" customWidth="1"/>
    <col min="11808" max="11808" width="7.7109375" style="1" customWidth="1"/>
    <col min="11809" max="11809" width="4.7109375" style="1" customWidth="1"/>
    <col min="11810" max="11810" width="7.42578125" style="1" customWidth="1"/>
    <col min="11811" max="11811" width="5.85546875" style="1" customWidth="1"/>
    <col min="11812" max="11813" width="0" style="1" hidden="1" customWidth="1"/>
    <col min="11814" max="11814" width="7.28515625" style="1" customWidth="1"/>
    <col min="11815" max="11815" width="5.85546875" style="1" customWidth="1"/>
    <col min="11816" max="11816" width="8.140625" style="1" customWidth="1"/>
    <col min="11817" max="11817" width="6" style="1" customWidth="1"/>
    <col min="11818" max="11818" width="7.28515625" style="1" customWidth="1"/>
    <col min="11819" max="11819" width="6" style="1" customWidth="1"/>
    <col min="11820" max="11820" width="8" style="1" customWidth="1"/>
    <col min="11821" max="11821" width="5" style="1" customWidth="1"/>
    <col min="11822" max="11822" width="8" style="1" customWidth="1"/>
    <col min="11823" max="11823" width="6" style="1" customWidth="1"/>
    <col min="11824" max="11824" width="8" style="1" customWidth="1"/>
    <col min="11825" max="11825" width="6" style="1" customWidth="1"/>
    <col min="11826" max="11826" width="4" style="1" customWidth="1"/>
    <col min="11827" max="11827" width="31.42578125" style="1" bestFit="1" customWidth="1"/>
    <col min="11828" max="11833" width="9.140625" style="1"/>
    <col min="11834" max="11834" width="9.140625" style="1" customWidth="1"/>
    <col min="11835" max="12036" width="9.140625" style="1"/>
    <col min="12037" max="12037" width="5.7109375" style="1" customWidth="1"/>
    <col min="12038" max="12038" width="27.85546875" style="1" bestFit="1" customWidth="1"/>
    <col min="12039" max="12063" width="0" style="1" hidden="1" customWidth="1"/>
    <col min="12064" max="12064" width="7.7109375" style="1" customWidth="1"/>
    <col min="12065" max="12065" width="4.7109375" style="1" customWidth="1"/>
    <col min="12066" max="12066" width="7.42578125" style="1" customWidth="1"/>
    <col min="12067" max="12067" width="5.85546875" style="1" customWidth="1"/>
    <col min="12068" max="12069" width="0" style="1" hidden="1" customWidth="1"/>
    <col min="12070" max="12070" width="7.28515625" style="1" customWidth="1"/>
    <col min="12071" max="12071" width="5.85546875" style="1" customWidth="1"/>
    <col min="12072" max="12072" width="8.140625" style="1" customWidth="1"/>
    <col min="12073" max="12073" width="6" style="1" customWidth="1"/>
    <col min="12074" max="12074" width="7.28515625" style="1" customWidth="1"/>
    <col min="12075" max="12075" width="6" style="1" customWidth="1"/>
    <col min="12076" max="12076" width="8" style="1" customWidth="1"/>
    <col min="12077" max="12077" width="5" style="1" customWidth="1"/>
    <col min="12078" max="12078" width="8" style="1" customWidth="1"/>
    <col min="12079" max="12079" width="6" style="1" customWidth="1"/>
    <col min="12080" max="12080" width="8" style="1" customWidth="1"/>
    <col min="12081" max="12081" width="6" style="1" customWidth="1"/>
    <col min="12082" max="12082" width="4" style="1" customWidth="1"/>
    <col min="12083" max="12083" width="31.42578125" style="1" bestFit="1" customWidth="1"/>
    <col min="12084" max="12089" width="9.140625" style="1"/>
    <col min="12090" max="12090" width="9.140625" style="1" customWidth="1"/>
    <col min="12091" max="12292" width="9.140625" style="1"/>
    <col min="12293" max="12293" width="5.7109375" style="1" customWidth="1"/>
    <col min="12294" max="12294" width="27.85546875" style="1" bestFit="1" customWidth="1"/>
    <col min="12295" max="12319" width="0" style="1" hidden="1" customWidth="1"/>
    <col min="12320" max="12320" width="7.7109375" style="1" customWidth="1"/>
    <col min="12321" max="12321" width="4.7109375" style="1" customWidth="1"/>
    <col min="12322" max="12322" width="7.42578125" style="1" customWidth="1"/>
    <col min="12323" max="12323" width="5.85546875" style="1" customWidth="1"/>
    <col min="12324" max="12325" width="0" style="1" hidden="1" customWidth="1"/>
    <col min="12326" max="12326" width="7.28515625" style="1" customWidth="1"/>
    <col min="12327" max="12327" width="5.85546875" style="1" customWidth="1"/>
    <col min="12328" max="12328" width="8.140625" style="1" customWidth="1"/>
    <col min="12329" max="12329" width="6" style="1" customWidth="1"/>
    <col min="12330" max="12330" width="7.28515625" style="1" customWidth="1"/>
    <col min="12331" max="12331" width="6" style="1" customWidth="1"/>
    <col min="12332" max="12332" width="8" style="1" customWidth="1"/>
    <col min="12333" max="12333" width="5" style="1" customWidth="1"/>
    <col min="12334" max="12334" width="8" style="1" customWidth="1"/>
    <col min="12335" max="12335" width="6" style="1" customWidth="1"/>
    <col min="12336" max="12336" width="8" style="1" customWidth="1"/>
    <col min="12337" max="12337" width="6" style="1" customWidth="1"/>
    <col min="12338" max="12338" width="4" style="1" customWidth="1"/>
    <col min="12339" max="12339" width="31.42578125" style="1" bestFit="1" customWidth="1"/>
    <col min="12340" max="12345" width="9.140625" style="1"/>
    <col min="12346" max="12346" width="9.140625" style="1" customWidth="1"/>
    <col min="12347" max="12548" width="9.140625" style="1"/>
    <col min="12549" max="12549" width="5.7109375" style="1" customWidth="1"/>
    <col min="12550" max="12550" width="27.85546875" style="1" bestFit="1" customWidth="1"/>
    <col min="12551" max="12575" width="0" style="1" hidden="1" customWidth="1"/>
    <col min="12576" max="12576" width="7.7109375" style="1" customWidth="1"/>
    <col min="12577" max="12577" width="4.7109375" style="1" customWidth="1"/>
    <col min="12578" max="12578" width="7.42578125" style="1" customWidth="1"/>
    <col min="12579" max="12579" width="5.85546875" style="1" customWidth="1"/>
    <col min="12580" max="12581" width="0" style="1" hidden="1" customWidth="1"/>
    <col min="12582" max="12582" width="7.28515625" style="1" customWidth="1"/>
    <col min="12583" max="12583" width="5.85546875" style="1" customWidth="1"/>
    <col min="12584" max="12584" width="8.140625" style="1" customWidth="1"/>
    <col min="12585" max="12585" width="6" style="1" customWidth="1"/>
    <col min="12586" max="12586" width="7.28515625" style="1" customWidth="1"/>
    <col min="12587" max="12587" width="6" style="1" customWidth="1"/>
    <col min="12588" max="12588" width="8" style="1" customWidth="1"/>
    <col min="12589" max="12589" width="5" style="1" customWidth="1"/>
    <col min="12590" max="12590" width="8" style="1" customWidth="1"/>
    <col min="12591" max="12591" width="6" style="1" customWidth="1"/>
    <col min="12592" max="12592" width="8" style="1" customWidth="1"/>
    <col min="12593" max="12593" width="6" style="1" customWidth="1"/>
    <col min="12594" max="12594" width="4" style="1" customWidth="1"/>
    <col min="12595" max="12595" width="31.42578125" style="1" bestFit="1" customWidth="1"/>
    <col min="12596" max="12601" width="9.140625" style="1"/>
    <col min="12602" max="12602" width="9.140625" style="1" customWidth="1"/>
    <col min="12603" max="12804" width="9.140625" style="1"/>
    <col min="12805" max="12805" width="5.7109375" style="1" customWidth="1"/>
    <col min="12806" max="12806" width="27.85546875" style="1" bestFit="1" customWidth="1"/>
    <col min="12807" max="12831" width="0" style="1" hidden="1" customWidth="1"/>
    <col min="12832" max="12832" width="7.7109375" style="1" customWidth="1"/>
    <col min="12833" max="12833" width="4.7109375" style="1" customWidth="1"/>
    <col min="12834" max="12834" width="7.42578125" style="1" customWidth="1"/>
    <col min="12835" max="12835" width="5.85546875" style="1" customWidth="1"/>
    <col min="12836" max="12837" width="0" style="1" hidden="1" customWidth="1"/>
    <col min="12838" max="12838" width="7.28515625" style="1" customWidth="1"/>
    <col min="12839" max="12839" width="5.85546875" style="1" customWidth="1"/>
    <col min="12840" max="12840" width="8.140625" style="1" customWidth="1"/>
    <col min="12841" max="12841" width="6" style="1" customWidth="1"/>
    <col min="12842" max="12842" width="7.28515625" style="1" customWidth="1"/>
    <col min="12843" max="12843" width="6" style="1" customWidth="1"/>
    <col min="12844" max="12844" width="8" style="1" customWidth="1"/>
    <col min="12845" max="12845" width="5" style="1" customWidth="1"/>
    <col min="12846" max="12846" width="8" style="1" customWidth="1"/>
    <col min="12847" max="12847" width="6" style="1" customWidth="1"/>
    <col min="12848" max="12848" width="8" style="1" customWidth="1"/>
    <col min="12849" max="12849" width="6" style="1" customWidth="1"/>
    <col min="12850" max="12850" width="4" style="1" customWidth="1"/>
    <col min="12851" max="12851" width="31.42578125" style="1" bestFit="1" customWidth="1"/>
    <col min="12852" max="12857" width="9.140625" style="1"/>
    <col min="12858" max="12858" width="9.140625" style="1" customWidth="1"/>
    <col min="12859" max="13060" width="9.140625" style="1"/>
    <col min="13061" max="13061" width="5.7109375" style="1" customWidth="1"/>
    <col min="13062" max="13062" width="27.85546875" style="1" bestFit="1" customWidth="1"/>
    <col min="13063" max="13087" width="0" style="1" hidden="1" customWidth="1"/>
    <col min="13088" max="13088" width="7.7109375" style="1" customWidth="1"/>
    <col min="13089" max="13089" width="4.7109375" style="1" customWidth="1"/>
    <col min="13090" max="13090" width="7.42578125" style="1" customWidth="1"/>
    <col min="13091" max="13091" width="5.85546875" style="1" customWidth="1"/>
    <col min="13092" max="13093" width="0" style="1" hidden="1" customWidth="1"/>
    <col min="13094" max="13094" width="7.28515625" style="1" customWidth="1"/>
    <col min="13095" max="13095" width="5.85546875" style="1" customWidth="1"/>
    <col min="13096" max="13096" width="8.140625" style="1" customWidth="1"/>
    <col min="13097" max="13097" width="6" style="1" customWidth="1"/>
    <col min="13098" max="13098" width="7.28515625" style="1" customWidth="1"/>
    <col min="13099" max="13099" width="6" style="1" customWidth="1"/>
    <col min="13100" max="13100" width="8" style="1" customWidth="1"/>
    <col min="13101" max="13101" width="5" style="1" customWidth="1"/>
    <col min="13102" max="13102" width="8" style="1" customWidth="1"/>
    <col min="13103" max="13103" width="6" style="1" customWidth="1"/>
    <col min="13104" max="13104" width="8" style="1" customWidth="1"/>
    <col min="13105" max="13105" width="6" style="1" customWidth="1"/>
    <col min="13106" max="13106" width="4" style="1" customWidth="1"/>
    <col min="13107" max="13107" width="31.42578125" style="1" bestFit="1" customWidth="1"/>
    <col min="13108" max="13113" width="9.140625" style="1"/>
    <col min="13114" max="13114" width="9.140625" style="1" customWidth="1"/>
    <col min="13115" max="13316" width="9.140625" style="1"/>
    <col min="13317" max="13317" width="5.7109375" style="1" customWidth="1"/>
    <col min="13318" max="13318" width="27.85546875" style="1" bestFit="1" customWidth="1"/>
    <col min="13319" max="13343" width="0" style="1" hidden="1" customWidth="1"/>
    <col min="13344" max="13344" width="7.7109375" style="1" customWidth="1"/>
    <col min="13345" max="13345" width="4.7109375" style="1" customWidth="1"/>
    <col min="13346" max="13346" width="7.42578125" style="1" customWidth="1"/>
    <col min="13347" max="13347" width="5.85546875" style="1" customWidth="1"/>
    <col min="13348" max="13349" width="0" style="1" hidden="1" customWidth="1"/>
    <col min="13350" max="13350" width="7.28515625" style="1" customWidth="1"/>
    <col min="13351" max="13351" width="5.85546875" style="1" customWidth="1"/>
    <col min="13352" max="13352" width="8.140625" style="1" customWidth="1"/>
    <col min="13353" max="13353" width="6" style="1" customWidth="1"/>
    <col min="13354" max="13354" width="7.28515625" style="1" customWidth="1"/>
    <col min="13355" max="13355" width="6" style="1" customWidth="1"/>
    <col min="13356" max="13356" width="8" style="1" customWidth="1"/>
    <col min="13357" max="13357" width="5" style="1" customWidth="1"/>
    <col min="13358" max="13358" width="8" style="1" customWidth="1"/>
    <col min="13359" max="13359" width="6" style="1" customWidth="1"/>
    <col min="13360" max="13360" width="8" style="1" customWidth="1"/>
    <col min="13361" max="13361" width="6" style="1" customWidth="1"/>
    <col min="13362" max="13362" width="4" style="1" customWidth="1"/>
    <col min="13363" max="13363" width="31.42578125" style="1" bestFit="1" customWidth="1"/>
    <col min="13364" max="13369" width="9.140625" style="1"/>
    <col min="13370" max="13370" width="9.140625" style="1" customWidth="1"/>
    <col min="13371" max="13572" width="9.140625" style="1"/>
    <col min="13573" max="13573" width="5.7109375" style="1" customWidth="1"/>
    <col min="13574" max="13574" width="27.85546875" style="1" bestFit="1" customWidth="1"/>
    <col min="13575" max="13599" width="0" style="1" hidden="1" customWidth="1"/>
    <col min="13600" max="13600" width="7.7109375" style="1" customWidth="1"/>
    <col min="13601" max="13601" width="4.7109375" style="1" customWidth="1"/>
    <col min="13602" max="13602" width="7.42578125" style="1" customWidth="1"/>
    <col min="13603" max="13603" width="5.85546875" style="1" customWidth="1"/>
    <col min="13604" max="13605" width="0" style="1" hidden="1" customWidth="1"/>
    <col min="13606" max="13606" width="7.28515625" style="1" customWidth="1"/>
    <col min="13607" max="13607" width="5.85546875" style="1" customWidth="1"/>
    <col min="13608" max="13608" width="8.140625" style="1" customWidth="1"/>
    <col min="13609" max="13609" width="6" style="1" customWidth="1"/>
    <col min="13610" max="13610" width="7.28515625" style="1" customWidth="1"/>
    <col min="13611" max="13611" width="6" style="1" customWidth="1"/>
    <col min="13612" max="13612" width="8" style="1" customWidth="1"/>
    <col min="13613" max="13613" width="5" style="1" customWidth="1"/>
    <col min="13614" max="13614" width="8" style="1" customWidth="1"/>
    <col min="13615" max="13615" width="6" style="1" customWidth="1"/>
    <col min="13616" max="13616" width="8" style="1" customWidth="1"/>
    <col min="13617" max="13617" width="6" style="1" customWidth="1"/>
    <col min="13618" max="13618" width="4" style="1" customWidth="1"/>
    <col min="13619" max="13619" width="31.42578125" style="1" bestFit="1" customWidth="1"/>
    <col min="13620" max="13625" width="9.140625" style="1"/>
    <col min="13626" max="13626" width="9.140625" style="1" customWidth="1"/>
    <col min="13627" max="13828" width="9.140625" style="1"/>
    <col min="13829" max="13829" width="5.7109375" style="1" customWidth="1"/>
    <col min="13830" max="13830" width="27.85546875" style="1" bestFit="1" customWidth="1"/>
    <col min="13831" max="13855" width="0" style="1" hidden="1" customWidth="1"/>
    <col min="13856" max="13856" width="7.7109375" style="1" customWidth="1"/>
    <col min="13857" max="13857" width="4.7109375" style="1" customWidth="1"/>
    <col min="13858" max="13858" width="7.42578125" style="1" customWidth="1"/>
    <col min="13859" max="13859" width="5.85546875" style="1" customWidth="1"/>
    <col min="13860" max="13861" width="0" style="1" hidden="1" customWidth="1"/>
    <col min="13862" max="13862" width="7.28515625" style="1" customWidth="1"/>
    <col min="13863" max="13863" width="5.85546875" style="1" customWidth="1"/>
    <col min="13864" max="13864" width="8.140625" style="1" customWidth="1"/>
    <col min="13865" max="13865" width="6" style="1" customWidth="1"/>
    <col min="13866" max="13866" width="7.28515625" style="1" customWidth="1"/>
    <col min="13867" max="13867" width="6" style="1" customWidth="1"/>
    <col min="13868" max="13868" width="8" style="1" customWidth="1"/>
    <col min="13869" max="13869" width="5" style="1" customWidth="1"/>
    <col min="13870" max="13870" width="8" style="1" customWidth="1"/>
    <col min="13871" max="13871" width="6" style="1" customWidth="1"/>
    <col min="13872" max="13872" width="8" style="1" customWidth="1"/>
    <col min="13873" max="13873" width="6" style="1" customWidth="1"/>
    <col min="13874" max="13874" width="4" style="1" customWidth="1"/>
    <col min="13875" max="13875" width="31.42578125" style="1" bestFit="1" customWidth="1"/>
    <col min="13876" max="13881" width="9.140625" style="1"/>
    <col min="13882" max="13882" width="9.140625" style="1" customWidth="1"/>
    <col min="13883" max="14084" width="9.140625" style="1"/>
    <col min="14085" max="14085" width="5.7109375" style="1" customWidth="1"/>
    <col min="14086" max="14086" width="27.85546875" style="1" bestFit="1" customWidth="1"/>
    <col min="14087" max="14111" width="0" style="1" hidden="1" customWidth="1"/>
    <col min="14112" max="14112" width="7.7109375" style="1" customWidth="1"/>
    <col min="14113" max="14113" width="4.7109375" style="1" customWidth="1"/>
    <col min="14114" max="14114" width="7.42578125" style="1" customWidth="1"/>
    <col min="14115" max="14115" width="5.85546875" style="1" customWidth="1"/>
    <col min="14116" max="14117" width="0" style="1" hidden="1" customWidth="1"/>
    <col min="14118" max="14118" width="7.28515625" style="1" customWidth="1"/>
    <col min="14119" max="14119" width="5.85546875" style="1" customWidth="1"/>
    <col min="14120" max="14120" width="8.140625" style="1" customWidth="1"/>
    <col min="14121" max="14121" width="6" style="1" customWidth="1"/>
    <col min="14122" max="14122" width="7.28515625" style="1" customWidth="1"/>
    <col min="14123" max="14123" width="6" style="1" customWidth="1"/>
    <col min="14124" max="14124" width="8" style="1" customWidth="1"/>
    <col min="14125" max="14125" width="5" style="1" customWidth="1"/>
    <col min="14126" max="14126" width="8" style="1" customWidth="1"/>
    <col min="14127" max="14127" width="6" style="1" customWidth="1"/>
    <col min="14128" max="14128" width="8" style="1" customWidth="1"/>
    <col min="14129" max="14129" width="6" style="1" customWidth="1"/>
    <col min="14130" max="14130" width="4" style="1" customWidth="1"/>
    <col min="14131" max="14131" width="31.42578125" style="1" bestFit="1" customWidth="1"/>
    <col min="14132" max="14137" width="9.140625" style="1"/>
    <col min="14138" max="14138" width="9.140625" style="1" customWidth="1"/>
    <col min="14139" max="14340" width="9.140625" style="1"/>
    <col min="14341" max="14341" width="5.7109375" style="1" customWidth="1"/>
    <col min="14342" max="14342" width="27.85546875" style="1" bestFit="1" customWidth="1"/>
    <col min="14343" max="14367" width="0" style="1" hidden="1" customWidth="1"/>
    <col min="14368" max="14368" width="7.7109375" style="1" customWidth="1"/>
    <col min="14369" max="14369" width="4.7109375" style="1" customWidth="1"/>
    <col min="14370" max="14370" width="7.42578125" style="1" customWidth="1"/>
    <col min="14371" max="14371" width="5.85546875" style="1" customWidth="1"/>
    <col min="14372" max="14373" width="0" style="1" hidden="1" customWidth="1"/>
    <col min="14374" max="14374" width="7.28515625" style="1" customWidth="1"/>
    <col min="14375" max="14375" width="5.85546875" style="1" customWidth="1"/>
    <col min="14376" max="14376" width="8.140625" style="1" customWidth="1"/>
    <col min="14377" max="14377" width="6" style="1" customWidth="1"/>
    <col min="14378" max="14378" width="7.28515625" style="1" customWidth="1"/>
    <col min="14379" max="14379" width="6" style="1" customWidth="1"/>
    <col min="14380" max="14380" width="8" style="1" customWidth="1"/>
    <col min="14381" max="14381" width="5" style="1" customWidth="1"/>
    <col min="14382" max="14382" width="8" style="1" customWidth="1"/>
    <col min="14383" max="14383" width="6" style="1" customWidth="1"/>
    <col min="14384" max="14384" width="8" style="1" customWidth="1"/>
    <col min="14385" max="14385" width="6" style="1" customWidth="1"/>
    <col min="14386" max="14386" width="4" style="1" customWidth="1"/>
    <col min="14387" max="14387" width="31.42578125" style="1" bestFit="1" customWidth="1"/>
    <col min="14388" max="14393" width="9.140625" style="1"/>
    <col min="14394" max="14394" width="9.140625" style="1" customWidth="1"/>
    <col min="14395" max="14596" width="9.140625" style="1"/>
    <col min="14597" max="14597" width="5.7109375" style="1" customWidth="1"/>
    <col min="14598" max="14598" width="27.85546875" style="1" bestFit="1" customWidth="1"/>
    <col min="14599" max="14623" width="0" style="1" hidden="1" customWidth="1"/>
    <col min="14624" max="14624" width="7.7109375" style="1" customWidth="1"/>
    <col min="14625" max="14625" width="4.7109375" style="1" customWidth="1"/>
    <col min="14626" max="14626" width="7.42578125" style="1" customWidth="1"/>
    <col min="14627" max="14627" width="5.85546875" style="1" customWidth="1"/>
    <col min="14628" max="14629" width="0" style="1" hidden="1" customWidth="1"/>
    <col min="14630" max="14630" width="7.28515625" style="1" customWidth="1"/>
    <col min="14631" max="14631" width="5.85546875" style="1" customWidth="1"/>
    <col min="14632" max="14632" width="8.140625" style="1" customWidth="1"/>
    <col min="14633" max="14633" width="6" style="1" customWidth="1"/>
    <col min="14634" max="14634" width="7.28515625" style="1" customWidth="1"/>
    <col min="14635" max="14635" width="6" style="1" customWidth="1"/>
    <col min="14636" max="14636" width="8" style="1" customWidth="1"/>
    <col min="14637" max="14637" width="5" style="1" customWidth="1"/>
    <col min="14638" max="14638" width="8" style="1" customWidth="1"/>
    <col min="14639" max="14639" width="6" style="1" customWidth="1"/>
    <col min="14640" max="14640" width="8" style="1" customWidth="1"/>
    <col min="14641" max="14641" width="6" style="1" customWidth="1"/>
    <col min="14642" max="14642" width="4" style="1" customWidth="1"/>
    <col min="14643" max="14643" width="31.42578125" style="1" bestFit="1" customWidth="1"/>
    <col min="14644" max="14649" width="9.140625" style="1"/>
    <col min="14650" max="14650" width="9.140625" style="1" customWidth="1"/>
    <col min="14651" max="14852" width="9.140625" style="1"/>
    <col min="14853" max="14853" width="5.7109375" style="1" customWidth="1"/>
    <col min="14854" max="14854" width="27.85546875" style="1" bestFit="1" customWidth="1"/>
    <col min="14855" max="14879" width="0" style="1" hidden="1" customWidth="1"/>
    <col min="14880" max="14880" width="7.7109375" style="1" customWidth="1"/>
    <col min="14881" max="14881" width="4.7109375" style="1" customWidth="1"/>
    <col min="14882" max="14882" width="7.42578125" style="1" customWidth="1"/>
    <col min="14883" max="14883" width="5.85546875" style="1" customWidth="1"/>
    <col min="14884" max="14885" width="0" style="1" hidden="1" customWidth="1"/>
    <col min="14886" max="14886" width="7.28515625" style="1" customWidth="1"/>
    <col min="14887" max="14887" width="5.85546875" style="1" customWidth="1"/>
    <col min="14888" max="14888" width="8.140625" style="1" customWidth="1"/>
    <col min="14889" max="14889" width="6" style="1" customWidth="1"/>
    <col min="14890" max="14890" width="7.28515625" style="1" customWidth="1"/>
    <col min="14891" max="14891" width="6" style="1" customWidth="1"/>
    <col min="14892" max="14892" width="8" style="1" customWidth="1"/>
    <col min="14893" max="14893" width="5" style="1" customWidth="1"/>
    <col min="14894" max="14894" width="8" style="1" customWidth="1"/>
    <col min="14895" max="14895" width="6" style="1" customWidth="1"/>
    <col min="14896" max="14896" width="8" style="1" customWidth="1"/>
    <col min="14897" max="14897" width="6" style="1" customWidth="1"/>
    <col min="14898" max="14898" width="4" style="1" customWidth="1"/>
    <col min="14899" max="14899" width="31.42578125" style="1" bestFit="1" customWidth="1"/>
    <col min="14900" max="14905" width="9.140625" style="1"/>
    <col min="14906" max="14906" width="9.140625" style="1" customWidth="1"/>
    <col min="14907" max="15108" width="9.140625" style="1"/>
    <col min="15109" max="15109" width="5.7109375" style="1" customWidth="1"/>
    <col min="15110" max="15110" width="27.85546875" style="1" bestFit="1" customWidth="1"/>
    <col min="15111" max="15135" width="0" style="1" hidden="1" customWidth="1"/>
    <col min="15136" max="15136" width="7.7109375" style="1" customWidth="1"/>
    <col min="15137" max="15137" width="4.7109375" style="1" customWidth="1"/>
    <col min="15138" max="15138" width="7.42578125" style="1" customWidth="1"/>
    <col min="15139" max="15139" width="5.85546875" style="1" customWidth="1"/>
    <col min="15140" max="15141" width="0" style="1" hidden="1" customWidth="1"/>
    <col min="15142" max="15142" width="7.28515625" style="1" customWidth="1"/>
    <col min="15143" max="15143" width="5.85546875" style="1" customWidth="1"/>
    <col min="15144" max="15144" width="8.140625" style="1" customWidth="1"/>
    <col min="15145" max="15145" width="6" style="1" customWidth="1"/>
    <col min="15146" max="15146" width="7.28515625" style="1" customWidth="1"/>
    <col min="15147" max="15147" width="6" style="1" customWidth="1"/>
    <col min="15148" max="15148" width="8" style="1" customWidth="1"/>
    <col min="15149" max="15149" width="5" style="1" customWidth="1"/>
    <col min="15150" max="15150" width="8" style="1" customWidth="1"/>
    <col min="15151" max="15151" width="6" style="1" customWidth="1"/>
    <col min="15152" max="15152" width="8" style="1" customWidth="1"/>
    <col min="15153" max="15153" width="6" style="1" customWidth="1"/>
    <col min="15154" max="15154" width="4" style="1" customWidth="1"/>
    <col min="15155" max="15155" width="31.42578125" style="1" bestFit="1" customWidth="1"/>
    <col min="15156" max="15161" width="9.140625" style="1"/>
    <col min="15162" max="15162" width="9.140625" style="1" customWidth="1"/>
    <col min="15163" max="15364" width="9.140625" style="1"/>
    <col min="15365" max="15365" width="5.7109375" style="1" customWidth="1"/>
    <col min="15366" max="15366" width="27.85546875" style="1" bestFit="1" customWidth="1"/>
    <col min="15367" max="15391" width="0" style="1" hidden="1" customWidth="1"/>
    <col min="15392" max="15392" width="7.7109375" style="1" customWidth="1"/>
    <col min="15393" max="15393" width="4.7109375" style="1" customWidth="1"/>
    <col min="15394" max="15394" width="7.42578125" style="1" customWidth="1"/>
    <col min="15395" max="15395" width="5.85546875" style="1" customWidth="1"/>
    <col min="15396" max="15397" width="0" style="1" hidden="1" customWidth="1"/>
    <col min="15398" max="15398" width="7.28515625" style="1" customWidth="1"/>
    <col min="15399" max="15399" width="5.85546875" style="1" customWidth="1"/>
    <col min="15400" max="15400" width="8.140625" style="1" customWidth="1"/>
    <col min="15401" max="15401" width="6" style="1" customWidth="1"/>
    <col min="15402" max="15402" width="7.28515625" style="1" customWidth="1"/>
    <col min="15403" max="15403" width="6" style="1" customWidth="1"/>
    <col min="15404" max="15404" width="8" style="1" customWidth="1"/>
    <col min="15405" max="15405" width="5" style="1" customWidth="1"/>
    <col min="15406" max="15406" width="8" style="1" customWidth="1"/>
    <col min="15407" max="15407" width="6" style="1" customWidth="1"/>
    <col min="15408" max="15408" width="8" style="1" customWidth="1"/>
    <col min="15409" max="15409" width="6" style="1" customWidth="1"/>
    <col min="15410" max="15410" width="4" style="1" customWidth="1"/>
    <col min="15411" max="15411" width="31.42578125" style="1" bestFit="1" customWidth="1"/>
    <col min="15412" max="15417" width="9.140625" style="1"/>
    <col min="15418" max="15418" width="9.140625" style="1" customWidth="1"/>
    <col min="15419" max="15620" width="9.140625" style="1"/>
    <col min="15621" max="15621" width="5.7109375" style="1" customWidth="1"/>
    <col min="15622" max="15622" width="27.85546875" style="1" bestFit="1" customWidth="1"/>
    <col min="15623" max="15647" width="0" style="1" hidden="1" customWidth="1"/>
    <col min="15648" max="15648" width="7.7109375" style="1" customWidth="1"/>
    <col min="15649" max="15649" width="4.7109375" style="1" customWidth="1"/>
    <col min="15650" max="15650" width="7.42578125" style="1" customWidth="1"/>
    <col min="15651" max="15651" width="5.85546875" style="1" customWidth="1"/>
    <col min="15652" max="15653" width="0" style="1" hidden="1" customWidth="1"/>
    <col min="15654" max="15654" width="7.28515625" style="1" customWidth="1"/>
    <col min="15655" max="15655" width="5.85546875" style="1" customWidth="1"/>
    <col min="15656" max="15656" width="8.140625" style="1" customWidth="1"/>
    <col min="15657" max="15657" width="6" style="1" customWidth="1"/>
    <col min="15658" max="15658" width="7.28515625" style="1" customWidth="1"/>
    <col min="15659" max="15659" width="6" style="1" customWidth="1"/>
    <col min="15660" max="15660" width="8" style="1" customWidth="1"/>
    <col min="15661" max="15661" width="5" style="1" customWidth="1"/>
    <col min="15662" max="15662" width="8" style="1" customWidth="1"/>
    <col min="15663" max="15663" width="6" style="1" customWidth="1"/>
    <col min="15664" max="15664" width="8" style="1" customWidth="1"/>
    <col min="15665" max="15665" width="6" style="1" customWidth="1"/>
    <col min="15666" max="15666" width="4" style="1" customWidth="1"/>
    <col min="15667" max="15667" width="31.42578125" style="1" bestFit="1" customWidth="1"/>
    <col min="15668" max="15673" width="9.140625" style="1"/>
    <col min="15674" max="15674" width="9.140625" style="1" customWidth="1"/>
    <col min="15675" max="15876" width="9.140625" style="1"/>
    <col min="15877" max="15877" width="5.7109375" style="1" customWidth="1"/>
    <col min="15878" max="15878" width="27.85546875" style="1" bestFit="1" customWidth="1"/>
    <col min="15879" max="15903" width="0" style="1" hidden="1" customWidth="1"/>
    <col min="15904" max="15904" width="7.7109375" style="1" customWidth="1"/>
    <col min="15905" max="15905" width="4.7109375" style="1" customWidth="1"/>
    <col min="15906" max="15906" width="7.42578125" style="1" customWidth="1"/>
    <col min="15907" max="15907" width="5.85546875" style="1" customWidth="1"/>
    <col min="15908" max="15909" width="0" style="1" hidden="1" customWidth="1"/>
    <col min="15910" max="15910" width="7.28515625" style="1" customWidth="1"/>
    <col min="15911" max="15911" width="5.85546875" style="1" customWidth="1"/>
    <col min="15912" max="15912" width="8.140625" style="1" customWidth="1"/>
    <col min="15913" max="15913" width="6" style="1" customWidth="1"/>
    <col min="15914" max="15914" width="7.28515625" style="1" customWidth="1"/>
    <col min="15915" max="15915" width="6" style="1" customWidth="1"/>
    <col min="15916" max="15916" width="8" style="1" customWidth="1"/>
    <col min="15917" max="15917" width="5" style="1" customWidth="1"/>
    <col min="15918" max="15918" width="8" style="1" customWidth="1"/>
    <col min="15919" max="15919" width="6" style="1" customWidth="1"/>
    <col min="15920" max="15920" width="8" style="1" customWidth="1"/>
    <col min="15921" max="15921" width="6" style="1" customWidth="1"/>
    <col min="15922" max="15922" width="4" style="1" customWidth="1"/>
    <col min="15923" max="15923" width="31.42578125" style="1" bestFit="1" customWidth="1"/>
    <col min="15924" max="15929" width="9.140625" style="1"/>
    <col min="15930" max="15930" width="9.140625" style="1" customWidth="1"/>
    <col min="15931" max="16132" width="9.140625" style="1"/>
    <col min="16133" max="16133" width="5.7109375" style="1" customWidth="1"/>
    <col min="16134" max="16134" width="27.85546875" style="1" bestFit="1" customWidth="1"/>
    <col min="16135" max="16159" width="0" style="1" hidden="1" customWidth="1"/>
    <col min="16160" max="16160" width="7.7109375" style="1" customWidth="1"/>
    <col min="16161" max="16161" width="4.7109375" style="1" customWidth="1"/>
    <col min="16162" max="16162" width="7.42578125" style="1" customWidth="1"/>
    <col min="16163" max="16163" width="5.85546875" style="1" customWidth="1"/>
    <col min="16164" max="16165" width="0" style="1" hidden="1" customWidth="1"/>
    <col min="16166" max="16166" width="7.28515625" style="1" customWidth="1"/>
    <col min="16167" max="16167" width="5.85546875" style="1" customWidth="1"/>
    <col min="16168" max="16168" width="8.140625" style="1" customWidth="1"/>
    <col min="16169" max="16169" width="6" style="1" customWidth="1"/>
    <col min="16170" max="16170" width="7.28515625" style="1" customWidth="1"/>
    <col min="16171" max="16171" width="6" style="1" customWidth="1"/>
    <col min="16172" max="16172" width="8" style="1" customWidth="1"/>
    <col min="16173" max="16173" width="5" style="1" customWidth="1"/>
    <col min="16174" max="16174" width="8" style="1" customWidth="1"/>
    <col min="16175" max="16175" width="6" style="1" customWidth="1"/>
    <col min="16176" max="16176" width="8" style="1" customWidth="1"/>
    <col min="16177" max="16177" width="6" style="1" customWidth="1"/>
    <col min="16178" max="16178" width="4" style="1" customWidth="1"/>
    <col min="16179" max="16179" width="31.42578125" style="1" bestFit="1" customWidth="1"/>
    <col min="16180" max="16185" width="9.140625" style="1"/>
    <col min="16186" max="16186" width="9.140625" style="1" customWidth="1"/>
    <col min="16187" max="16384" width="9.140625" style="1"/>
  </cols>
  <sheetData>
    <row r="1" spans="1:60" ht="15" customHeight="1" x14ac:dyDescent="0.2">
      <c r="A1" s="136" t="s">
        <v>89</v>
      </c>
    </row>
    <row r="2" spans="1:60" x14ac:dyDescent="0.2">
      <c r="A2" s="3"/>
      <c r="B2" s="3"/>
      <c r="C2" s="4"/>
      <c r="D2" s="4"/>
      <c r="E2" s="5"/>
      <c r="F2" s="4"/>
      <c r="G2" s="5"/>
      <c r="H2" s="4"/>
      <c r="I2" s="5"/>
      <c r="J2" s="4"/>
      <c r="K2" s="5"/>
      <c r="L2" s="4"/>
    </row>
    <row r="3" spans="1:60" x14ac:dyDescent="0.2">
      <c r="A3" s="136" t="s">
        <v>120</v>
      </c>
    </row>
    <row r="4" spans="1:60" ht="13.5" thickBot="1" x14ac:dyDescent="0.25">
      <c r="BA4" s="2" t="s">
        <v>0</v>
      </c>
    </row>
    <row r="5" spans="1:60" x14ac:dyDescent="0.2">
      <c r="A5" s="6"/>
      <c r="B5" s="6"/>
      <c r="C5" s="175" t="s">
        <v>1</v>
      </c>
      <c r="D5" s="176"/>
      <c r="E5" s="7"/>
      <c r="F5" s="8" t="s">
        <v>1</v>
      </c>
      <c r="G5" s="7"/>
      <c r="H5" s="9" t="s">
        <v>1</v>
      </c>
      <c r="I5" s="10"/>
      <c r="J5" s="9" t="s">
        <v>1</v>
      </c>
      <c r="K5" s="10"/>
      <c r="L5" s="138" t="s">
        <v>1</v>
      </c>
      <c r="M5" s="10"/>
      <c r="N5" s="11" t="s">
        <v>1</v>
      </c>
      <c r="O5" s="12"/>
      <c r="P5" s="11" t="s">
        <v>1</v>
      </c>
      <c r="Q5" s="12"/>
      <c r="R5" s="11" t="s">
        <v>1</v>
      </c>
      <c r="S5" s="12"/>
      <c r="T5" s="11" t="s">
        <v>1</v>
      </c>
      <c r="U5" s="13"/>
      <c r="V5" s="11" t="s">
        <v>1</v>
      </c>
      <c r="W5" s="14"/>
      <c r="X5" s="11" t="s">
        <v>1</v>
      </c>
      <c r="Y5" s="14"/>
      <c r="Z5" s="138" t="s">
        <v>1</v>
      </c>
      <c r="AA5" s="14"/>
      <c r="AB5" s="138" t="s">
        <v>1</v>
      </c>
      <c r="AC5" s="14"/>
      <c r="AD5" s="138" t="s">
        <v>1</v>
      </c>
      <c r="AE5" s="14"/>
      <c r="AF5" s="138" t="s">
        <v>2</v>
      </c>
      <c r="AG5" s="14"/>
      <c r="AH5" s="138" t="s">
        <v>1</v>
      </c>
      <c r="AI5" s="14"/>
      <c r="AJ5" s="138" t="s">
        <v>1</v>
      </c>
      <c r="AK5" s="14"/>
      <c r="AL5" s="139" t="s">
        <v>1</v>
      </c>
      <c r="AM5" s="14"/>
      <c r="AN5" s="11" t="s">
        <v>1</v>
      </c>
      <c r="AO5" s="14"/>
      <c r="AP5" s="138" t="s">
        <v>107</v>
      </c>
      <c r="AQ5" s="14"/>
      <c r="AR5" s="138" t="s">
        <v>3</v>
      </c>
      <c r="AS5" s="14"/>
      <c r="AT5" s="138" t="s">
        <v>3</v>
      </c>
      <c r="AU5" s="14"/>
      <c r="AV5" s="140" t="s">
        <v>3</v>
      </c>
      <c r="AW5" s="14"/>
      <c r="AX5" s="172" t="s">
        <v>3</v>
      </c>
      <c r="AY5" s="14"/>
      <c r="BA5" s="15" t="s">
        <v>4</v>
      </c>
      <c r="BB5" s="16" t="s">
        <v>5</v>
      </c>
      <c r="BC5" s="16" t="s">
        <v>5</v>
      </c>
      <c r="BD5" s="16" t="s">
        <v>5</v>
      </c>
      <c r="BE5" s="16" t="s">
        <v>5</v>
      </c>
      <c r="BF5" s="16" t="s">
        <v>5</v>
      </c>
      <c r="BG5" s="16" t="s">
        <v>5</v>
      </c>
      <c r="BH5" s="17" t="s">
        <v>106</v>
      </c>
    </row>
    <row r="6" spans="1:60" ht="13.5" thickBot="1" x14ac:dyDescent="0.25">
      <c r="A6" s="18" t="s">
        <v>6</v>
      </c>
      <c r="B6" s="19" t="s">
        <v>7</v>
      </c>
      <c r="C6" s="20">
        <v>2000</v>
      </c>
      <c r="D6" s="21">
        <v>2001</v>
      </c>
      <c r="E6" s="22" t="s">
        <v>8</v>
      </c>
      <c r="F6" s="21">
        <v>2002</v>
      </c>
      <c r="G6" s="23" t="s">
        <v>9</v>
      </c>
      <c r="H6" s="24">
        <v>2003</v>
      </c>
      <c r="I6" s="23" t="s">
        <v>10</v>
      </c>
      <c r="J6" s="21">
        <v>2004</v>
      </c>
      <c r="K6" s="23" t="s">
        <v>11</v>
      </c>
      <c r="L6" s="21">
        <v>2005</v>
      </c>
      <c r="M6" s="23" t="s">
        <v>12</v>
      </c>
      <c r="N6" s="21">
        <v>2006</v>
      </c>
      <c r="O6" s="23" t="s">
        <v>13</v>
      </c>
      <c r="P6" s="21">
        <v>2007</v>
      </c>
      <c r="Q6" s="23" t="s">
        <v>14</v>
      </c>
      <c r="R6" s="21">
        <v>2008</v>
      </c>
      <c r="S6" s="23" t="s">
        <v>15</v>
      </c>
      <c r="T6" s="21">
        <v>2009</v>
      </c>
      <c r="U6" s="25" t="s">
        <v>16</v>
      </c>
      <c r="V6" s="20">
        <v>2010</v>
      </c>
      <c r="W6" s="26" t="s">
        <v>17</v>
      </c>
      <c r="X6" s="21">
        <v>2011</v>
      </c>
      <c r="Y6" s="26" t="s">
        <v>18</v>
      </c>
      <c r="Z6" s="21">
        <v>2012</v>
      </c>
      <c r="AA6" s="26" t="s">
        <v>19</v>
      </c>
      <c r="AB6" s="21">
        <v>2013</v>
      </c>
      <c r="AC6" s="26" t="s">
        <v>20</v>
      </c>
      <c r="AD6" s="21">
        <v>2014</v>
      </c>
      <c r="AE6" s="26" t="s">
        <v>21</v>
      </c>
      <c r="AF6" s="21">
        <v>2015</v>
      </c>
      <c r="AG6" s="26" t="s">
        <v>22</v>
      </c>
      <c r="AH6" s="21">
        <v>2015</v>
      </c>
      <c r="AI6" s="26" t="s">
        <v>22</v>
      </c>
      <c r="AJ6" s="21">
        <v>2016</v>
      </c>
      <c r="AK6" s="26" t="s">
        <v>23</v>
      </c>
      <c r="AL6" s="21">
        <v>2017</v>
      </c>
      <c r="AM6" s="26" t="s">
        <v>24</v>
      </c>
      <c r="AN6" s="21">
        <v>2018</v>
      </c>
      <c r="AO6" s="26" t="s">
        <v>25</v>
      </c>
      <c r="AP6" s="21">
        <v>2019</v>
      </c>
      <c r="AQ6" s="26" t="s">
        <v>26</v>
      </c>
      <c r="AR6" s="21">
        <v>2020</v>
      </c>
      <c r="AS6" s="26" t="s">
        <v>84</v>
      </c>
      <c r="AT6" s="21">
        <v>2021</v>
      </c>
      <c r="AU6" s="26" t="s">
        <v>85</v>
      </c>
      <c r="AV6" s="21">
        <v>2022</v>
      </c>
      <c r="AW6" s="26" t="s">
        <v>108</v>
      </c>
      <c r="AX6" s="21">
        <v>2023</v>
      </c>
      <c r="AY6" s="26" t="s">
        <v>109</v>
      </c>
      <c r="AZ6" s="27"/>
      <c r="BA6" s="28"/>
      <c r="BB6" s="29">
        <v>2013</v>
      </c>
      <c r="BC6" s="29">
        <v>2014</v>
      </c>
      <c r="BD6" s="29">
        <v>2015</v>
      </c>
      <c r="BE6" s="29">
        <v>2016</v>
      </c>
      <c r="BF6" s="29">
        <v>2017</v>
      </c>
      <c r="BG6" s="29">
        <v>2018</v>
      </c>
      <c r="BH6" s="29">
        <v>2019</v>
      </c>
    </row>
    <row r="7" spans="1:60" ht="13.5" thickBot="1" x14ac:dyDescent="0.25">
      <c r="A7" s="30">
        <v>1</v>
      </c>
      <c r="B7" s="31" t="s">
        <v>27</v>
      </c>
      <c r="C7" s="32"/>
      <c r="D7" s="33"/>
      <c r="E7" s="34"/>
      <c r="F7" s="33"/>
      <c r="G7" s="34"/>
      <c r="H7" s="35"/>
      <c r="I7" s="34"/>
      <c r="J7" s="36"/>
      <c r="K7" s="37"/>
      <c r="L7" s="36"/>
      <c r="M7" s="38"/>
      <c r="N7" s="36"/>
      <c r="O7" s="38"/>
      <c r="P7" s="36"/>
      <c r="Q7" s="38"/>
      <c r="R7" s="36"/>
      <c r="S7" s="38"/>
      <c r="T7" s="36"/>
      <c r="U7" s="39"/>
      <c r="V7" s="40"/>
      <c r="W7" s="41"/>
      <c r="X7" s="36"/>
      <c r="Y7" s="41"/>
      <c r="Z7" s="36"/>
      <c r="AA7" s="41"/>
      <c r="AB7" s="36"/>
      <c r="AC7" s="41"/>
      <c r="AD7" s="36"/>
      <c r="AE7" s="41"/>
      <c r="AF7" s="36"/>
      <c r="AG7" s="41"/>
      <c r="AH7" s="36"/>
      <c r="AI7" s="41"/>
      <c r="AJ7" s="36"/>
      <c r="AK7" s="41"/>
      <c r="AL7" s="36"/>
      <c r="AM7" s="41"/>
      <c r="AN7" s="36"/>
      <c r="AO7" s="41"/>
      <c r="AP7" s="36"/>
      <c r="AQ7" s="41"/>
      <c r="AR7" s="36"/>
      <c r="AS7" s="41"/>
      <c r="AT7" s="36"/>
      <c r="AU7" s="41"/>
      <c r="AV7" s="36"/>
      <c r="AW7" s="41"/>
      <c r="AX7" s="36"/>
      <c r="AY7" s="41"/>
      <c r="BA7" s="42" t="s">
        <v>28</v>
      </c>
      <c r="BB7" s="43">
        <v>11632</v>
      </c>
      <c r="BC7" s="43">
        <f t="shared" ref="BC7:BH7" si="0">SUM(BC8:BC16)</f>
        <v>11437</v>
      </c>
      <c r="BD7" s="43">
        <f t="shared" si="0"/>
        <v>24650</v>
      </c>
      <c r="BE7" s="43">
        <f t="shared" si="0"/>
        <v>3000</v>
      </c>
      <c r="BF7" s="43">
        <f t="shared" si="0"/>
        <v>30925</v>
      </c>
      <c r="BG7" s="43">
        <f t="shared" si="0"/>
        <v>20186</v>
      </c>
      <c r="BH7" s="43">
        <f t="shared" si="0"/>
        <v>16084</v>
      </c>
    </row>
    <row r="8" spans="1:60" x14ac:dyDescent="0.2">
      <c r="A8" s="30"/>
      <c r="B8" s="31"/>
      <c r="C8" s="32"/>
      <c r="D8" s="33"/>
      <c r="E8" s="34"/>
      <c r="F8" s="33"/>
      <c r="G8" s="34"/>
      <c r="H8" s="35"/>
      <c r="I8" s="34"/>
      <c r="J8" s="36"/>
      <c r="K8" s="37"/>
      <c r="L8" s="36"/>
      <c r="M8" s="38"/>
      <c r="N8" s="36"/>
      <c r="O8" s="38"/>
      <c r="P8" s="36"/>
      <c r="Q8" s="38"/>
      <c r="R8" s="36"/>
      <c r="S8" s="38"/>
      <c r="T8" s="36"/>
      <c r="U8" s="39"/>
      <c r="V8" s="40"/>
      <c r="W8" s="41"/>
      <c r="X8" s="36"/>
      <c r="Y8" s="41"/>
      <c r="Z8" s="36"/>
      <c r="AA8" s="41"/>
      <c r="AB8" s="36"/>
      <c r="AC8" s="41"/>
      <c r="AD8" s="36"/>
      <c r="AE8" s="41"/>
      <c r="AF8" s="36"/>
      <c r="AG8" s="41"/>
      <c r="AH8" s="44"/>
      <c r="AI8" s="41"/>
      <c r="AJ8" s="36"/>
      <c r="AK8" s="41"/>
      <c r="AL8" s="36"/>
      <c r="AM8" s="41"/>
      <c r="AN8" s="36"/>
      <c r="AO8" s="41"/>
      <c r="AP8" s="36"/>
      <c r="AQ8" s="41"/>
      <c r="AR8" s="36"/>
      <c r="AS8" s="41"/>
      <c r="AT8" s="36"/>
      <c r="AU8" s="41"/>
      <c r="AV8" s="36"/>
      <c r="AW8" s="41"/>
      <c r="AX8" s="36"/>
      <c r="AY8" s="41"/>
      <c r="BA8" s="45" t="s">
        <v>100</v>
      </c>
      <c r="BB8" s="46">
        <v>5955</v>
      </c>
      <c r="BC8" s="47">
        <v>8539</v>
      </c>
      <c r="BD8" s="47">
        <v>2</v>
      </c>
      <c r="BE8" s="47"/>
      <c r="BF8" s="47"/>
      <c r="BG8" s="47">
        <f>120+771+23</f>
        <v>914</v>
      </c>
      <c r="BH8" s="47">
        <v>600</v>
      </c>
    </row>
    <row r="9" spans="1:60" x14ac:dyDescent="0.2">
      <c r="A9" s="30">
        <v>2</v>
      </c>
      <c r="B9" s="48" t="s">
        <v>30</v>
      </c>
      <c r="C9" s="49">
        <v>43899</v>
      </c>
      <c r="D9" s="50">
        <v>36139</v>
      </c>
      <c r="E9" s="51">
        <f>D9/C9</f>
        <v>0.82323059750791594</v>
      </c>
      <c r="F9" s="50">
        <v>40226</v>
      </c>
      <c r="G9" s="51">
        <f>F9/D9</f>
        <v>1.1130911203962479</v>
      </c>
      <c r="H9" s="52">
        <v>44654</v>
      </c>
      <c r="I9" s="51">
        <f>H9/F9</f>
        <v>1.1100780589668373</v>
      </c>
      <c r="J9" s="52">
        <v>48658</v>
      </c>
      <c r="K9" s="51">
        <f>J9/H9</f>
        <v>1.0896672190621222</v>
      </c>
      <c r="L9" s="52">
        <v>53557</v>
      </c>
      <c r="M9" s="51">
        <f>L9/J9</f>
        <v>1.1006823132886678</v>
      </c>
      <c r="N9" s="52">
        <v>54468</v>
      </c>
      <c r="O9" s="51">
        <f>N9/L9</f>
        <v>1.0170099146703513</v>
      </c>
      <c r="P9" s="52">
        <v>64424</v>
      </c>
      <c r="Q9" s="51">
        <f>P9/N9</f>
        <v>1.1827862231034736</v>
      </c>
      <c r="R9" s="52">
        <v>62984</v>
      </c>
      <c r="S9" s="51">
        <f>R9/P9</f>
        <v>0.97764808146032534</v>
      </c>
      <c r="T9" s="52">
        <v>52336</v>
      </c>
      <c r="U9" s="53">
        <f>T9/R9</f>
        <v>0.83094119141369238</v>
      </c>
      <c r="V9" s="54">
        <v>54307</v>
      </c>
      <c r="W9" s="55">
        <f>V9/T9</f>
        <v>1.0376605013757261</v>
      </c>
      <c r="X9" s="56">
        <v>56113</v>
      </c>
      <c r="Y9" s="55">
        <f>X9/V9</f>
        <v>1.0332553814425396</v>
      </c>
      <c r="Z9" s="52">
        <v>56855</v>
      </c>
      <c r="AA9" s="55">
        <f>Z9/X9</f>
        <v>1.0132233172348653</v>
      </c>
      <c r="AB9" s="52">
        <v>73333</v>
      </c>
      <c r="AC9" s="55">
        <v>1.289824993404274</v>
      </c>
      <c r="AD9" s="52">
        <v>78022</v>
      </c>
      <c r="AE9" s="55">
        <f>AD9/AB9</f>
        <v>1.0639411997327262</v>
      </c>
      <c r="AF9" s="52">
        <v>74477</v>
      </c>
      <c r="AG9" s="55">
        <f>AF9/AD9</f>
        <v>0.95456409730588809</v>
      </c>
      <c r="AH9" s="52">
        <v>83217</v>
      </c>
      <c r="AI9" s="55">
        <f>AH9/AD9</f>
        <v>1.0665837840609058</v>
      </c>
      <c r="AJ9" s="52">
        <v>83719</v>
      </c>
      <c r="AK9" s="55">
        <f>AJ9/AH9</f>
        <v>1.0060324212600791</v>
      </c>
      <c r="AL9" s="52">
        <v>88972</v>
      </c>
      <c r="AM9" s="55">
        <f>AL9/AJ9</f>
        <v>1.06274561330164</v>
      </c>
      <c r="AN9" s="52">
        <v>95464</v>
      </c>
      <c r="AO9" s="55">
        <f>AN9/AL9</f>
        <v>1.0729667760643797</v>
      </c>
      <c r="AP9" s="52">
        <v>93221</v>
      </c>
      <c r="AQ9" s="55">
        <f>AP9/AN9</f>
        <v>0.9765042319617866</v>
      </c>
      <c r="AR9" s="52">
        <f>AP9*AS9</f>
        <v>96017.63</v>
      </c>
      <c r="AS9" s="57">
        <v>1.03</v>
      </c>
      <c r="AT9" s="52">
        <f>AR9*AU9</f>
        <v>96977.806300000011</v>
      </c>
      <c r="AU9" s="57">
        <v>1.01</v>
      </c>
      <c r="AV9" s="52">
        <f>AT9*AW9</f>
        <v>97947.584363000016</v>
      </c>
      <c r="AW9" s="57">
        <v>1.01</v>
      </c>
      <c r="AX9" s="52">
        <f>AV9*AY9</f>
        <v>98927.06020663002</v>
      </c>
      <c r="AY9" s="57">
        <v>1.01</v>
      </c>
      <c r="AZ9" s="58"/>
      <c r="BA9" s="59" t="s">
        <v>31</v>
      </c>
      <c r="BB9" s="60">
        <v>3827</v>
      </c>
      <c r="BC9" s="60"/>
      <c r="BD9" s="60"/>
      <c r="BE9" s="60"/>
      <c r="BF9" s="60"/>
      <c r="BG9" s="60"/>
      <c r="BH9" s="60"/>
    </row>
    <row r="10" spans="1:60" x14ac:dyDescent="0.2">
      <c r="A10" s="30">
        <v>3</v>
      </c>
      <c r="B10" s="48" t="s">
        <v>32</v>
      </c>
      <c r="C10" s="49">
        <v>21947</v>
      </c>
      <c r="D10" s="50">
        <v>24918</v>
      </c>
      <c r="E10" s="51">
        <f>D10/C10</f>
        <v>1.1353715769809085</v>
      </c>
      <c r="F10" s="50">
        <v>25504</v>
      </c>
      <c r="G10" s="51">
        <f>F10/D10</f>
        <v>1.0235171362067581</v>
      </c>
      <c r="H10" s="52">
        <v>23771</v>
      </c>
      <c r="I10" s="51">
        <f>H10/F10</f>
        <v>0.93204987452948562</v>
      </c>
      <c r="J10" s="52">
        <v>22462</v>
      </c>
      <c r="K10" s="51">
        <f>J10/H10</f>
        <v>0.94493290143452102</v>
      </c>
      <c r="L10" s="52">
        <v>24408</v>
      </c>
      <c r="M10" s="51">
        <f>L10/J10</f>
        <v>1.0866352061259015</v>
      </c>
      <c r="N10" s="52">
        <v>23658</v>
      </c>
      <c r="O10" s="51">
        <f>N10/L10</f>
        <v>0.96927236971484754</v>
      </c>
      <c r="P10" s="52">
        <v>25781</v>
      </c>
      <c r="Q10" s="51">
        <f>P10/N10</f>
        <v>1.0897370868205258</v>
      </c>
      <c r="R10" s="52">
        <v>24899</v>
      </c>
      <c r="S10" s="51">
        <f>R10/P10</f>
        <v>0.9657887591637252</v>
      </c>
      <c r="T10" s="52">
        <v>26491</v>
      </c>
      <c r="U10" s="53">
        <f>T10/R10</f>
        <v>1.0639383107755331</v>
      </c>
      <c r="V10" s="54">
        <v>37403</v>
      </c>
      <c r="W10" s="55">
        <f>V10/T10</f>
        <v>1.4119134800498283</v>
      </c>
      <c r="X10" s="56">
        <v>30590</v>
      </c>
      <c r="Y10" s="55">
        <f>X10/V10</f>
        <v>0.81784883565489397</v>
      </c>
      <c r="Z10" s="52">
        <v>30828</v>
      </c>
      <c r="AA10" s="55">
        <f>Z10/X10</f>
        <v>1.0077803203661326</v>
      </c>
      <c r="AB10" s="52">
        <v>30169</v>
      </c>
      <c r="AC10" s="55">
        <v>0.97862332944076813</v>
      </c>
      <c r="AD10" s="52">
        <v>30531</v>
      </c>
      <c r="AE10" s="55">
        <f>AD10/AB10</f>
        <v>1.0119990718949916</v>
      </c>
      <c r="AF10" s="52">
        <v>25542</v>
      </c>
      <c r="AG10" s="55">
        <f>AF10/AD10</f>
        <v>0.83659231600668171</v>
      </c>
      <c r="AH10" s="52">
        <v>29409</v>
      </c>
      <c r="AI10" s="55">
        <f>AH10/AD10</f>
        <v>0.96325046673872461</v>
      </c>
      <c r="AJ10" s="52">
        <v>25921</v>
      </c>
      <c r="AK10" s="55">
        <f>AJ10/AH10</f>
        <v>0.88139685130402257</v>
      </c>
      <c r="AL10" s="52">
        <v>25427</v>
      </c>
      <c r="AM10" s="55">
        <f>AL10/AJ10</f>
        <v>0.98094209328343818</v>
      </c>
      <c r="AN10" s="52">
        <v>30141</v>
      </c>
      <c r="AO10" s="55">
        <f>AN10/AL10</f>
        <v>1.1853934793723209</v>
      </c>
      <c r="AP10" s="52">
        <v>27393</v>
      </c>
      <c r="AQ10" s="55">
        <f>AP10/AN10</f>
        <v>0.90882850602169807</v>
      </c>
      <c r="AR10" s="52">
        <f>AP10*AS10</f>
        <v>27940.86</v>
      </c>
      <c r="AS10" s="57">
        <v>1.02</v>
      </c>
      <c r="AT10" s="52">
        <f>AR10*AU10</f>
        <v>28220.268599999999</v>
      </c>
      <c r="AU10" s="57">
        <v>1.01</v>
      </c>
      <c r="AV10" s="52">
        <f>AT10*AW10</f>
        <v>28502.471286</v>
      </c>
      <c r="AW10" s="57">
        <v>1.01</v>
      </c>
      <c r="AX10" s="52">
        <f>AV10*AY10</f>
        <v>28787.495998859999</v>
      </c>
      <c r="AY10" s="57">
        <v>1.01</v>
      </c>
      <c r="AZ10" s="58"/>
      <c r="BA10" s="59" t="s">
        <v>33</v>
      </c>
      <c r="BB10" s="61">
        <v>1850</v>
      </c>
      <c r="BC10" s="61"/>
      <c r="BD10" s="61"/>
      <c r="BE10" s="61"/>
      <c r="BF10" s="61"/>
      <c r="BG10" s="61"/>
      <c r="BH10" s="61"/>
    </row>
    <row r="11" spans="1:60" x14ac:dyDescent="0.2">
      <c r="A11" s="30">
        <v>4</v>
      </c>
      <c r="B11" s="48" t="s">
        <v>34</v>
      </c>
      <c r="C11" s="49">
        <v>6635</v>
      </c>
      <c r="D11" s="50">
        <v>15723</v>
      </c>
      <c r="E11" s="38"/>
      <c r="F11" s="50">
        <v>5717</v>
      </c>
      <c r="G11" s="62"/>
      <c r="H11" s="52">
        <v>5710</v>
      </c>
      <c r="I11" s="62"/>
      <c r="J11" s="52">
        <v>2110</v>
      </c>
      <c r="K11" s="63"/>
      <c r="L11" s="52">
        <v>10356</v>
      </c>
      <c r="M11" s="51">
        <f>L11/J11</f>
        <v>4.908056872037915</v>
      </c>
      <c r="N11" s="52">
        <v>8605</v>
      </c>
      <c r="O11" s="51">
        <f>N11/L11</f>
        <v>0.83091927385090769</v>
      </c>
      <c r="P11" s="52">
        <v>5901</v>
      </c>
      <c r="Q11" s="51">
        <f>P11/N11</f>
        <v>0.6857640906449739</v>
      </c>
      <c r="R11" s="52">
        <v>7832</v>
      </c>
      <c r="S11" s="51">
        <f>R11/P11</f>
        <v>1.327232672428402</v>
      </c>
      <c r="T11" s="52">
        <v>3677</v>
      </c>
      <c r="U11" s="53">
        <f>T11/R11</f>
        <v>0.46948416751787536</v>
      </c>
      <c r="V11" s="54">
        <v>5831</v>
      </c>
      <c r="W11" s="55">
        <f>V11/T11</f>
        <v>1.5858036442752244</v>
      </c>
      <c r="X11" s="56">
        <v>5918</v>
      </c>
      <c r="Y11" s="55">
        <f>X11/V11</f>
        <v>1.014920253815812</v>
      </c>
      <c r="Z11" s="52">
        <v>7440</v>
      </c>
      <c r="AA11" s="55">
        <f>Z11/X11</f>
        <v>1.2571814802298074</v>
      </c>
      <c r="AB11" s="52">
        <v>6288</v>
      </c>
      <c r="AC11" s="55">
        <v>0.84516129032258069</v>
      </c>
      <c r="AD11" s="52">
        <v>20665</v>
      </c>
      <c r="AE11" s="55">
        <f>AD11/AB11</f>
        <v>3.286418575063613</v>
      </c>
      <c r="AF11" s="52">
        <v>4149</v>
      </c>
      <c r="AG11" s="55">
        <f>AF11/AD11</f>
        <v>0.20077425598838616</v>
      </c>
      <c r="AH11" s="52">
        <v>13046</v>
      </c>
      <c r="AI11" s="55">
        <f>AH11/AD11</f>
        <v>0.63130897653036533</v>
      </c>
      <c r="AJ11" s="52">
        <v>6848</v>
      </c>
      <c r="AK11" s="55">
        <f>AJ11/AH11</f>
        <v>0.52491185037559407</v>
      </c>
      <c r="AL11" s="52">
        <v>1526</v>
      </c>
      <c r="AM11" s="55">
        <f>AL11/AJ11</f>
        <v>0.22283878504672897</v>
      </c>
      <c r="AN11" s="52">
        <v>2793</v>
      </c>
      <c r="AO11" s="55">
        <f>AN11/AL11</f>
        <v>1.8302752293577982</v>
      </c>
      <c r="AP11" s="52">
        <v>13558</v>
      </c>
      <c r="AQ11" s="55">
        <f>AP11/AN11</f>
        <v>4.8542785535266741</v>
      </c>
      <c r="AR11" s="64">
        <v>5000</v>
      </c>
      <c r="AS11" s="65"/>
      <c r="AT11" s="64">
        <v>5000</v>
      </c>
      <c r="AU11" s="65"/>
      <c r="AV11" s="64">
        <v>5000</v>
      </c>
      <c r="AW11" s="65"/>
      <c r="AX11" s="64">
        <v>5000</v>
      </c>
      <c r="AY11" s="65"/>
      <c r="AZ11" s="58"/>
      <c r="BA11" s="59" t="s">
        <v>35</v>
      </c>
      <c r="BB11" s="61"/>
      <c r="BC11" s="61"/>
      <c r="BD11" s="61">
        <v>5000</v>
      </c>
      <c r="BE11" s="61"/>
      <c r="BF11" s="61">
        <v>30000</v>
      </c>
      <c r="BG11" s="60">
        <v>10000</v>
      </c>
      <c r="BH11" s="61"/>
    </row>
    <row r="12" spans="1:60" x14ac:dyDescent="0.2">
      <c r="A12" s="30">
        <v>5</v>
      </c>
      <c r="B12" s="48" t="s">
        <v>36</v>
      </c>
      <c r="C12" s="49">
        <v>85872</v>
      </c>
      <c r="D12" s="50">
        <v>96083</v>
      </c>
      <c r="E12" s="38"/>
      <c r="F12" s="50">
        <v>126815</v>
      </c>
      <c r="G12" s="62"/>
      <c r="H12" s="52">
        <v>150801</v>
      </c>
      <c r="I12" s="62"/>
      <c r="J12" s="52">
        <v>95560</v>
      </c>
      <c r="K12" s="63"/>
      <c r="L12" s="52">
        <v>52700</v>
      </c>
      <c r="M12" s="63"/>
      <c r="N12" s="52">
        <v>66987</v>
      </c>
      <c r="O12" s="63"/>
      <c r="P12" s="52">
        <v>88535</v>
      </c>
      <c r="Q12" s="63"/>
      <c r="R12" s="52">
        <v>99704</v>
      </c>
      <c r="S12" s="63"/>
      <c r="T12" s="52">
        <v>139347</v>
      </c>
      <c r="U12" s="66"/>
      <c r="V12" s="54">
        <v>167786</v>
      </c>
      <c r="W12" s="65"/>
      <c r="X12" s="56">
        <v>116773</v>
      </c>
      <c r="Y12" s="65"/>
      <c r="Z12" s="52">
        <v>32482</v>
      </c>
      <c r="AA12" s="65"/>
      <c r="AB12" s="52">
        <v>50005</v>
      </c>
      <c r="AC12" s="65"/>
      <c r="AD12" s="52">
        <v>45385</v>
      </c>
      <c r="AE12" s="65"/>
      <c r="AF12" s="52">
        <v>21477</v>
      </c>
      <c r="AG12" s="65"/>
      <c r="AH12" s="52">
        <v>55937</v>
      </c>
      <c r="AI12" s="65"/>
      <c r="AJ12" s="52">
        <v>35267</v>
      </c>
      <c r="AK12" s="65"/>
      <c r="AL12" s="52">
        <v>67462</v>
      </c>
      <c r="AM12" s="65"/>
      <c r="AN12" s="52">
        <v>58635</v>
      </c>
      <c r="AO12" s="65"/>
      <c r="AP12" s="52">
        <v>44305</v>
      </c>
      <c r="AQ12" s="65"/>
      <c r="AR12" s="52">
        <f>SUM(AR13:AR16)</f>
        <v>28503.21</v>
      </c>
      <c r="AS12" s="65"/>
      <c r="AT12" s="52">
        <f>SUM(AT13:AT16)</f>
        <v>28790.242099999999</v>
      </c>
      <c r="AU12" s="65"/>
      <c r="AV12" s="52">
        <f>SUM(AV13:AV16)</f>
        <v>29078.124521000002</v>
      </c>
      <c r="AW12" s="65"/>
      <c r="AX12" s="52">
        <f>SUM(AX13:AX16)</f>
        <v>29369.885766210002</v>
      </c>
      <c r="AY12" s="65"/>
      <c r="AZ12" s="58"/>
      <c r="BA12" s="59" t="s">
        <v>37</v>
      </c>
      <c r="BB12" s="61"/>
      <c r="BC12" s="61">
        <v>2000</v>
      </c>
      <c r="BD12" s="61">
        <v>19648</v>
      </c>
      <c r="BE12" s="61">
        <v>3000</v>
      </c>
      <c r="BF12" s="61"/>
      <c r="BG12" s="61"/>
      <c r="BH12" s="61"/>
    </row>
    <row r="13" spans="1:60" x14ac:dyDescent="0.2">
      <c r="A13" s="30">
        <v>6</v>
      </c>
      <c r="B13" s="48" t="s">
        <v>38</v>
      </c>
      <c r="C13" s="49">
        <v>14400</v>
      </c>
      <c r="D13" s="50">
        <v>14500</v>
      </c>
      <c r="E13" s="38"/>
      <c r="F13" s="50">
        <v>14600</v>
      </c>
      <c r="G13" s="62"/>
      <c r="H13" s="52">
        <f>20523-650+250+739+920+10</f>
        <v>21792</v>
      </c>
      <c r="I13" s="62"/>
      <c r="J13" s="52">
        <f>20200+1066+120+1380</f>
        <v>22766</v>
      </c>
      <c r="K13" s="63"/>
      <c r="L13" s="52">
        <f>20000</f>
        <v>20000</v>
      </c>
      <c r="M13" s="63"/>
      <c r="N13" s="52">
        <f>22100-2100</f>
        <v>20000</v>
      </c>
      <c r="O13" s="63"/>
      <c r="P13" s="52">
        <f>53860</f>
        <v>53860</v>
      </c>
      <c r="Q13" s="63"/>
      <c r="R13" s="52">
        <v>64556</v>
      </c>
      <c r="S13" s="63"/>
      <c r="T13" s="52">
        <f>68988</f>
        <v>68988</v>
      </c>
      <c r="U13" s="66"/>
      <c r="V13" s="54">
        <v>72619</v>
      </c>
      <c r="W13" s="65"/>
      <c r="X13" s="52">
        <v>70522</v>
      </c>
      <c r="Y13" s="65"/>
      <c r="Z13" s="52">
        <v>0</v>
      </c>
      <c r="AA13" s="65"/>
      <c r="AB13" s="52"/>
      <c r="AC13" s="65"/>
      <c r="AD13" s="52"/>
      <c r="AE13" s="65"/>
      <c r="AF13" s="52"/>
      <c r="AG13" s="65"/>
      <c r="AH13" s="52"/>
      <c r="AI13" s="65"/>
      <c r="AJ13" s="52"/>
      <c r="AK13" s="65"/>
      <c r="AL13" s="52"/>
      <c r="AM13" s="65"/>
      <c r="AN13" s="52"/>
      <c r="AO13" s="65"/>
      <c r="AP13" s="52"/>
      <c r="AQ13" s="65"/>
      <c r="AR13" s="52"/>
      <c r="AS13" s="65"/>
      <c r="AT13" s="52"/>
      <c r="AU13" s="65"/>
      <c r="AV13" s="52"/>
      <c r="AW13" s="65"/>
      <c r="AX13" s="52"/>
      <c r="AY13" s="65"/>
      <c r="AZ13" s="58"/>
      <c r="BA13" s="59" t="s">
        <v>93</v>
      </c>
      <c r="BB13" s="61"/>
      <c r="BC13" s="61">
        <f>300+252+346</f>
        <v>898</v>
      </c>
      <c r="BD13" s="61"/>
      <c r="BE13" s="61"/>
      <c r="BF13" s="61"/>
      <c r="BG13" s="60">
        <v>6672</v>
      </c>
      <c r="BH13" s="61">
        <v>15484</v>
      </c>
    </row>
    <row r="14" spans="1:60" x14ac:dyDescent="0.2">
      <c r="A14" s="30">
        <v>7</v>
      </c>
      <c r="B14" s="48" t="s">
        <v>39</v>
      </c>
      <c r="C14" s="49"/>
      <c r="D14" s="50">
        <v>20931</v>
      </c>
      <c r="E14" s="38"/>
      <c r="F14" s="50">
        <v>23826</v>
      </c>
      <c r="G14" s="62"/>
      <c r="H14" s="52">
        <v>32511</v>
      </c>
      <c r="I14" s="62"/>
      <c r="J14" s="52">
        <v>34758</v>
      </c>
      <c r="K14" s="63"/>
      <c r="L14" s="52">
        <f>1225+2052+10+75</f>
        <v>3362</v>
      </c>
      <c r="M14" s="63"/>
      <c r="N14" s="52">
        <f>1294+268+25+940+81</f>
        <v>2608</v>
      </c>
      <c r="O14" s="63"/>
      <c r="P14" s="52">
        <f>1246+803+225</f>
        <v>2274</v>
      </c>
      <c r="Q14" s="63"/>
      <c r="R14" s="52">
        <f>1295+488+100+90</f>
        <v>1973</v>
      </c>
      <c r="S14" s="63"/>
      <c r="T14" s="52">
        <f>663+46+260+43+14+74</f>
        <v>1100</v>
      </c>
      <c r="U14" s="66"/>
      <c r="V14" s="54">
        <f>702+260+221+50</f>
        <v>1233</v>
      </c>
      <c r="W14" s="65"/>
      <c r="X14" s="52">
        <f>653+347+110+2064+144</f>
        <v>3318</v>
      </c>
      <c r="Y14" s="65"/>
      <c r="Z14" s="52">
        <f>655+260+10+53+50+4+1523+296+230</f>
        <v>3081</v>
      </c>
      <c r="AA14" s="65"/>
      <c r="AB14" s="52">
        <v>9385</v>
      </c>
      <c r="AC14" s="65"/>
      <c r="AD14" s="52">
        <f>627+2399+22+1909+68</f>
        <v>5025</v>
      </c>
      <c r="AE14" s="65"/>
      <c r="AF14" s="52">
        <v>0</v>
      </c>
      <c r="AG14" s="65"/>
      <c r="AH14" s="52">
        <f>604+4830+20+399+1914+11+5</f>
        <v>7783</v>
      </c>
      <c r="AI14" s="65"/>
      <c r="AJ14" s="52">
        <f>537+575+8+366+4964+2305+1023</f>
        <v>9778</v>
      </c>
      <c r="AK14" s="65"/>
      <c r="AL14" s="52">
        <f>577+391+578+508+6569+43+45</f>
        <v>8711</v>
      </c>
      <c r="AM14" s="65"/>
      <c r="AN14" s="52">
        <f>53+338+261+385+8352+60+15</f>
        <v>9464</v>
      </c>
      <c r="AO14" s="65"/>
      <c r="AP14" s="52">
        <v>0</v>
      </c>
      <c r="AQ14" s="65"/>
      <c r="AR14" s="52">
        <v>0</v>
      </c>
      <c r="AS14" s="65"/>
      <c r="AT14" s="52">
        <v>2</v>
      </c>
      <c r="AU14" s="65"/>
      <c r="AV14" s="52">
        <v>2</v>
      </c>
      <c r="AW14" s="65"/>
      <c r="AX14" s="52">
        <v>3</v>
      </c>
      <c r="AY14" s="65"/>
      <c r="AZ14" s="58"/>
      <c r="BA14" s="59" t="s">
        <v>76</v>
      </c>
      <c r="BB14" s="85"/>
      <c r="BC14" s="85"/>
      <c r="BD14" s="85"/>
      <c r="BE14" s="85"/>
      <c r="BF14" s="85"/>
      <c r="BG14" s="85"/>
      <c r="BH14" s="85"/>
    </row>
    <row r="15" spans="1:60" ht="13.5" thickBot="1" x14ac:dyDescent="0.25">
      <c r="A15" s="30">
        <v>8</v>
      </c>
      <c r="B15" s="48" t="s">
        <v>41</v>
      </c>
      <c r="C15" s="49">
        <v>62000</v>
      </c>
      <c r="D15" s="50">
        <v>50903</v>
      </c>
      <c r="E15" s="38"/>
      <c r="F15" s="50">
        <f>56760+2540+684+11847</f>
        <v>71831</v>
      </c>
      <c r="G15" s="62"/>
      <c r="H15" s="52">
        <v>74736</v>
      </c>
      <c r="I15" s="62"/>
      <c r="J15" s="52">
        <v>14600</v>
      </c>
      <c r="K15" s="63"/>
      <c r="L15" s="52">
        <v>5971</v>
      </c>
      <c r="M15" s="63"/>
      <c r="N15" s="52">
        <f>19852-940</f>
        <v>18912</v>
      </c>
      <c r="O15" s="63"/>
      <c r="P15" s="52">
        <v>7998</v>
      </c>
      <c r="Q15" s="63"/>
      <c r="R15" s="52">
        <v>6238</v>
      </c>
      <c r="S15" s="63"/>
      <c r="T15" s="69">
        <f>12245+5114+8894+15038</f>
        <v>41291</v>
      </c>
      <c r="U15" s="66"/>
      <c r="V15" s="70">
        <v>64458</v>
      </c>
      <c r="W15" s="65"/>
      <c r="X15" s="69">
        <v>14793</v>
      </c>
      <c r="Y15" s="65"/>
      <c r="Z15" s="69">
        <f>223+77+100+1004</f>
        <v>1404</v>
      </c>
      <c r="AA15" s="65"/>
      <c r="AB15" s="69">
        <v>11632</v>
      </c>
      <c r="AC15" s="65"/>
      <c r="AD15" s="69">
        <v>11437</v>
      </c>
      <c r="AE15" s="65"/>
      <c r="AF15" s="69">
        <f>BD7</f>
        <v>24650</v>
      </c>
      <c r="AG15" s="65"/>
      <c r="AH15" s="69">
        <v>24650</v>
      </c>
      <c r="AI15" s="65"/>
      <c r="AJ15" s="69">
        <f>221+3000</f>
        <v>3221</v>
      </c>
      <c r="AK15" s="65"/>
      <c r="AL15" s="69">
        <f>BF7</f>
        <v>30925</v>
      </c>
      <c r="AM15" s="65"/>
      <c r="AN15" s="69">
        <f>BG7</f>
        <v>20186</v>
      </c>
      <c r="AO15" s="65"/>
      <c r="AP15" s="69">
        <f>BH7</f>
        <v>16084</v>
      </c>
      <c r="AQ15" s="65"/>
      <c r="AR15" s="52">
        <f>AP15*AS15</f>
        <v>0</v>
      </c>
      <c r="AS15" s="65"/>
      <c r="AT15" s="52">
        <f>AR15*AU15</f>
        <v>0</v>
      </c>
      <c r="AU15" s="65"/>
      <c r="AV15" s="52">
        <f>AT15*AW15</f>
        <v>0</v>
      </c>
      <c r="AW15" s="65"/>
      <c r="AX15" s="52">
        <f>AV15*AY15</f>
        <v>0</v>
      </c>
      <c r="AY15" s="65"/>
      <c r="AZ15" s="58"/>
      <c r="BA15" s="67" t="s">
        <v>40</v>
      </c>
      <c r="BB15" s="68"/>
      <c r="BC15" s="68"/>
      <c r="BD15" s="68"/>
      <c r="BE15" s="68"/>
      <c r="BF15" s="68">
        <v>925</v>
      </c>
      <c r="BG15" s="68">
        <v>2600</v>
      </c>
      <c r="BH15" s="68"/>
    </row>
    <row r="16" spans="1:60" ht="13.5" thickBot="1" x14ac:dyDescent="0.25">
      <c r="A16" s="30">
        <v>9</v>
      </c>
      <c r="B16" s="48" t="s">
        <v>42</v>
      </c>
      <c r="C16" s="49">
        <v>9472</v>
      </c>
      <c r="D16" s="50">
        <v>9749</v>
      </c>
      <c r="E16" s="51">
        <f>D16/C16</f>
        <v>1.0292440878378379</v>
      </c>
      <c r="F16" s="50">
        <f>F12-F13-F14-F15</f>
        <v>16558</v>
      </c>
      <c r="G16" s="51">
        <f>F16/D16</f>
        <v>1.6984306082675147</v>
      </c>
      <c r="H16" s="52">
        <f>H12-H13-H14-H15</f>
        <v>21762</v>
      </c>
      <c r="I16" s="51">
        <f>H16/F16</f>
        <v>1.314289165358135</v>
      </c>
      <c r="J16" s="52">
        <f>J12-J13-J14-J15</f>
        <v>23436</v>
      </c>
      <c r="K16" s="51">
        <f>J16/H16</f>
        <v>1.0769230769230769</v>
      </c>
      <c r="L16" s="52">
        <f>L12-L13-L14-L15</f>
        <v>23367</v>
      </c>
      <c r="M16" s="51">
        <f>L16/J16</f>
        <v>0.99705581157194056</v>
      </c>
      <c r="N16" s="52">
        <f>N12-N13-N14-N15</f>
        <v>25467</v>
      </c>
      <c r="O16" s="51">
        <f>N16/L16</f>
        <v>1.0898703299524972</v>
      </c>
      <c r="P16" s="52">
        <f>P12-P13-P14-P15</f>
        <v>24403</v>
      </c>
      <c r="Q16" s="51">
        <f>P16/N16</f>
        <v>0.9582204421408097</v>
      </c>
      <c r="R16" s="52">
        <f>R12-R13-R14-R15</f>
        <v>26937</v>
      </c>
      <c r="S16" s="51">
        <f>R16/P16</f>
        <v>1.103839691841167</v>
      </c>
      <c r="T16" s="52">
        <f>T12-T13-T14-T15</f>
        <v>27968</v>
      </c>
      <c r="U16" s="72">
        <f>T16/R16</f>
        <v>1.0382744923339644</v>
      </c>
      <c r="V16" s="56">
        <f>V12-V13-V14-V15</f>
        <v>29476</v>
      </c>
      <c r="W16" s="72">
        <f>V16/T16</f>
        <v>1.0539187643020596</v>
      </c>
      <c r="X16" s="56">
        <f>X12-X13-X14-X15</f>
        <v>28140</v>
      </c>
      <c r="Y16" s="72">
        <f>X16/V16</f>
        <v>0.9546749898222282</v>
      </c>
      <c r="Z16" s="56">
        <f>Z12-Z13-Z14-Z15</f>
        <v>27997</v>
      </c>
      <c r="AA16" s="72">
        <f>Z16/X16</f>
        <v>0.99491826581378817</v>
      </c>
      <c r="AB16" s="56">
        <v>28988</v>
      </c>
      <c r="AC16" s="72">
        <v>1.035396649641033</v>
      </c>
      <c r="AD16" s="56">
        <f>AD12-AD13-AD14-AD15</f>
        <v>28923</v>
      </c>
      <c r="AE16" s="72">
        <f>AD16/AB16</f>
        <v>0.99775769283841587</v>
      </c>
      <c r="AF16" s="56">
        <f>AF12-AF13-AF14-AF15</f>
        <v>-3173</v>
      </c>
      <c r="AG16" s="55">
        <f>AF16/AD16</f>
        <v>-0.10970507900286969</v>
      </c>
      <c r="AH16" s="56">
        <f>AH12-AH13-AH14-AH15</f>
        <v>23504</v>
      </c>
      <c r="AI16" s="72">
        <f>AH16/AD16</f>
        <v>0.81264045915015737</v>
      </c>
      <c r="AJ16" s="56">
        <f>AJ12-AJ13-AJ14-AJ15</f>
        <v>22268</v>
      </c>
      <c r="AK16" s="72">
        <f>AJ16/AH16</f>
        <v>0.94741320626276382</v>
      </c>
      <c r="AL16" s="56">
        <f>AL12-AL13-AL14-AL15</f>
        <v>27826</v>
      </c>
      <c r="AM16" s="72">
        <f>AL16/AJ16</f>
        <v>1.2495958325848751</v>
      </c>
      <c r="AN16" s="56">
        <f>AN12-AN13-AN14-AN15</f>
        <v>28985</v>
      </c>
      <c r="AO16" s="72">
        <f>AN16/AL16</f>
        <v>1.0416516926615396</v>
      </c>
      <c r="AP16" s="56">
        <f>AP12-AP13-AP14-AP15</f>
        <v>28221</v>
      </c>
      <c r="AQ16" s="72">
        <f>AP16/AN16</f>
        <v>0.97364153872692771</v>
      </c>
      <c r="AR16" s="52">
        <f>AP16*AS16</f>
        <v>28503.21</v>
      </c>
      <c r="AS16" s="57">
        <v>1.01</v>
      </c>
      <c r="AT16" s="52">
        <f>AR16*AU16</f>
        <v>28788.242099999999</v>
      </c>
      <c r="AU16" s="57">
        <v>1.01</v>
      </c>
      <c r="AV16" s="52">
        <f>AT16*AW16</f>
        <v>29076.124521000002</v>
      </c>
      <c r="AW16" s="57">
        <v>1.01</v>
      </c>
      <c r="AX16" s="52">
        <f>AV16*AY16</f>
        <v>29366.885766210002</v>
      </c>
      <c r="AY16" s="57">
        <v>1.01</v>
      </c>
      <c r="AZ16" s="58"/>
      <c r="BA16" s="71"/>
      <c r="BB16" s="3"/>
      <c r="BC16" s="3"/>
      <c r="BD16" s="3"/>
      <c r="BE16" s="3"/>
      <c r="BF16" s="3"/>
      <c r="BG16" s="3"/>
      <c r="BH16" s="3"/>
    </row>
    <row r="17" spans="1:60" ht="13.5" thickBot="1" x14ac:dyDescent="0.25">
      <c r="A17" s="73">
        <v>6</v>
      </c>
      <c r="B17" s="74" t="s">
        <v>43</v>
      </c>
      <c r="C17" s="75">
        <v>158353</v>
      </c>
      <c r="D17" s="75">
        <v>172863</v>
      </c>
      <c r="E17" s="76"/>
      <c r="F17" s="75">
        <f>SUM(F9:F11)+F12</f>
        <v>198262</v>
      </c>
      <c r="G17" s="77"/>
      <c r="H17" s="78">
        <f>SUM(H9:H12)</f>
        <v>224936</v>
      </c>
      <c r="I17" s="77"/>
      <c r="J17" s="78">
        <f>SUM(J9:J12)</f>
        <v>168790</v>
      </c>
      <c r="K17" s="79"/>
      <c r="L17" s="78">
        <f>SUM(L9:L12)</f>
        <v>141021</v>
      </c>
      <c r="M17" s="79"/>
      <c r="N17" s="78">
        <f>SUM(N9:N12)</f>
        <v>153718</v>
      </c>
      <c r="O17" s="79"/>
      <c r="P17" s="78">
        <f>SUM(P9:P12)</f>
        <v>184641</v>
      </c>
      <c r="Q17" s="79"/>
      <c r="R17" s="78">
        <f>SUM(R9:R12)</f>
        <v>195419</v>
      </c>
      <c r="S17" s="79"/>
      <c r="T17" s="78">
        <f>SUM(T9:T12)</f>
        <v>221851</v>
      </c>
      <c r="U17" s="80"/>
      <c r="V17" s="81">
        <f>SUM(V9:V12)</f>
        <v>265327</v>
      </c>
      <c r="W17" s="82"/>
      <c r="X17" s="78">
        <f>SUM(X9:X12)</f>
        <v>209394</v>
      </c>
      <c r="Y17" s="82"/>
      <c r="Z17" s="78">
        <f>SUM(Z9:Z12)</f>
        <v>127605</v>
      </c>
      <c r="AA17" s="82"/>
      <c r="AB17" s="78">
        <v>159795</v>
      </c>
      <c r="AC17" s="82"/>
      <c r="AD17" s="78">
        <f>SUM(AD9:AD12)</f>
        <v>174603</v>
      </c>
      <c r="AE17" s="82"/>
      <c r="AF17" s="78">
        <f>SUM(AF9:AF12)</f>
        <v>125645</v>
      </c>
      <c r="AG17" s="82"/>
      <c r="AH17" s="78">
        <f>SUM(AH9:AH12)</f>
        <v>181609</v>
      </c>
      <c r="AI17" s="82"/>
      <c r="AJ17" s="78">
        <f>SUM(AJ9:AJ12)</f>
        <v>151755</v>
      </c>
      <c r="AK17" s="82"/>
      <c r="AL17" s="78">
        <f>SUM(AL9:AL12)</f>
        <v>183387</v>
      </c>
      <c r="AM17" s="82"/>
      <c r="AN17" s="78">
        <f>SUM(AN9:AN12)</f>
        <v>187033</v>
      </c>
      <c r="AO17" s="82"/>
      <c r="AP17" s="78">
        <f>SUM(AP9:AP12)</f>
        <v>178477</v>
      </c>
      <c r="AQ17" s="82"/>
      <c r="AR17" s="78">
        <f>SUM(AR9:AR12)</f>
        <v>157461.70000000001</v>
      </c>
      <c r="AS17" s="82"/>
      <c r="AT17" s="78">
        <f>SUM(AT9:AT12)</f>
        <v>158988.31700000001</v>
      </c>
      <c r="AU17" s="82"/>
      <c r="AV17" s="78">
        <f>SUM(AV9:AV12)</f>
        <v>160528.18017000001</v>
      </c>
      <c r="AW17" s="82"/>
      <c r="AX17" s="78">
        <f>SUM(AX9:AX12)</f>
        <v>162084.44197170003</v>
      </c>
      <c r="AY17" s="82"/>
      <c r="AZ17" s="58"/>
      <c r="BA17" s="42" t="s">
        <v>44</v>
      </c>
      <c r="BB17" s="43">
        <v>9677</v>
      </c>
      <c r="BC17" s="43">
        <f t="shared" ref="BC17:BH17" si="1">SUM(BC18:BC25)</f>
        <v>33731</v>
      </c>
      <c r="BD17" s="43">
        <f t="shared" si="1"/>
        <v>22993</v>
      </c>
      <c r="BE17" s="43">
        <f t="shared" si="1"/>
        <v>4142</v>
      </c>
      <c r="BF17" s="43">
        <f t="shared" si="1"/>
        <v>62924</v>
      </c>
      <c r="BG17" s="43">
        <f t="shared" si="1"/>
        <v>45026</v>
      </c>
      <c r="BH17" s="43">
        <f t="shared" si="1"/>
        <v>12380</v>
      </c>
    </row>
    <row r="18" spans="1:60" x14ac:dyDescent="0.2">
      <c r="A18" s="30">
        <v>7</v>
      </c>
      <c r="B18" s="31" t="s">
        <v>45</v>
      </c>
      <c r="C18" s="32"/>
      <c r="D18" s="33"/>
      <c r="E18" s="34"/>
      <c r="F18" s="36"/>
      <c r="G18" s="38"/>
      <c r="H18" s="44"/>
      <c r="I18" s="38"/>
      <c r="J18" s="44"/>
      <c r="K18" s="63"/>
      <c r="L18" s="44"/>
      <c r="M18" s="63"/>
      <c r="N18" s="44"/>
      <c r="O18" s="63"/>
      <c r="P18" s="44"/>
      <c r="Q18" s="63"/>
      <c r="R18" s="44"/>
      <c r="S18" s="63"/>
      <c r="T18" s="44"/>
      <c r="U18" s="66"/>
      <c r="V18" s="83"/>
      <c r="W18" s="65"/>
      <c r="X18" s="44"/>
      <c r="Y18" s="65"/>
      <c r="Z18" s="44"/>
      <c r="AA18" s="65"/>
      <c r="AB18" s="44"/>
      <c r="AC18" s="65"/>
      <c r="AD18" s="44"/>
      <c r="AE18" s="65"/>
      <c r="AF18" s="44"/>
      <c r="AG18" s="65"/>
      <c r="AH18" s="44"/>
      <c r="AI18" s="65"/>
      <c r="AJ18" s="44"/>
      <c r="AK18" s="65"/>
      <c r="AL18" s="44"/>
      <c r="AM18" s="65"/>
      <c r="AN18" s="44"/>
      <c r="AO18" s="65"/>
      <c r="AP18" s="44"/>
      <c r="AQ18" s="65"/>
      <c r="AR18" s="44"/>
      <c r="AS18" s="65"/>
      <c r="AT18" s="44"/>
      <c r="AU18" s="65"/>
      <c r="AV18" s="44"/>
      <c r="AW18" s="65"/>
      <c r="AX18" s="44"/>
      <c r="AY18" s="65"/>
      <c r="AZ18" s="58"/>
      <c r="BA18" s="45" t="s">
        <v>35</v>
      </c>
      <c r="BB18" s="84"/>
      <c r="BC18" s="84"/>
      <c r="BD18" s="84">
        <v>2717</v>
      </c>
      <c r="BE18" s="84">
        <v>1142</v>
      </c>
      <c r="BF18" s="84">
        <v>62077</v>
      </c>
      <c r="BG18" s="84">
        <v>10172</v>
      </c>
      <c r="BH18" s="84"/>
    </row>
    <row r="19" spans="1:60" x14ac:dyDescent="0.2">
      <c r="A19" s="30">
        <v>8</v>
      </c>
      <c r="B19" s="48" t="s">
        <v>46</v>
      </c>
      <c r="C19" s="49">
        <v>77701</v>
      </c>
      <c r="D19" s="50">
        <v>92430</v>
      </c>
      <c r="E19" s="51">
        <f>D19/C19</f>
        <v>1.1895599799230383</v>
      </c>
      <c r="F19" s="50">
        <v>100056</v>
      </c>
      <c r="G19" s="51">
        <f>F19/D19</f>
        <v>1.0825056799740345</v>
      </c>
      <c r="H19" s="52">
        <v>125781</v>
      </c>
      <c r="I19" s="51">
        <f>H19/F19</f>
        <v>1.2571060206284481</v>
      </c>
      <c r="J19" s="52">
        <v>128858</v>
      </c>
      <c r="K19" s="63"/>
      <c r="L19" s="52">
        <v>115256</v>
      </c>
      <c r="M19" s="63"/>
      <c r="N19" s="52">
        <f>105259</f>
        <v>105259</v>
      </c>
      <c r="O19" s="63"/>
      <c r="P19" s="52">
        <v>144099</v>
      </c>
      <c r="Q19" s="63"/>
      <c r="R19" s="52">
        <v>158349</v>
      </c>
      <c r="S19" s="63"/>
      <c r="T19" s="52">
        <f>163161</f>
        <v>163161</v>
      </c>
      <c r="U19" s="66"/>
      <c r="V19" s="54">
        <v>170269</v>
      </c>
      <c r="W19" s="65"/>
      <c r="X19" s="52">
        <v>171665</v>
      </c>
      <c r="Y19" s="65"/>
      <c r="Z19" s="52">
        <v>110375</v>
      </c>
      <c r="AA19" s="65"/>
      <c r="AB19" s="52">
        <v>121197</v>
      </c>
      <c r="AC19" s="65"/>
      <c r="AD19" s="52">
        <v>118495</v>
      </c>
      <c r="AE19" s="65"/>
      <c r="AF19" s="52">
        <v>118578</v>
      </c>
      <c r="AG19" s="65"/>
      <c r="AH19" s="52">
        <v>122658</v>
      </c>
      <c r="AI19" s="65"/>
      <c r="AJ19" s="52">
        <v>117410</v>
      </c>
      <c r="AK19" s="65"/>
      <c r="AL19" s="52">
        <v>124946</v>
      </c>
      <c r="AM19" s="65"/>
      <c r="AN19" s="52">
        <v>141517</v>
      </c>
      <c r="AO19" s="65"/>
      <c r="AP19" s="52">
        <v>139399</v>
      </c>
      <c r="AQ19" s="65"/>
      <c r="AR19" s="52">
        <f>AR24+AR22+AR21+AR20</f>
        <v>137786</v>
      </c>
      <c r="AS19" s="65"/>
      <c r="AT19" s="52">
        <f>AT24+AT22+AT21+AT20</f>
        <v>139165.86000000002</v>
      </c>
      <c r="AU19" s="65"/>
      <c r="AV19" s="52">
        <f>AV24+AV22+AV21+AV20</f>
        <v>140557.49860000002</v>
      </c>
      <c r="AW19" s="65"/>
      <c r="AX19" s="52">
        <f>AX24+AX22+AX21+AX20</f>
        <v>141964.05358600002</v>
      </c>
      <c r="AY19" s="65"/>
      <c r="AZ19" s="58"/>
      <c r="BA19" s="59" t="s">
        <v>47</v>
      </c>
      <c r="BB19" s="61"/>
      <c r="BC19" s="61">
        <v>2000</v>
      </c>
      <c r="BD19" s="61">
        <v>19560</v>
      </c>
      <c r="BE19" s="61">
        <v>3000</v>
      </c>
      <c r="BF19" s="61"/>
      <c r="BG19" s="61"/>
      <c r="BH19" s="61"/>
    </row>
    <row r="20" spans="1:60" x14ac:dyDescent="0.2">
      <c r="A20" s="30">
        <v>9</v>
      </c>
      <c r="B20" s="48" t="s">
        <v>48</v>
      </c>
      <c r="C20" s="49"/>
      <c r="D20" s="50">
        <v>20931</v>
      </c>
      <c r="E20" s="38"/>
      <c r="F20" s="50">
        <f>19170+2962+1694</f>
        <v>23826</v>
      </c>
      <c r="G20" s="62"/>
      <c r="H20" s="52">
        <f>H14</f>
        <v>32511</v>
      </c>
      <c r="I20" s="62"/>
      <c r="J20" s="52">
        <f>J14</f>
        <v>34758</v>
      </c>
      <c r="K20" s="63"/>
      <c r="L20" s="52">
        <f>L14</f>
        <v>3362</v>
      </c>
      <c r="M20" s="63"/>
      <c r="N20" s="52">
        <f>N14</f>
        <v>2608</v>
      </c>
      <c r="O20" s="63"/>
      <c r="P20" s="52">
        <f>P14</f>
        <v>2274</v>
      </c>
      <c r="Q20" s="63"/>
      <c r="R20" s="52">
        <f>R14</f>
        <v>1973</v>
      </c>
      <c r="S20" s="63"/>
      <c r="T20" s="52">
        <f>T14</f>
        <v>1100</v>
      </c>
      <c r="U20" s="66"/>
      <c r="V20" s="54">
        <f>V14</f>
        <v>1233</v>
      </c>
      <c r="W20" s="65"/>
      <c r="X20" s="52">
        <f>X14</f>
        <v>3318</v>
      </c>
      <c r="Y20" s="65"/>
      <c r="Z20" s="52">
        <f>Z14</f>
        <v>3081</v>
      </c>
      <c r="AA20" s="65"/>
      <c r="AB20" s="52">
        <v>9385</v>
      </c>
      <c r="AC20" s="65"/>
      <c r="AD20" s="52">
        <f>AD14</f>
        <v>5025</v>
      </c>
      <c r="AE20" s="65"/>
      <c r="AF20" s="52">
        <f>AF14</f>
        <v>0</v>
      </c>
      <c r="AG20" s="65"/>
      <c r="AH20" s="52">
        <f>AH14</f>
        <v>7783</v>
      </c>
      <c r="AI20" s="65"/>
      <c r="AJ20" s="52">
        <f>AJ14-3000</f>
        <v>6778</v>
      </c>
      <c r="AK20" s="65"/>
      <c r="AL20" s="52">
        <f>AL14</f>
        <v>8711</v>
      </c>
      <c r="AM20" s="65"/>
      <c r="AN20" s="52">
        <f>AN14</f>
        <v>9464</v>
      </c>
      <c r="AO20" s="65"/>
      <c r="AP20" s="52">
        <f>AP14</f>
        <v>0</v>
      </c>
      <c r="AQ20" s="65"/>
      <c r="AR20" s="52">
        <f>AR14</f>
        <v>0</v>
      </c>
      <c r="AS20" s="65"/>
      <c r="AT20" s="52">
        <f>AT14</f>
        <v>2</v>
      </c>
      <c r="AU20" s="65"/>
      <c r="AV20" s="52">
        <f>AV14</f>
        <v>2</v>
      </c>
      <c r="AW20" s="65"/>
      <c r="AX20" s="52">
        <f>AX14</f>
        <v>3</v>
      </c>
      <c r="AY20" s="65"/>
      <c r="AZ20" s="58"/>
      <c r="BA20" s="59" t="s">
        <v>40</v>
      </c>
      <c r="BB20" s="85"/>
      <c r="BC20" s="85"/>
      <c r="BD20" s="85"/>
      <c r="BE20" s="85"/>
      <c r="BF20" s="85">
        <v>0</v>
      </c>
      <c r="BG20" s="61">
        <v>7077</v>
      </c>
      <c r="BH20" s="60"/>
    </row>
    <row r="21" spans="1:60" x14ac:dyDescent="0.2">
      <c r="A21" s="30">
        <v>10</v>
      </c>
      <c r="B21" s="48" t="s">
        <v>49</v>
      </c>
      <c r="C21" s="49">
        <v>14078</v>
      </c>
      <c r="D21" s="50">
        <v>12118</v>
      </c>
      <c r="E21" s="38"/>
      <c r="F21" s="50">
        <v>13342</v>
      </c>
      <c r="G21" s="62"/>
      <c r="H21" s="52">
        <v>19572</v>
      </c>
      <c r="I21" s="62"/>
      <c r="J21" s="52">
        <v>19010</v>
      </c>
      <c r="K21" s="63"/>
      <c r="L21" s="52">
        <f>L13</f>
        <v>20000</v>
      </c>
      <c r="M21" s="63"/>
      <c r="N21" s="52">
        <f>N13</f>
        <v>20000</v>
      </c>
      <c r="O21" s="63"/>
      <c r="P21" s="52">
        <f>P13</f>
        <v>53860</v>
      </c>
      <c r="Q21" s="63"/>
      <c r="R21" s="52">
        <f>R13</f>
        <v>64556</v>
      </c>
      <c r="S21" s="63"/>
      <c r="T21" s="52">
        <f>T13</f>
        <v>68988</v>
      </c>
      <c r="U21" s="66"/>
      <c r="V21" s="54">
        <f>V13</f>
        <v>72619</v>
      </c>
      <c r="W21" s="65"/>
      <c r="X21" s="52">
        <f>X13</f>
        <v>70522</v>
      </c>
      <c r="Y21" s="65"/>
      <c r="Z21" s="52">
        <f>Z13</f>
        <v>0</v>
      </c>
      <c r="AA21" s="65"/>
      <c r="AB21" s="52">
        <v>0</v>
      </c>
      <c r="AC21" s="65"/>
      <c r="AD21" s="52">
        <f>AD13</f>
        <v>0</v>
      </c>
      <c r="AE21" s="65"/>
      <c r="AF21" s="52">
        <f>AF13</f>
        <v>0</v>
      </c>
      <c r="AG21" s="65"/>
      <c r="AH21" s="52">
        <f>AH13</f>
        <v>0</v>
      </c>
      <c r="AI21" s="65"/>
      <c r="AJ21" s="52">
        <f>AJ13</f>
        <v>0</v>
      </c>
      <c r="AK21" s="65"/>
      <c r="AL21" s="52">
        <f>AL13</f>
        <v>0</v>
      </c>
      <c r="AM21" s="65"/>
      <c r="AN21" s="52">
        <f>AN13</f>
        <v>0</v>
      </c>
      <c r="AO21" s="65"/>
      <c r="AP21" s="52">
        <f>AP13</f>
        <v>0</v>
      </c>
      <c r="AQ21" s="65"/>
      <c r="AR21" s="52">
        <f>AR13</f>
        <v>0</v>
      </c>
      <c r="AS21" s="65"/>
      <c r="AT21" s="52">
        <f>AT13</f>
        <v>0</v>
      </c>
      <c r="AU21" s="65"/>
      <c r="AV21" s="52">
        <f>AV13</f>
        <v>0</v>
      </c>
      <c r="AW21" s="65"/>
      <c r="AX21" s="52">
        <f>AX13</f>
        <v>0</v>
      </c>
      <c r="AY21" s="65"/>
      <c r="AZ21" s="58"/>
      <c r="BA21" s="59" t="s">
        <v>29</v>
      </c>
      <c r="BB21" s="60">
        <v>9677</v>
      </c>
      <c r="BC21" s="60">
        <f>7496+23598</f>
        <v>31094</v>
      </c>
      <c r="BD21" s="60">
        <v>716</v>
      </c>
      <c r="BE21" s="60"/>
      <c r="BF21" s="60"/>
      <c r="BG21" s="61"/>
      <c r="BH21" s="61"/>
    </row>
    <row r="22" spans="1:60" x14ac:dyDescent="0.2">
      <c r="A22" s="30">
        <v>11</v>
      </c>
      <c r="B22" s="48" t="s">
        <v>50</v>
      </c>
      <c r="C22" s="49">
        <v>209</v>
      </c>
      <c r="D22" s="50">
        <v>343</v>
      </c>
      <c r="E22" s="38"/>
      <c r="F22" s="50">
        <f>C13-C21</f>
        <v>322</v>
      </c>
      <c r="G22" s="62"/>
      <c r="H22" s="52">
        <v>1379</v>
      </c>
      <c r="I22" s="62"/>
      <c r="J22" s="52">
        <v>594</v>
      </c>
      <c r="K22" s="63"/>
      <c r="L22" s="52">
        <v>1201</v>
      </c>
      <c r="M22" s="63"/>
      <c r="N22" s="52">
        <v>1402</v>
      </c>
      <c r="O22" s="63"/>
      <c r="P22" s="52">
        <v>1084</v>
      </c>
      <c r="Q22" s="63"/>
      <c r="R22" s="52">
        <v>4397</v>
      </c>
      <c r="S22" s="63"/>
      <c r="T22" s="52">
        <v>4242</v>
      </c>
      <c r="U22" s="66"/>
      <c r="V22" s="54">
        <v>2235</v>
      </c>
      <c r="W22" s="65"/>
      <c r="X22" s="52">
        <v>1037</v>
      </c>
      <c r="Y22" s="65"/>
      <c r="Z22" s="52">
        <v>1701</v>
      </c>
      <c r="AA22" s="65"/>
      <c r="AB22" s="52">
        <v>1317</v>
      </c>
      <c r="AC22" s="65"/>
      <c r="AD22" s="52">
        <f>AB13-AB21</f>
        <v>0</v>
      </c>
      <c r="AE22" s="65"/>
      <c r="AF22" s="52">
        <f>AB13-AB21</f>
        <v>0</v>
      </c>
      <c r="AG22" s="65"/>
      <c r="AH22" s="52">
        <f>AD13-AD21</f>
        <v>0</v>
      </c>
      <c r="AI22" s="65"/>
      <c r="AJ22" s="52">
        <f>AH13-AH21</f>
        <v>0</v>
      </c>
      <c r="AK22" s="65"/>
      <c r="AL22" s="52">
        <f>AJ13-AJ21</f>
        <v>0</v>
      </c>
      <c r="AM22" s="65"/>
      <c r="AN22" s="52">
        <f>AL13-AL21</f>
        <v>0</v>
      </c>
      <c r="AO22" s="65"/>
      <c r="AP22" s="52">
        <f>AN13-AN21</f>
        <v>0</v>
      </c>
      <c r="AQ22" s="65"/>
      <c r="AR22" s="52">
        <f>AP13-AP21</f>
        <v>0</v>
      </c>
      <c r="AS22" s="65"/>
      <c r="AT22" s="52">
        <f>AR13-AR21</f>
        <v>0</v>
      </c>
      <c r="AU22" s="65"/>
      <c r="AV22" s="52">
        <f>AT13-AT21</f>
        <v>0</v>
      </c>
      <c r="AW22" s="65"/>
      <c r="AX22" s="52">
        <f>AV13-AV21</f>
        <v>0</v>
      </c>
      <c r="AY22" s="65"/>
      <c r="AZ22" s="58"/>
      <c r="BA22" s="59" t="s">
        <v>86</v>
      </c>
      <c r="BB22" s="85"/>
      <c r="BC22" s="85"/>
      <c r="BD22" s="85"/>
      <c r="BE22" s="85"/>
      <c r="BF22" s="60"/>
      <c r="BG22" s="60">
        <v>27315</v>
      </c>
      <c r="BH22" s="85">
        <v>380</v>
      </c>
    </row>
    <row r="23" spans="1:60" x14ac:dyDescent="0.2">
      <c r="A23" s="30">
        <v>12</v>
      </c>
      <c r="B23" s="86" t="s">
        <v>51</v>
      </c>
      <c r="C23" s="49"/>
      <c r="D23" s="50"/>
      <c r="E23" s="38"/>
      <c r="F23" s="50"/>
      <c r="G23" s="62"/>
      <c r="H23" s="52"/>
      <c r="I23" s="62"/>
      <c r="J23" s="52"/>
      <c r="K23" s="63"/>
      <c r="L23" s="52">
        <v>13540</v>
      </c>
      <c r="M23" s="63"/>
      <c r="N23" s="52"/>
      <c r="O23" s="63"/>
      <c r="P23" s="52"/>
      <c r="Q23" s="63"/>
      <c r="R23" s="52"/>
      <c r="S23" s="63"/>
      <c r="T23" s="52"/>
      <c r="U23" s="66"/>
      <c r="V23" s="54">
        <f>127+47+816+306+16</f>
        <v>1312</v>
      </c>
      <c r="W23" s="65"/>
      <c r="X23" s="52">
        <f>421+282+186+186+1817+881+163</f>
        <v>3936</v>
      </c>
      <c r="Y23" s="65"/>
      <c r="Z23" s="52">
        <f>2208+37+963+444+4013+3625+164+1908+959+688</f>
        <v>15009</v>
      </c>
      <c r="AA23" s="65"/>
      <c r="AB23" s="52">
        <v>4007</v>
      </c>
      <c r="AC23" s="65"/>
      <c r="AD23" s="52">
        <f>534+293+2198</f>
        <v>3025</v>
      </c>
      <c r="AE23" s="65"/>
      <c r="AF23" s="52">
        <f>1000+1826</f>
        <v>2826</v>
      </c>
      <c r="AG23" s="65"/>
      <c r="AH23" s="52">
        <f>578+1200</f>
        <v>1778</v>
      </c>
      <c r="AI23" s="65"/>
      <c r="AJ23" s="52">
        <f>687+281</f>
        <v>968</v>
      </c>
      <c r="AK23" s="65"/>
      <c r="AL23" s="52">
        <f>1139+838+20+633</f>
        <v>2630</v>
      </c>
      <c r="AM23" s="65"/>
      <c r="AN23" s="52">
        <f>23+29+549+1028+1136</f>
        <v>2765</v>
      </c>
      <c r="AO23" s="65"/>
      <c r="AP23" s="52">
        <f>800+13+800</f>
        <v>1613</v>
      </c>
      <c r="AQ23" s="65"/>
      <c r="AR23" s="52"/>
      <c r="AS23" s="65"/>
      <c r="AT23" s="52"/>
      <c r="AU23" s="65"/>
      <c r="AV23" s="52"/>
      <c r="AW23" s="65"/>
      <c r="AX23" s="52"/>
      <c r="AY23" s="65"/>
      <c r="AZ23" s="58"/>
      <c r="BA23" s="59" t="s">
        <v>76</v>
      </c>
      <c r="BB23" s="85"/>
      <c r="BC23" s="85"/>
      <c r="BD23" s="85"/>
      <c r="BE23" s="85"/>
      <c r="BF23" s="85"/>
      <c r="BG23" s="61">
        <v>54</v>
      </c>
      <c r="BH23" s="85">
        <v>6200</v>
      </c>
    </row>
    <row r="24" spans="1:60" ht="13.5" thickBot="1" x14ac:dyDescent="0.25">
      <c r="A24" s="30">
        <v>13</v>
      </c>
      <c r="B24" s="48" t="s">
        <v>53</v>
      </c>
      <c r="C24" s="49">
        <v>63414</v>
      </c>
      <c r="D24" s="50">
        <v>59038</v>
      </c>
      <c r="E24" s="51">
        <f>D24/C24</f>
        <v>0.930993156085407</v>
      </c>
      <c r="F24" s="50">
        <f>F19-F20-F21-F22</f>
        <v>62566</v>
      </c>
      <c r="G24" s="51">
        <f>F24/D24</f>
        <v>1.0597581218875978</v>
      </c>
      <c r="H24" s="52">
        <f>H19-H20-H21-H22</f>
        <v>72319</v>
      </c>
      <c r="I24" s="51">
        <f>H24/F24</f>
        <v>1.1558833871431768</v>
      </c>
      <c r="J24" s="52">
        <f>J19-J20-J21-J22</f>
        <v>74496</v>
      </c>
      <c r="K24" s="51">
        <f>J24/H24</f>
        <v>1.0301027392524786</v>
      </c>
      <c r="L24" s="52">
        <f>L19-L20-L21-L22-L23</f>
        <v>77153</v>
      </c>
      <c r="M24" s="51">
        <f>L24/J24</f>
        <v>1.0356663445017182</v>
      </c>
      <c r="N24" s="52">
        <f>N19-N20-N21-N22-N23</f>
        <v>81249</v>
      </c>
      <c r="O24" s="51">
        <f>N24/L24</f>
        <v>1.0530893160343733</v>
      </c>
      <c r="P24" s="52">
        <f>P19-P20-P21-P22-P23</f>
        <v>86881</v>
      </c>
      <c r="Q24" s="51">
        <f>P24/N24</f>
        <v>1.0693177762187842</v>
      </c>
      <c r="R24" s="52">
        <f>R19-R20-R21-R22-R23</f>
        <v>87423</v>
      </c>
      <c r="S24" s="51">
        <f>R24/P24</f>
        <v>1.0062384180660904</v>
      </c>
      <c r="T24" s="52">
        <f>T19-T20-T21-T22-T23</f>
        <v>88831</v>
      </c>
      <c r="U24" s="53">
        <f>T24/R24</f>
        <v>1.0161056015007492</v>
      </c>
      <c r="V24" s="54">
        <f>V19-V20-V21-V22-V23</f>
        <v>92870</v>
      </c>
      <c r="W24" s="55">
        <f>V24/T24</f>
        <v>1.0454683612702773</v>
      </c>
      <c r="X24" s="54">
        <f>X19-X20-X21-X22-X23</f>
        <v>92852</v>
      </c>
      <c r="Y24" s="55">
        <f>X24/V24</f>
        <v>0.99980618068267468</v>
      </c>
      <c r="Z24" s="54">
        <f>Z19-Z20-Z21-Z22-Z23</f>
        <v>90584</v>
      </c>
      <c r="AA24" s="55">
        <f>Z24/X24</f>
        <v>0.97557403179252999</v>
      </c>
      <c r="AB24" s="54">
        <v>106488</v>
      </c>
      <c r="AC24" s="55">
        <v>1.1755718449174246</v>
      </c>
      <c r="AD24" s="54">
        <f>AD19-AD20-AD21-AD22-AD23</f>
        <v>110445</v>
      </c>
      <c r="AE24" s="55">
        <f>AD24/AB24</f>
        <v>1.0371591165201712</v>
      </c>
      <c r="AF24" s="54">
        <f>AF19-AF20-AF21-AF22-AF23</f>
        <v>115752</v>
      </c>
      <c r="AG24" s="55">
        <f>AF24/AD24</f>
        <v>1.0480510661415183</v>
      </c>
      <c r="AH24" s="54">
        <f>AH19-AH20-AH21-AH22-AH23</f>
        <v>113097</v>
      </c>
      <c r="AI24" s="55">
        <f>AH24/AD24</f>
        <v>1.0240119516501427</v>
      </c>
      <c r="AJ24" s="54">
        <f>AJ19-AJ20-AJ21-AJ22-AJ23</f>
        <v>109664</v>
      </c>
      <c r="AK24" s="65">
        <f>AJ24/AH24</f>
        <v>0.96964552552233918</v>
      </c>
      <c r="AL24" s="54">
        <f>AL19-AL20-AL21-AL22-AL23</f>
        <v>113605</v>
      </c>
      <c r="AM24" s="65">
        <f>AL24/AJ24</f>
        <v>1.0359370440618616</v>
      </c>
      <c r="AN24" s="54">
        <f>AN19-AN20-AN21-AN22-AN23</f>
        <v>129288</v>
      </c>
      <c r="AO24" s="65">
        <f>AN24/AL24</f>
        <v>1.1380485013863826</v>
      </c>
      <c r="AP24" s="54">
        <f>AP19-AP20-AP21-AP22-AP23</f>
        <v>137786</v>
      </c>
      <c r="AQ24" s="65">
        <f>AP24/AN24</f>
        <v>1.0657292246766907</v>
      </c>
      <c r="AR24" s="87">
        <f>AS24*AP24</f>
        <v>137786</v>
      </c>
      <c r="AS24" s="57">
        <v>1</v>
      </c>
      <c r="AT24" s="87">
        <f>AU24*AR24</f>
        <v>139163.86000000002</v>
      </c>
      <c r="AU24" s="57">
        <v>1.01</v>
      </c>
      <c r="AV24" s="87">
        <f>AW24*AT24</f>
        <v>140555.49860000002</v>
      </c>
      <c r="AW24" s="57">
        <v>1.01</v>
      </c>
      <c r="AX24" s="87">
        <f>AY24*AV24</f>
        <v>141961.05358600002</v>
      </c>
      <c r="AY24" s="57">
        <v>1.01</v>
      </c>
      <c r="AZ24" s="58"/>
      <c r="BA24" s="67" t="s">
        <v>52</v>
      </c>
      <c r="BB24" s="68"/>
      <c r="BC24" s="68">
        <f>385+252</f>
        <v>637</v>
      </c>
      <c r="BD24" s="68"/>
      <c r="BE24" s="68"/>
      <c r="BF24" s="68">
        <v>847</v>
      </c>
      <c r="BG24" s="68">
        <f>348+60</f>
        <v>408</v>
      </c>
      <c r="BH24" s="68">
        <v>5800</v>
      </c>
    </row>
    <row r="25" spans="1:60" ht="13.5" thickBot="1" x14ac:dyDescent="0.25">
      <c r="A25" s="30">
        <v>14</v>
      </c>
      <c r="B25" s="48" t="s">
        <v>54</v>
      </c>
      <c r="C25" s="49">
        <v>93635</v>
      </c>
      <c r="D25" s="50">
        <v>82588</v>
      </c>
      <c r="E25" s="38"/>
      <c r="F25" s="50">
        <v>110735</v>
      </c>
      <c r="G25" s="62"/>
      <c r="H25" s="52">
        <v>95702</v>
      </c>
      <c r="I25" s="62"/>
      <c r="J25" s="52">
        <v>31699</v>
      </c>
      <c r="K25" s="63"/>
      <c r="L25" s="52">
        <v>39468</v>
      </c>
      <c r="M25" s="63"/>
      <c r="N25" s="52">
        <v>31996</v>
      </c>
      <c r="O25" s="63"/>
      <c r="P25" s="52">
        <v>38682</v>
      </c>
      <c r="Q25" s="63"/>
      <c r="R25" s="52">
        <v>27036</v>
      </c>
      <c r="S25" s="63"/>
      <c r="T25" s="52">
        <f>75531</f>
        <v>75531</v>
      </c>
      <c r="U25" s="66"/>
      <c r="V25" s="54">
        <v>85991</v>
      </c>
      <c r="W25" s="65"/>
      <c r="X25" s="52">
        <v>33817</v>
      </c>
      <c r="Y25" s="65"/>
      <c r="Z25" s="52">
        <v>13077</v>
      </c>
      <c r="AA25" s="65"/>
      <c r="AB25" s="52">
        <v>18738</v>
      </c>
      <c r="AC25" s="65"/>
      <c r="AD25" s="52">
        <v>43770</v>
      </c>
      <c r="AE25" s="65"/>
      <c r="AF25" s="52">
        <v>41040</v>
      </c>
      <c r="AG25" s="65"/>
      <c r="AH25" s="52">
        <v>37409</v>
      </c>
      <c r="AI25" s="65"/>
      <c r="AJ25" s="52">
        <v>17781</v>
      </c>
      <c r="AK25" s="65"/>
      <c r="AL25" s="52">
        <v>73404</v>
      </c>
      <c r="AM25" s="65"/>
      <c r="AN25" s="52">
        <v>78477</v>
      </c>
      <c r="AO25" s="65"/>
      <c r="AP25" s="52">
        <v>59432</v>
      </c>
      <c r="AQ25" s="65"/>
      <c r="AR25" s="52">
        <f>AR28-AR19</f>
        <v>17490.700000000012</v>
      </c>
      <c r="AS25" s="65"/>
      <c r="AT25" s="52">
        <f>AT28-AT19</f>
        <v>17637.456999999995</v>
      </c>
      <c r="AU25" s="65"/>
      <c r="AV25" s="52">
        <f>AV28-AV19</f>
        <v>17785.681569999986</v>
      </c>
      <c r="AW25" s="65"/>
      <c r="AX25" s="52">
        <f>AX28-AX19</f>
        <v>17935.388385700004</v>
      </c>
      <c r="AY25" s="65"/>
      <c r="AZ25" s="58"/>
    </row>
    <row r="26" spans="1:60" x14ac:dyDescent="0.2">
      <c r="A26" s="30">
        <v>15</v>
      </c>
      <c r="B26" s="48" t="s">
        <v>55</v>
      </c>
      <c r="C26" s="49">
        <v>62000</v>
      </c>
      <c r="D26" s="50">
        <v>50903</v>
      </c>
      <c r="E26" s="38"/>
      <c r="F26" s="50">
        <f>F15</f>
        <v>71831</v>
      </c>
      <c r="G26" s="62"/>
      <c r="H26" s="52">
        <f>H15</f>
        <v>74736</v>
      </c>
      <c r="I26" s="62"/>
      <c r="J26" s="52">
        <f>J15</f>
        <v>14600</v>
      </c>
      <c r="K26" s="63"/>
      <c r="L26" s="52">
        <f>L15</f>
        <v>5971</v>
      </c>
      <c r="M26" s="63"/>
      <c r="N26" s="52">
        <f>N15</f>
        <v>18912</v>
      </c>
      <c r="O26" s="63"/>
      <c r="P26" s="52">
        <f>P15</f>
        <v>7998</v>
      </c>
      <c r="Q26" s="63"/>
      <c r="R26" s="52">
        <f>R15</f>
        <v>6238</v>
      </c>
      <c r="S26" s="63"/>
      <c r="T26" s="69">
        <f>26497+21206+15038</f>
        <v>62741</v>
      </c>
      <c r="U26" s="66"/>
      <c r="V26" s="70">
        <v>61772</v>
      </c>
      <c r="W26" s="65"/>
      <c r="X26" s="69">
        <v>17353</v>
      </c>
      <c r="Y26" s="65"/>
      <c r="Z26" s="69">
        <v>10410</v>
      </c>
      <c r="AA26" s="65"/>
      <c r="AB26" s="69">
        <v>9677</v>
      </c>
      <c r="AC26" s="65"/>
      <c r="AD26" s="69">
        <f>BC17</f>
        <v>33731</v>
      </c>
      <c r="AE26" s="65"/>
      <c r="AF26" s="69">
        <f>BD17</f>
        <v>22993</v>
      </c>
      <c r="AG26" s="65"/>
      <c r="AH26" s="69">
        <v>22993</v>
      </c>
      <c r="AI26" s="65"/>
      <c r="AJ26" s="69">
        <f>3000+1142</f>
        <v>4142</v>
      </c>
      <c r="AK26" s="65"/>
      <c r="AL26" s="69">
        <f>BF17</f>
        <v>62924</v>
      </c>
      <c r="AM26" s="65"/>
      <c r="AN26" s="69">
        <f>BG17</f>
        <v>45026</v>
      </c>
      <c r="AO26" s="65"/>
      <c r="AP26" s="69">
        <f>BH17</f>
        <v>12380</v>
      </c>
      <c r="AQ26" s="65"/>
      <c r="AR26" s="52">
        <f>AR15</f>
        <v>0</v>
      </c>
      <c r="AS26" s="65"/>
      <c r="AT26" s="52">
        <f>AT15</f>
        <v>0</v>
      </c>
      <c r="AU26" s="65"/>
      <c r="AV26" s="52">
        <f>AV15</f>
        <v>0</v>
      </c>
      <c r="AW26" s="65"/>
      <c r="AX26" s="52">
        <f>AX15</f>
        <v>0</v>
      </c>
      <c r="AY26" s="65"/>
      <c r="AZ26" s="58"/>
      <c r="BA26" s="88" t="s">
        <v>56</v>
      </c>
      <c r="BB26" s="89">
        <v>9061</v>
      </c>
      <c r="BC26" s="89">
        <f t="shared" ref="BC26:BH26" si="2">SUM(BC27:BC44)</f>
        <v>10039</v>
      </c>
      <c r="BD26" s="89">
        <f t="shared" si="2"/>
        <v>14416</v>
      </c>
      <c r="BE26" s="89">
        <f t="shared" si="2"/>
        <v>13639</v>
      </c>
      <c r="BF26" s="89">
        <f t="shared" si="2"/>
        <v>10480</v>
      </c>
      <c r="BG26" s="89">
        <f t="shared" si="2"/>
        <v>33451</v>
      </c>
      <c r="BH26" s="89">
        <f t="shared" si="2"/>
        <v>47052</v>
      </c>
    </row>
    <row r="27" spans="1:60" ht="13.5" thickBot="1" x14ac:dyDescent="0.25">
      <c r="A27" s="30">
        <v>16</v>
      </c>
      <c r="B27" s="90" t="s">
        <v>57</v>
      </c>
      <c r="C27" s="91">
        <v>31635</v>
      </c>
      <c r="D27" s="87">
        <v>31685</v>
      </c>
      <c r="E27" s="51">
        <f>D27/C27</f>
        <v>1.0015805278963175</v>
      </c>
      <c r="F27" s="87">
        <f>F25-F26</f>
        <v>38904</v>
      </c>
      <c r="G27" s="51">
        <f>F27/D27</f>
        <v>1.2278365157014359</v>
      </c>
      <c r="H27" s="87">
        <f>H25-H26</f>
        <v>20966</v>
      </c>
      <c r="I27" s="51">
        <f>H27/F27</f>
        <v>0.53891630680649805</v>
      </c>
      <c r="J27" s="87">
        <f>J25-J26</f>
        <v>17099</v>
      </c>
      <c r="K27" s="63">
        <f>J27/H27</f>
        <v>0.81555852332347611</v>
      </c>
      <c r="L27" s="87">
        <f>L25-L26</f>
        <v>33497</v>
      </c>
      <c r="M27" s="63">
        <f>L27/J27</f>
        <v>1.9590034504941809</v>
      </c>
      <c r="N27" s="87">
        <f>N25-N26</f>
        <v>13084</v>
      </c>
      <c r="O27" s="63">
        <f>N27/L27</f>
        <v>0.39060214347553512</v>
      </c>
      <c r="P27" s="87">
        <f>P25-P26</f>
        <v>30684</v>
      </c>
      <c r="Q27" s="63">
        <f>P27/N27</f>
        <v>2.3451543870376033</v>
      </c>
      <c r="R27" s="87">
        <f>R25-R26</f>
        <v>20798</v>
      </c>
      <c r="S27" s="63">
        <f>R27/P27</f>
        <v>0.6778125407378438</v>
      </c>
      <c r="T27" s="87">
        <f>T25-T26</f>
        <v>12790</v>
      </c>
      <c r="U27" s="66">
        <f>T27/R27</f>
        <v>0.61496297720934701</v>
      </c>
      <c r="V27" s="92">
        <f>V25-V26</f>
        <v>24219</v>
      </c>
      <c r="W27" s="93">
        <f>V27/T27</f>
        <v>1.8935887412040657</v>
      </c>
      <c r="X27" s="87">
        <f>X25-X26</f>
        <v>16464</v>
      </c>
      <c r="Y27" s="65">
        <f>X27/V27</f>
        <v>0.67979685370989718</v>
      </c>
      <c r="Z27" s="87">
        <f>Z25-Z26</f>
        <v>2667</v>
      </c>
      <c r="AA27" s="65">
        <f>Z27/X27</f>
        <v>0.16198979591836735</v>
      </c>
      <c r="AB27" s="87">
        <v>9061</v>
      </c>
      <c r="AC27" s="65">
        <v>1.2296105306011671</v>
      </c>
      <c r="AD27" s="87">
        <f>AD25-AD26</f>
        <v>10039</v>
      </c>
      <c r="AE27" s="65">
        <f>AD27/AB27</f>
        <v>1.1079351065003862</v>
      </c>
      <c r="AF27" s="87">
        <f>AF25-AF26</f>
        <v>18047</v>
      </c>
      <c r="AG27" s="55">
        <f>AF27/AD27</f>
        <v>1.7976890128498855</v>
      </c>
      <c r="AH27" s="87">
        <f>AH25-AH26</f>
        <v>14416</v>
      </c>
      <c r="AI27" s="65">
        <f>AH27/AD27</f>
        <v>1.4359996015539396</v>
      </c>
      <c r="AJ27" s="87">
        <f>AJ25-AJ26</f>
        <v>13639</v>
      </c>
      <c r="AK27" s="65">
        <f>AJ27/AH27</f>
        <v>0.94610155382907879</v>
      </c>
      <c r="AL27" s="87">
        <f>AL25-AL26</f>
        <v>10480</v>
      </c>
      <c r="AM27" s="65">
        <f>AL27/AJ27</f>
        <v>0.76838477894273771</v>
      </c>
      <c r="AN27" s="87">
        <f>AN25-AN26</f>
        <v>33451</v>
      </c>
      <c r="AO27" s="65">
        <f>AN27/AL27</f>
        <v>3.1918893129770991</v>
      </c>
      <c r="AP27" s="87">
        <f>AP25-AP26</f>
        <v>47052</v>
      </c>
      <c r="AQ27" s="65">
        <f>AP27/AN27</f>
        <v>1.4065947206361544</v>
      </c>
      <c r="AR27" s="87">
        <f>AR25-AR26</f>
        <v>17490.700000000012</v>
      </c>
      <c r="AS27" s="65">
        <f>AR27/AP27</f>
        <v>0.37173127603502532</v>
      </c>
      <c r="AT27" s="87">
        <f>AT25-AT26</f>
        <v>17637.456999999995</v>
      </c>
      <c r="AU27" s="65">
        <f>AT27/AR27</f>
        <v>1.0083905732760829</v>
      </c>
      <c r="AV27" s="87">
        <f>AV25-AV26</f>
        <v>17785.681569999986</v>
      </c>
      <c r="AW27" s="65">
        <f>AV27/AT27</f>
        <v>1.0084039649253287</v>
      </c>
      <c r="AX27" s="87">
        <f>AX25-AX26</f>
        <v>17935.388385700004</v>
      </c>
      <c r="AY27" s="65">
        <f>AX27/AV27</f>
        <v>1.0084172661649657</v>
      </c>
      <c r="AZ27" s="58"/>
      <c r="BA27" s="59" t="s">
        <v>58</v>
      </c>
      <c r="BB27" s="61"/>
      <c r="BC27" s="61"/>
      <c r="BD27" s="61"/>
      <c r="BE27" s="61"/>
      <c r="BF27" s="60"/>
      <c r="BG27" s="61">
        <f>4000+948</f>
        <v>4948</v>
      </c>
      <c r="BH27" s="61">
        <v>2000</v>
      </c>
    </row>
    <row r="28" spans="1:60" ht="13.5" thickBot="1" x14ac:dyDescent="0.25">
      <c r="A28" s="73">
        <v>17</v>
      </c>
      <c r="B28" s="74" t="s">
        <v>59</v>
      </c>
      <c r="C28" s="94">
        <v>171336</v>
      </c>
      <c r="D28" s="75">
        <v>175018</v>
      </c>
      <c r="E28" s="76"/>
      <c r="F28" s="75">
        <f>F25+F19</f>
        <v>210791</v>
      </c>
      <c r="G28" s="77"/>
      <c r="H28" s="78">
        <f>H25+H19</f>
        <v>221483</v>
      </c>
      <c r="I28" s="77"/>
      <c r="J28" s="78">
        <f>J25+J19</f>
        <v>160557</v>
      </c>
      <c r="K28" s="79"/>
      <c r="L28" s="78">
        <f>L25+L19</f>
        <v>154724</v>
      </c>
      <c r="M28" s="79"/>
      <c r="N28" s="78">
        <f>N25+N19</f>
        <v>137255</v>
      </c>
      <c r="O28" s="79"/>
      <c r="P28" s="78">
        <f>P25+P19</f>
        <v>182781</v>
      </c>
      <c r="Q28" s="79"/>
      <c r="R28" s="78">
        <f>R25+R19</f>
        <v>185385</v>
      </c>
      <c r="S28" s="78">
        <f>S25+S19</f>
        <v>0</v>
      </c>
      <c r="T28" s="78">
        <f>T25+T19</f>
        <v>238692</v>
      </c>
      <c r="U28" s="80"/>
      <c r="V28" s="78">
        <f>V25+V19</f>
        <v>256260</v>
      </c>
      <c r="W28" s="82"/>
      <c r="X28" s="78">
        <f>X25+X19</f>
        <v>205482</v>
      </c>
      <c r="Y28" s="82"/>
      <c r="Z28" s="78">
        <f>Z25+Z19</f>
        <v>123452</v>
      </c>
      <c r="AA28" s="82"/>
      <c r="AB28" s="78">
        <v>139935</v>
      </c>
      <c r="AC28" s="82"/>
      <c r="AD28" s="78">
        <f>AD25+AD19</f>
        <v>162265</v>
      </c>
      <c r="AE28" s="82"/>
      <c r="AF28" s="78">
        <f>AF25+AF19</f>
        <v>159618</v>
      </c>
      <c r="AG28" s="82"/>
      <c r="AH28" s="78">
        <f>AH25+AH19</f>
        <v>160067</v>
      </c>
      <c r="AI28" s="82"/>
      <c r="AJ28" s="78">
        <f>AJ25+AJ19</f>
        <v>135191</v>
      </c>
      <c r="AK28" s="82"/>
      <c r="AL28" s="78">
        <f>AL25+AL19</f>
        <v>198350</v>
      </c>
      <c r="AM28" s="82"/>
      <c r="AN28" s="78">
        <f>AN25+AN19</f>
        <v>219994</v>
      </c>
      <c r="AO28" s="82"/>
      <c r="AP28" s="78">
        <f>AP25+AP19</f>
        <v>198831</v>
      </c>
      <c r="AQ28" s="82"/>
      <c r="AR28" s="78">
        <f>AR17-AR29</f>
        <v>155276.70000000001</v>
      </c>
      <c r="AS28" s="82"/>
      <c r="AT28" s="78">
        <f>AT17-AT29</f>
        <v>156803.31700000001</v>
      </c>
      <c r="AU28" s="82"/>
      <c r="AV28" s="78">
        <f>AV17-AV29</f>
        <v>158343.18017000001</v>
      </c>
      <c r="AW28" s="82"/>
      <c r="AX28" s="78">
        <f>AX17-AX29</f>
        <v>159899.44197170003</v>
      </c>
      <c r="AY28" s="82"/>
      <c r="AZ28" s="58"/>
      <c r="BA28" s="59" t="s">
        <v>60</v>
      </c>
      <c r="BB28" s="61"/>
      <c r="BC28" s="61"/>
      <c r="BD28" s="61"/>
      <c r="BE28" s="61"/>
      <c r="BF28" s="60">
        <v>452</v>
      </c>
      <c r="BG28" s="61">
        <v>243</v>
      </c>
      <c r="BH28" s="61">
        <v>4600</v>
      </c>
    </row>
    <row r="29" spans="1:60" ht="13.5" thickBot="1" x14ac:dyDescent="0.25">
      <c r="A29" s="73">
        <v>18</v>
      </c>
      <c r="B29" s="74" t="s">
        <v>61</v>
      </c>
      <c r="C29" s="94">
        <v>-12983</v>
      </c>
      <c r="D29" s="75">
        <v>-2155</v>
      </c>
      <c r="E29" s="76"/>
      <c r="F29" s="75">
        <f>F17-F28</f>
        <v>-12529</v>
      </c>
      <c r="G29" s="77"/>
      <c r="H29" s="78">
        <f>H17-H28</f>
        <v>3453</v>
      </c>
      <c r="I29" s="77"/>
      <c r="J29" s="78">
        <f>J17-J28</f>
        <v>8233</v>
      </c>
      <c r="K29" s="96"/>
      <c r="L29" s="78">
        <f>L17-L28</f>
        <v>-13703</v>
      </c>
      <c r="M29" s="96"/>
      <c r="N29" s="78">
        <f>N17-N28</f>
        <v>16463</v>
      </c>
      <c r="O29" s="96"/>
      <c r="P29" s="78">
        <f>P17-P28</f>
        <v>1860</v>
      </c>
      <c r="Q29" s="96"/>
      <c r="R29" s="78">
        <f>R17-R28</f>
        <v>10034</v>
      </c>
      <c r="S29" s="96"/>
      <c r="T29" s="78">
        <f>T17-T28</f>
        <v>-16841</v>
      </c>
      <c r="U29" s="97"/>
      <c r="V29" s="78">
        <f>V17-V28</f>
        <v>9067</v>
      </c>
      <c r="W29" s="98"/>
      <c r="X29" s="78">
        <f>X17-X28</f>
        <v>3912</v>
      </c>
      <c r="Y29" s="98"/>
      <c r="Z29" s="78">
        <f>Z17-Z28</f>
        <v>4153</v>
      </c>
      <c r="AA29" s="98"/>
      <c r="AB29" s="78">
        <v>19860</v>
      </c>
      <c r="AC29" s="98"/>
      <c r="AD29" s="78">
        <f>AD17-AD28</f>
        <v>12338</v>
      </c>
      <c r="AE29" s="98"/>
      <c r="AF29" s="78">
        <f>AF17-AF28</f>
        <v>-33973</v>
      </c>
      <c r="AG29" s="98"/>
      <c r="AH29" s="78">
        <f>AH17-AH28</f>
        <v>21542</v>
      </c>
      <c r="AI29" s="98"/>
      <c r="AJ29" s="78">
        <f>AJ17-AJ28</f>
        <v>16564</v>
      </c>
      <c r="AK29" s="98"/>
      <c r="AL29" s="78">
        <f>AL17-AL28</f>
        <v>-14963</v>
      </c>
      <c r="AM29" s="98"/>
      <c r="AN29" s="78">
        <f>AN17-AN28</f>
        <v>-32961</v>
      </c>
      <c r="AO29" s="98"/>
      <c r="AP29" s="78">
        <f>AP17-AP28</f>
        <v>-20354</v>
      </c>
      <c r="AQ29" s="98"/>
      <c r="AR29" s="78">
        <f>-AR30</f>
        <v>2185</v>
      </c>
      <c r="AS29" s="98"/>
      <c r="AT29" s="78">
        <f>-AT30</f>
        <v>2185</v>
      </c>
      <c r="AU29" s="98"/>
      <c r="AV29" s="78">
        <f>-AV30</f>
        <v>2185</v>
      </c>
      <c r="AW29" s="98"/>
      <c r="AX29" s="78">
        <f>-AX30</f>
        <v>2185</v>
      </c>
      <c r="AY29" s="98"/>
      <c r="AZ29" s="58"/>
      <c r="BA29" s="59" t="s">
        <v>62</v>
      </c>
      <c r="BB29" s="60"/>
      <c r="BC29" s="60"/>
      <c r="BD29" s="60"/>
      <c r="BE29" s="60"/>
      <c r="BF29" s="60">
        <v>9</v>
      </c>
      <c r="BG29" s="60">
        <v>74</v>
      </c>
      <c r="BH29" s="60">
        <v>500</v>
      </c>
    </row>
    <row r="30" spans="1:60" x14ac:dyDescent="0.2">
      <c r="A30" s="30">
        <v>19</v>
      </c>
      <c r="B30" s="31" t="s">
        <v>63</v>
      </c>
      <c r="C30" s="99">
        <f>SUM(C31:C36)</f>
        <v>12983</v>
      </c>
      <c r="D30" s="99">
        <f>SUM(D31:D36)</f>
        <v>2155</v>
      </c>
      <c r="E30" s="34"/>
      <c r="F30" s="99">
        <f>SUM(F31:F36)</f>
        <v>12529</v>
      </c>
      <c r="G30" s="100"/>
      <c r="H30" s="101">
        <f>SUM(H31:H36)</f>
        <v>-3453</v>
      </c>
      <c r="I30" s="100"/>
      <c r="J30" s="99">
        <f>SUM(J31:J36)</f>
        <v>-8233</v>
      </c>
      <c r="K30" s="100"/>
      <c r="L30" s="99">
        <f>SUM(L31:L36)</f>
        <v>13703</v>
      </c>
      <c r="M30" s="100"/>
      <c r="N30" s="99">
        <f>SUM(N31:N36)</f>
        <v>-16463</v>
      </c>
      <c r="O30" s="100"/>
      <c r="P30" s="99">
        <f>SUM(P31:P36)</f>
        <v>-1860</v>
      </c>
      <c r="Q30" s="100"/>
      <c r="R30" s="99">
        <f>SUM(R31:R36)</f>
        <v>-10034</v>
      </c>
      <c r="S30" s="100"/>
      <c r="T30" s="99">
        <f>SUM(T31:T36)</f>
        <v>16841</v>
      </c>
      <c r="U30" s="102"/>
      <c r="V30" s="103">
        <f>SUM(V31:V36)</f>
        <v>-9067</v>
      </c>
      <c r="W30" s="104"/>
      <c r="X30" s="103">
        <f>SUM(X31:X36)</f>
        <v>-3912</v>
      </c>
      <c r="Y30" s="104"/>
      <c r="Z30" s="99">
        <f>SUM(Z31:Z36)</f>
        <v>-4153</v>
      </c>
      <c r="AA30" s="104"/>
      <c r="AB30" s="99">
        <v>-19860</v>
      </c>
      <c r="AC30" s="104"/>
      <c r="AD30" s="99">
        <f>SUM(AD31:AD36)</f>
        <v>-12338</v>
      </c>
      <c r="AE30" s="104"/>
      <c r="AF30" s="99">
        <f>SUM(AF31:AF36)</f>
        <v>33973</v>
      </c>
      <c r="AG30" s="104"/>
      <c r="AH30" s="99">
        <f>SUM(AH31:AH36)</f>
        <v>-21542</v>
      </c>
      <c r="AI30" s="104"/>
      <c r="AJ30" s="99">
        <f>SUM(AJ31:AJ36)</f>
        <v>-16564</v>
      </c>
      <c r="AK30" s="104"/>
      <c r="AL30" s="99">
        <f>SUM(AL31:AL36)</f>
        <v>14963</v>
      </c>
      <c r="AM30" s="104"/>
      <c r="AN30" s="99">
        <f>SUM(AN31:AN36)</f>
        <v>32961</v>
      </c>
      <c r="AO30" s="104"/>
      <c r="AP30" s="99">
        <f>SUM(AP31:AP36)</f>
        <v>20354</v>
      </c>
      <c r="AQ30" s="104"/>
      <c r="AR30" s="99">
        <f>SUM(AR31:AR36)</f>
        <v>-2185</v>
      </c>
      <c r="AS30" s="104"/>
      <c r="AT30" s="99">
        <f>SUM(AT31:AT36)</f>
        <v>-2185</v>
      </c>
      <c r="AU30" s="104"/>
      <c r="AV30" s="99">
        <f>SUM(AV31:AV36)</f>
        <v>-2185</v>
      </c>
      <c r="AW30" s="104"/>
      <c r="AX30" s="99">
        <f>SUM(AX31:AX36)</f>
        <v>-2185</v>
      </c>
      <c r="AY30" s="104"/>
      <c r="AZ30" s="58"/>
      <c r="BA30" s="59" t="s">
        <v>64</v>
      </c>
      <c r="BB30" s="60">
        <v>73</v>
      </c>
      <c r="BC30" s="60">
        <v>1204</v>
      </c>
      <c r="BD30" s="60">
        <v>1037</v>
      </c>
      <c r="BE30" s="60">
        <v>1627</v>
      </c>
      <c r="BF30" s="60"/>
      <c r="BG30" s="60"/>
      <c r="BH30" s="60"/>
    </row>
    <row r="31" spans="1:60" x14ac:dyDescent="0.2">
      <c r="A31" s="30">
        <v>20</v>
      </c>
      <c r="B31" s="48" t="s">
        <v>65</v>
      </c>
      <c r="C31" s="49">
        <v>20954</v>
      </c>
      <c r="D31" s="50">
        <v>6085</v>
      </c>
      <c r="E31" s="38"/>
      <c r="F31" s="50">
        <v>6000</v>
      </c>
      <c r="G31" s="62"/>
      <c r="H31" s="52">
        <v>0</v>
      </c>
      <c r="I31" s="62"/>
      <c r="J31" s="50">
        <v>0</v>
      </c>
      <c r="K31" s="62"/>
      <c r="L31" s="52">
        <f>15000+12000</f>
        <v>27000</v>
      </c>
      <c r="M31" s="62"/>
      <c r="N31" s="52">
        <v>0</v>
      </c>
      <c r="O31" s="62"/>
      <c r="P31" s="52">
        <v>0</v>
      </c>
      <c r="Q31" s="62"/>
      <c r="R31" s="52">
        <v>0</v>
      </c>
      <c r="S31" s="62"/>
      <c r="T31" s="50">
        <v>21950</v>
      </c>
      <c r="U31" s="105"/>
      <c r="V31" s="49">
        <v>0</v>
      </c>
      <c r="W31" s="106"/>
      <c r="X31" s="50">
        <v>0</v>
      </c>
      <c r="Y31" s="106"/>
      <c r="Z31" s="50">
        <v>0</v>
      </c>
      <c r="AA31" s="106"/>
      <c r="AB31" s="50">
        <v>0</v>
      </c>
      <c r="AC31" s="106"/>
      <c r="AD31" s="50">
        <v>0</v>
      </c>
      <c r="AE31" s="106"/>
      <c r="AF31" s="50">
        <v>0</v>
      </c>
      <c r="AG31" s="106"/>
      <c r="AH31" s="50">
        <v>0</v>
      </c>
      <c r="AI31" s="106"/>
      <c r="AJ31" s="50">
        <v>0</v>
      </c>
      <c r="AK31" s="106"/>
      <c r="AL31" s="50">
        <v>0</v>
      </c>
      <c r="AM31" s="106"/>
      <c r="AN31" s="52">
        <v>0</v>
      </c>
      <c r="AO31" s="106"/>
      <c r="AP31" s="50">
        <v>0</v>
      </c>
      <c r="AQ31" s="106"/>
      <c r="AR31" s="50">
        <v>0</v>
      </c>
      <c r="AS31" s="106"/>
      <c r="AT31" s="50">
        <v>0</v>
      </c>
      <c r="AU31" s="106"/>
      <c r="AV31" s="50">
        <v>0</v>
      </c>
      <c r="AW31" s="106"/>
      <c r="AX31" s="50">
        <v>0</v>
      </c>
      <c r="AY31" s="106"/>
      <c r="AZ31" s="58"/>
      <c r="BA31" s="59" t="s">
        <v>102</v>
      </c>
      <c r="BB31" s="61"/>
      <c r="BC31" s="61">
        <v>473</v>
      </c>
      <c r="BD31" s="61">
        <f>191+58</f>
        <v>249</v>
      </c>
      <c r="BE31" s="61"/>
      <c r="BF31" s="60"/>
      <c r="BG31" s="61">
        <v>4923</v>
      </c>
      <c r="BH31" s="61">
        <f>500+400+100</f>
        <v>1000</v>
      </c>
    </row>
    <row r="32" spans="1:60" x14ac:dyDescent="0.2">
      <c r="A32" s="30">
        <v>21</v>
      </c>
      <c r="B32" s="107" t="s">
        <v>101</v>
      </c>
      <c r="C32" s="54"/>
      <c r="D32" s="52"/>
      <c r="E32" s="108"/>
      <c r="F32" s="52"/>
      <c r="G32" s="109"/>
      <c r="H32" s="52"/>
      <c r="I32" s="109"/>
      <c r="J32" s="52"/>
      <c r="K32" s="109"/>
      <c r="L32" s="52"/>
      <c r="M32" s="109"/>
      <c r="N32" s="52"/>
      <c r="O32" s="109"/>
      <c r="P32" s="52"/>
      <c r="Q32" s="109"/>
      <c r="R32" s="52"/>
      <c r="S32" s="109"/>
      <c r="T32" s="52"/>
      <c r="U32" s="110"/>
      <c r="V32" s="54">
        <v>-4636</v>
      </c>
      <c r="W32" s="111"/>
      <c r="X32" s="52">
        <v>-8657</v>
      </c>
      <c r="Y32" s="111"/>
      <c r="Z32" s="52">
        <v>-8657</v>
      </c>
      <c r="AA32" s="106"/>
      <c r="AB32" s="50">
        <v>0</v>
      </c>
      <c r="AC32" s="106"/>
      <c r="AD32" s="50">
        <v>0</v>
      </c>
      <c r="AE32" s="106"/>
      <c r="AF32" s="50">
        <v>0</v>
      </c>
      <c r="AG32" s="106"/>
      <c r="AH32" s="50">
        <v>0</v>
      </c>
      <c r="AI32" s="106"/>
      <c r="AJ32" s="50">
        <v>0</v>
      </c>
      <c r="AK32" s="106"/>
      <c r="AL32" s="50">
        <v>0</v>
      </c>
      <c r="AM32" s="106"/>
      <c r="AN32" s="52">
        <v>-1616</v>
      </c>
      <c r="AO32" s="106"/>
      <c r="AP32" s="50">
        <v>-2185</v>
      </c>
      <c r="AQ32" s="106"/>
      <c r="AR32" s="50">
        <v>-2185</v>
      </c>
      <c r="AS32" s="106"/>
      <c r="AT32" s="50">
        <v>-2185</v>
      </c>
      <c r="AU32" s="106"/>
      <c r="AV32" s="50">
        <v>-2185</v>
      </c>
      <c r="AW32" s="106"/>
      <c r="AX32" s="50">
        <v>-2185</v>
      </c>
      <c r="AY32" s="106"/>
      <c r="AZ32" s="58"/>
      <c r="BA32" s="59" t="s">
        <v>66</v>
      </c>
      <c r="BB32" s="61"/>
      <c r="BC32" s="61"/>
      <c r="BD32" s="61">
        <v>294</v>
      </c>
      <c r="BE32" s="61">
        <v>2006</v>
      </c>
      <c r="BF32" s="60">
        <v>177</v>
      </c>
      <c r="BG32" s="61"/>
      <c r="BH32" s="61"/>
    </row>
    <row r="33" spans="1:60" x14ac:dyDescent="0.2">
      <c r="A33" s="30">
        <v>22</v>
      </c>
      <c r="B33" s="48" t="s">
        <v>67</v>
      </c>
      <c r="C33" s="49">
        <v>-5180</v>
      </c>
      <c r="D33" s="50">
        <v>-3030</v>
      </c>
      <c r="E33" s="38"/>
      <c r="F33" s="50">
        <v>-4495</v>
      </c>
      <c r="G33" s="62"/>
      <c r="H33" s="52">
        <v>-6296</v>
      </c>
      <c r="I33" s="109"/>
      <c r="J33" s="52">
        <v>-6465</v>
      </c>
      <c r="K33" s="109"/>
      <c r="L33" s="52">
        <f>-10739+1600</f>
        <v>-9139</v>
      </c>
      <c r="M33" s="109"/>
      <c r="N33" s="52">
        <v>-9018</v>
      </c>
      <c r="O33" s="109"/>
      <c r="P33" s="52">
        <v>-7998</v>
      </c>
      <c r="Q33" s="109"/>
      <c r="R33" s="52">
        <v>-8097</v>
      </c>
      <c r="S33" s="109"/>
      <c r="T33" s="52">
        <v>-8201</v>
      </c>
      <c r="U33" s="110"/>
      <c r="V33" s="54">
        <v>-8308</v>
      </c>
      <c r="W33" s="111"/>
      <c r="X33" s="52">
        <v>-1747</v>
      </c>
      <c r="Y33" s="111"/>
      <c r="Z33" s="52">
        <v>0</v>
      </c>
      <c r="AA33" s="111"/>
      <c r="AB33" s="52">
        <v>0</v>
      </c>
      <c r="AC33" s="111"/>
      <c r="AD33" s="52">
        <v>0</v>
      </c>
      <c r="AE33" s="111"/>
      <c r="AF33" s="52">
        <v>0</v>
      </c>
      <c r="AG33" s="111"/>
      <c r="AH33" s="52">
        <v>0</v>
      </c>
      <c r="AI33" s="111"/>
      <c r="AJ33" s="52">
        <v>0</v>
      </c>
      <c r="AK33" s="111"/>
      <c r="AL33" s="52">
        <v>0</v>
      </c>
      <c r="AM33" s="111"/>
      <c r="AN33" s="52">
        <v>0</v>
      </c>
      <c r="AO33" s="111"/>
      <c r="AP33" s="52">
        <v>0</v>
      </c>
      <c r="AQ33" s="111"/>
      <c r="AR33" s="50">
        <v>0</v>
      </c>
      <c r="AS33" s="111"/>
      <c r="AT33" s="50">
        <v>0</v>
      </c>
      <c r="AU33" s="111"/>
      <c r="AV33" s="50">
        <v>0</v>
      </c>
      <c r="AW33" s="111"/>
      <c r="AX33" s="50">
        <v>0</v>
      </c>
      <c r="AY33" s="111"/>
      <c r="AZ33" s="58"/>
      <c r="BA33" s="59" t="s">
        <v>68</v>
      </c>
      <c r="BB33" s="61">
        <v>860</v>
      </c>
      <c r="BC33" s="61"/>
      <c r="BD33" s="61"/>
      <c r="BE33" s="61"/>
      <c r="BF33" s="60"/>
      <c r="BG33" s="61">
        <v>224</v>
      </c>
      <c r="BH33" s="61">
        <v>1800</v>
      </c>
    </row>
    <row r="34" spans="1:60" x14ac:dyDescent="0.2">
      <c r="A34" s="30">
        <v>24</v>
      </c>
      <c r="B34" s="48" t="s">
        <v>69</v>
      </c>
      <c r="C34" s="49">
        <v>-3244</v>
      </c>
      <c r="D34" s="50">
        <v>2378</v>
      </c>
      <c r="E34" s="38"/>
      <c r="F34" s="50">
        <v>13393</v>
      </c>
      <c r="G34" s="62"/>
      <c r="H34" s="52">
        <v>0</v>
      </c>
      <c r="I34" s="62"/>
      <c r="J34" s="50">
        <v>0</v>
      </c>
      <c r="K34" s="62"/>
      <c r="L34" s="50">
        <v>0</v>
      </c>
      <c r="M34" s="62"/>
      <c r="N34" s="52">
        <v>0</v>
      </c>
      <c r="O34" s="62"/>
      <c r="P34" s="52">
        <v>0</v>
      </c>
      <c r="Q34" s="62"/>
      <c r="R34" s="52">
        <v>0</v>
      </c>
      <c r="S34" s="62"/>
      <c r="T34" s="50">
        <v>0</v>
      </c>
      <c r="U34" s="105"/>
      <c r="V34" s="49">
        <v>4400</v>
      </c>
      <c r="W34" s="106"/>
      <c r="X34" s="50">
        <v>0</v>
      </c>
      <c r="Y34" s="106"/>
      <c r="Z34" s="50">
        <v>0</v>
      </c>
      <c r="AA34" s="106"/>
      <c r="AB34" s="50">
        <v>0</v>
      </c>
      <c r="AC34" s="106"/>
      <c r="AD34" s="50">
        <v>0</v>
      </c>
      <c r="AE34" s="106"/>
      <c r="AF34" s="50">
        <v>0</v>
      </c>
      <c r="AG34" s="106"/>
      <c r="AH34" s="50">
        <v>0</v>
      </c>
      <c r="AI34" s="106"/>
      <c r="AJ34" s="50">
        <v>0</v>
      </c>
      <c r="AK34" s="106"/>
      <c r="AL34" s="50">
        <v>0</v>
      </c>
      <c r="AM34" s="106"/>
      <c r="AN34" s="52">
        <v>0</v>
      </c>
      <c r="AO34" s="106"/>
      <c r="AP34" s="50">
        <v>0</v>
      </c>
      <c r="AQ34" s="106"/>
      <c r="AR34" s="50">
        <v>0</v>
      </c>
      <c r="AS34" s="106"/>
      <c r="AT34" s="50">
        <v>0</v>
      </c>
      <c r="AU34" s="106"/>
      <c r="AV34" s="50">
        <v>0</v>
      </c>
      <c r="AW34" s="106"/>
      <c r="AX34" s="50">
        <v>0</v>
      </c>
      <c r="AY34" s="106"/>
      <c r="AZ34" s="58"/>
      <c r="BA34" s="59" t="s">
        <v>103</v>
      </c>
      <c r="BB34" s="61"/>
      <c r="BC34" s="61">
        <f>3283+183</f>
        <v>3466</v>
      </c>
      <c r="BD34" s="61"/>
      <c r="BE34" s="61"/>
      <c r="BF34" s="60">
        <v>2126</v>
      </c>
      <c r="BG34" s="61">
        <v>4461</v>
      </c>
      <c r="BH34" s="61">
        <v>2905</v>
      </c>
    </row>
    <row r="35" spans="1:60" x14ac:dyDescent="0.2">
      <c r="A35" s="30">
        <v>25</v>
      </c>
      <c r="B35" s="112" t="s">
        <v>70</v>
      </c>
      <c r="C35" s="49">
        <v>3819</v>
      </c>
      <c r="D35" s="52">
        <f>-C36</f>
        <v>3366</v>
      </c>
      <c r="E35" s="38"/>
      <c r="F35" s="50">
        <f>-D36</f>
        <v>6644</v>
      </c>
      <c r="G35" s="62"/>
      <c r="H35" s="52">
        <f>-F36</f>
        <v>9013</v>
      </c>
      <c r="I35" s="62"/>
      <c r="J35" s="50">
        <f>-H36</f>
        <v>6170</v>
      </c>
      <c r="K35" s="62"/>
      <c r="L35" s="50">
        <f>-J36</f>
        <v>7938</v>
      </c>
      <c r="M35" s="62"/>
      <c r="N35" s="52">
        <f>-L36</f>
        <v>12096</v>
      </c>
      <c r="O35" s="62"/>
      <c r="P35" s="52">
        <f>-N36</f>
        <v>19541</v>
      </c>
      <c r="Q35" s="62"/>
      <c r="R35" s="52">
        <f>-P36</f>
        <v>13403</v>
      </c>
      <c r="S35" s="62"/>
      <c r="T35" s="52">
        <f>-R36</f>
        <v>15340</v>
      </c>
      <c r="U35" s="110"/>
      <c r="V35" s="49">
        <f>-T36</f>
        <v>12248</v>
      </c>
      <c r="W35" s="106"/>
      <c r="X35" s="50">
        <v>12771</v>
      </c>
      <c r="Y35" s="106"/>
      <c r="Z35" s="50">
        <v>6279</v>
      </c>
      <c r="AA35" s="106"/>
      <c r="AB35" s="50">
        <v>1775</v>
      </c>
      <c r="AC35" s="106"/>
      <c r="AD35" s="50">
        <v>21635</v>
      </c>
      <c r="AE35" s="106"/>
      <c r="AF35" s="50">
        <v>33973</v>
      </c>
      <c r="AG35" s="106"/>
      <c r="AH35" s="50">
        <v>33973</v>
      </c>
      <c r="AI35" s="106"/>
      <c r="AJ35" s="50">
        <v>55515</v>
      </c>
      <c r="AK35" s="106"/>
      <c r="AL35" s="50">
        <v>72079</v>
      </c>
      <c r="AM35" s="106"/>
      <c r="AN35" s="52">
        <f>-AL36</f>
        <v>57116</v>
      </c>
      <c r="AO35" s="106"/>
      <c r="AP35" s="52">
        <f>-AN36</f>
        <v>22539</v>
      </c>
      <c r="AQ35" s="106"/>
      <c r="AR35" s="50"/>
      <c r="AS35" s="106"/>
      <c r="AT35" s="50"/>
      <c r="AU35" s="106"/>
      <c r="AV35" s="50"/>
      <c r="AW35" s="106"/>
      <c r="AX35" s="50"/>
      <c r="AY35" s="106"/>
      <c r="AZ35" s="58"/>
      <c r="BA35" s="59" t="s">
        <v>71</v>
      </c>
      <c r="BB35" s="61">
        <v>77</v>
      </c>
      <c r="BC35" s="61">
        <v>24</v>
      </c>
      <c r="BD35" s="60">
        <f>7827+500</f>
        <v>8327</v>
      </c>
      <c r="BE35" s="61">
        <v>259</v>
      </c>
      <c r="BF35" s="60">
        <v>22</v>
      </c>
      <c r="BG35" s="61">
        <v>8</v>
      </c>
      <c r="BH35" s="61">
        <v>410</v>
      </c>
    </row>
    <row r="36" spans="1:60" ht="13.5" thickBot="1" x14ac:dyDescent="0.25">
      <c r="A36" s="113">
        <v>26</v>
      </c>
      <c r="B36" s="114" t="s">
        <v>72</v>
      </c>
      <c r="C36" s="115">
        <v>-3366</v>
      </c>
      <c r="D36" s="116">
        <v>-6644</v>
      </c>
      <c r="E36" s="117"/>
      <c r="F36" s="116">
        <v>-9013</v>
      </c>
      <c r="G36" s="118"/>
      <c r="H36" s="119">
        <v>-6170</v>
      </c>
      <c r="I36" s="118"/>
      <c r="J36" s="116">
        <v>-7938</v>
      </c>
      <c r="K36" s="118"/>
      <c r="L36" s="116">
        <v>-12096</v>
      </c>
      <c r="M36" s="118"/>
      <c r="N36" s="116">
        <v>-19541</v>
      </c>
      <c r="O36" s="118"/>
      <c r="P36" s="116">
        <v>-13403</v>
      </c>
      <c r="Q36" s="118"/>
      <c r="R36" s="116">
        <v>-15340</v>
      </c>
      <c r="S36" s="118"/>
      <c r="T36" s="116">
        <v>-12248</v>
      </c>
      <c r="U36" s="120"/>
      <c r="V36" s="115">
        <v>-12771</v>
      </c>
      <c r="W36" s="121"/>
      <c r="X36" s="116">
        <v>-6279</v>
      </c>
      <c r="Y36" s="121"/>
      <c r="Z36" s="116">
        <v>-1775</v>
      </c>
      <c r="AA36" s="121"/>
      <c r="AB36" s="116">
        <v>-21635</v>
      </c>
      <c r="AC36" s="121"/>
      <c r="AD36" s="116">
        <v>-33973</v>
      </c>
      <c r="AE36" s="121"/>
      <c r="AF36" s="116">
        <v>0</v>
      </c>
      <c r="AG36" s="121"/>
      <c r="AH36" s="116">
        <f>-AH35-AH29</f>
        <v>-55515</v>
      </c>
      <c r="AI36" s="121"/>
      <c r="AJ36" s="116">
        <f>-AJ35-AJ29</f>
        <v>-72079</v>
      </c>
      <c r="AK36" s="121"/>
      <c r="AL36" s="116">
        <f>-AL35-AL29</f>
        <v>-57116</v>
      </c>
      <c r="AM36" s="121"/>
      <c r="AN36" s="116">
        <f>-AN35-AN29-AN32</f>
        <v>-22539</v>
      </c>
      <c r="AO36" s="121"/>
      <c r="AP36" s="116">
        <f>-AP35-AP29-AP32</f>
        <v>0</v>
      </c>
      <c r="AQ36" s="121"/>
      <c r="AR36" s="116">
        <v>0</v>
      </c>
      <c r="AS36" s="121"/>
      <c r="AT36" s="116">
        <v>0</v>
      </c>
      <c r="AU36" s="121"/>
      <c r="AV36" s="116">
        <v>0</v>
      </c>
      <c r="AW36" s="121"/>
      <c r="AX36" s="116">
        <v>0</v>
      </c>
      <c r="AY36" s="121"/>
      <c r="AZ36" s="58"/>
      <c r="BA36" s="59" t="s">
        <v>73</v>
      </c>
      <c r="BB36" s="61"/>
      <c r="BC36" s="61"/>
      <c r="BD36" s="61"/>
      <c r="BE36" s="61">
        <f>524+567</f>
        <v>1091</v>
      </c>
      <c r="BF36" s="60">
        <v>350</v>
      </c>
      <c r="BG36" s="61"/>
      <c r="BH36" s="61"/>
    </row>
    <row r="37" spans="1:60" x14ac:dyDescent="0.2">
      <c r="A37" s="122"/>
      <c r="C37" s="95"/>
      <c r="D37" s="95"/>
      <c r="F37" s="95"/>
      <c r="G37" s="123"/>
      <c r="H37" s="124"/>
      <c r="I37" s="123"/>
      <c r="J37" s="95"/>
      <c r="K37" s="123"/>
      <c r="L37" s="95"/>
      <c r="M37" s="123"/>
      <c r="N37" s="95"/>
      <c r="O37" s="123"/>
      <c r="P37" s="95"/>
      <c r="Q37" s="123"/>
      <c r="R37" s="95"/>
      <c r="S37" s="123"/>
      <c r="T37" s="95"/>
      <c r="U37" s="123"/>
      <c r="V37" s="95"/>
      <c r="W37" s="123"/>
      <c r="X37" s="123" t="e">
        <f>X27-#REF!</f>
        <v>#REF!</v>
      </c>
      <c r="Y37" s="123"/>
      <c r="Z37" s="95"/>
      <c r="AA37" s="123"/>
      <c r="AB37" s="95"/>
      <c r="AC37" s="123"/>
      <c r="AD37" s="58"/>
      <c r="AE37" s="95"/>
      <c r="AF37" s="95"/>
      <c r="AG37" s="95"/>
      <c r="AH37" s="124"/>
      <c r="AI37" s="124"/>
      <c r="AJ37" s="124"/>
      <c r="AK37" s="124"/>
      <c r="AL37" s="124"/>
      <c r="AM37" s="124"/>
      <c r="AN37" s="124"/>
      <c r="AO37" s="124"/>
      <c r="AP37" s="124"/>
      <c r="AQ37" s="124"/>
      <c r="AR37" s="124"/>
      <c r="AS37" s="124"/>
      <c r="AT37" s="124"/>
      <c r="AU37" s="124"/>
      <c r="AV37" s="124"/>
      <c r="AW37" s="124"/>
      <c r="AX37" s="124"/>
      <c r="AY37" s="124"/>
      <c r="AZ37" s="125"/>
      <c r="BA37" s="59" t="s">
        <v>74</v>
      </c>
      <c r="BB37" s="61">
        <v>494</v>
      </c>
      <c r="BC37" s="61"/>
      <c r="BD37" s="61">
        <v>321</v>
      </c>
      <c r="BE37" s="61">
        <f>116+79</f>
        <v>195</v>
      </c>
      <c r="BF37" s="60">
        <v>186</v>
      </c>
      <c r="BG37" s="61">
        <f>147+4</f>
        <v>151</v>
      </c>
      <c r="BH37" s="61">
        <f>300+200</f>
        <v>500</v>
      </c>
    </row>
    <row r="38" spans="1:60" x14ac:dyDescent="0.2">
      <c r="A38" s="174" t="s">
        <v>97</v>
      </c>
      <c r="B38" s="141"/>
      <c r="C38" s="142"/>
      <c r="D38" s="142"/>
      <c r="E38" s="143"/>
      <c r="F38" s="145">
        <f>F9+F10+F16</f>
        <v>82288</v>
      </c>
      <c r="G38" s="144"/>
      <c r="H38" s="145">
        <f>H9+H10+H16</f>
        <v>90187</v>
      </c>
      <c r="I38" s="144"/>
      <c r="J38" s="145">
        <f>J9+J10+J16</f>
        <v>94556</v>
      </c>
      <c r="K38" s="144"/>
      <c r="L38" s="145">
        <f>L9+L10+L16</f>
        <v>101332</v>
      </c>
      <c r="M38" s="144"/>
      <c r="N38" s="145">
        <f>N9+N10+N16</f>
        <v>103593</v>
      </c>
      <c r="O38" s="144"/>
      <c r="P38" s="145">
        <f>P9+P10+P16</f>
        <v>114608</v>
      </c>
      <c r="Q38" s="144"/>
      <c r="R38" s="145">
        <f>R9+R10+R16</f>
        <v>114820</v>
      </c>
      <c r="S38" s="144"/>
      <c r="T38" s="145">
        <f>T9+T10+T16</f>
        <v>106795</v>
      </c>
      <c r="U38" s="144"/>
      <c r="V38" s="145">
        <f>V9+V10+V16</f>
        <v>121186</v>
      </c>
      <c r="W38" s="144"/>
      <c r="X38" s="145">
        <f>X9+X10+X16</f>
        <v>114843</v>
      </c>
      <c r="Y38" s="144"/>
      <c r="Z38" s="145">
        <f>Z9+Z10+Z16</f>
        <v>115680</v>
      </c>
      <c r="AA38" s="144"/>
      <c r="AB38" s="145">
        <f>AB9+AB10+AB16</f>
        <v>132490</v>
      </c>
      <c r="AC38" s="144"/>
      <c r="AD38" s="145">
        <f>AD9+AD10+AD16</f>
        <v>137476</v>
      </c>
      <c r="AE38" s="142"/>
      <c r="AF38" s="142"/>
      <c r="AG38" s="142"/>
      <c r="AH38" s="145">
        <f>AH9+AH10+AH16</f>
        <v>136130</v>
      </c>
      <c r="AI38" s="145"/>
      <c r="AJ38" s="145">
        <f>AJ9+AJ10+AJ16</f>
        <v>131908</v>
      </c>
      <c r="AK38" s="145"/>
      <c r="AL38" s="145">
        <f>AL9+AL10+AL16</f>
        <v>142225</v>
      </c>
      <c r="AM38" s="145"/>
      <c r="AN38" s="145">
        <f>AN9+AN10+AN16</f>
        <v>154590</v>
      </c>
      <c r="AO38" s="145"/>
      <c r="AP38" s="145">
        <f>AP9+AP10+AP16</f>
        <v>148835</v>
      </c>
      <c r="AQ38" s="145"/>
      <c r="AR38" s="145">
        <f>AR9+AR10+AR16</f>
        <v>152461.70000000001</v>
      </c>
      <c r="AS38" s="145"/>
      <c r="AT38" s="145">
        <f>AT9+AT10+AT16</f>
        <v>153986.31700000001</v>
      </c>
      <c r="AU38" s="145"/>
      <c r="AV38" s="145">
        <f>AV9+AV10+AV16</f>
        <v>155526.18017000001</v>
      </c>
      <c r="AW38" s="145"/>
      <c r="AX38" s="145">
        <f>AX9+AX10+AX16</f>
        <v>157081.44197170003</v>
      </c>
      <c r="AY38" s="147"/>
      <c r="AZ38" s="125"/>
      <c r="BA38" s="59" t="s">
        <v>75</v>
      </c>
      <c r="BB38" s="61">
        <v>1511</v>
      </c>
      <c r="BC38" s="61"/>
      <c r="BD38" s="61">
        <v>329</v>
      </c>
      <c r="BE38" s="61"/>
      <c r="BF38" s="60"/>
      <c r="BG38" s="61"/>
      <c r="BH38" s="61"/>
    </row>
    <row r="39" spans="1:60" x14ac:dyDescent="0.2">
      <c r="A39" s="170" t="s">
        <v>98</v>
      </c>
      <c r="C39" s="3"/>
      <c r="D39" s="3"/>
      <c r="E39" s="71"/>
      <c r="F39" s="124">
        <f>F24</f>
        <v>62566</v>
      </c>
      <c r="G39" s="71"/>
      <c r="H39" s="124">
        <f>H24</f>
        <v>72319</v>
      </c>
      <c r="I39" s="71"/>
      <c r="J39" s="124">
        <f>J24</f>
        <v>74496</v>
      </c>
      <c r="L39" s="124">
        <f>L24</f>
        <v>77153</v>
      </c>
      <c r="N39" s="124">
        <f>N24</f>
        <v>81249</v>
      </c>
      <c r="P39" s="124">
        <f>P24</f>
        <v>86881</v>
      </c>
      <c r="R39" s="124">
        <f>R24</f>
        <v>87423</v>
      </c>
      <c r="T39" s="124">
        <f>T24</f>
        <v>88831</v>
      </c>
      <c r="V39" s="124">
        <f>V24</f>
        <v>92870</v>
      </c>
      <c r="X39" s="124">
        <f>X24</f>
        <v>92852</v>
      </c>
      <c r="Z39" s="124">
        <f>Z24</f>
        <v>90584</v>
      </c>
      <c r="AB39" s="124">
        <f>AB24</f>
        <v>106488</v>
      </c>
      <c r="AD39" s="124">
        <f>AD24</f>
        <v>110445</v>
      </c>
      <c r="AH39" s="124">
        <f>AH24</f>
        <v>113097</v>
      </c>
      <c r="AJ39" s="124">
        <f>AJ24</f>
        <v>109664</v>
      </c>
      <c r="AL39" s="124">
        <f>AL24</f>
        <v>113605</v>
      </c>
      <c r="AN39" s="124">
        <f>AN24</f>
        <v>129288</v>
      </c>
      <c r="AP39" s="124">
        <f>AP24</f>
        <v>137786</v>
      </c>
      <c r="AR39" s="124">
        <f>AR24</f>
        <v>137786</v>
      </c>
      <c r="AT39" s="124">
        <f>AT24</f>
        <v>139163.86000000002</v>
      </c>
      <c r="AV39" s="124">
        <f>AV24</f>
        <v>140555.49860000002</v>
      </c>
      <c r="AX39" s="124">
        <f>AX24</f>
        <v>141961.05358600002</v>
      </c>
      <c r="AY39" s="148"/>
      <c r="AZ39" s="3"/>
      <c r="BA39" s="59" t="s">
        <v>96</v>
      </c>
      <c r="BB39" s="61"/>
      <c r="BC39" s="61"/>
      <c r="BD39" s="61"/>
      <c r="BE39" s="61"/>
      <c r="BF39" s="60">
        <v>1619</v>
      </c>
      <c r="BG39" s="61">
        <f>3762+3300</f>
        <v>7062</v>
      </c>
      <c r="BH39" s="61">
        <v>7000</v>
      </c>
    </row>
    <row r="40" spans="1:60" x14ac:dyDescent="0.2">
      <c r="A40" s="170" t="s">
        <v>99</v>
      </c>
      <c r="C40" s="3"/>
      <c r="D40" s="3"/>
      <c r="E40" s="71"/>
      <c r="F40" s="124">
        <f>F38-F39</f>
        <v>19722</v>
      </c>
      <c r="G40" s="71"/>
      <c r="H40" s="124">
        <f>H38-H39</f>
        <v>17868</v>
      </c>
      <c r="I40" s="71"/>
      <c r="J40" s="124">
        <f>J38-J39</f>
        <v>20060</v>
      </c>
      <c r="L40" s="124">
        <f>L38-L39</f>
        <v>24179</v>
      </c>
      <c r="N40" s="124">
        <f>N38-N39</f>
        <v>22344</v>
      </c>
      <c r="O40" s="95"/>
      <c r="P40" s="124">
        <f>P38-P39</f>
        <v>27727</v>
      </c>
      <c r="R40" s="124">
        <f>R38-R39</f>
        <v>27397</v>
      </c>
      <c r="S40" s="126"/>
      <c r="T40" s="124">
        <f>T38-T39</f>
        <v>17964</v>
      </c>
      <c r="U40" s="127"/>
      <c r="V40" s="124">
        <f>V38-V39</f>
        <v>28316</v>
      </c>
      <c r="W40" s="126"/>
      <c r="X40" s="124">
        <f>X38-X39</f>
        <v>21991</v>
      </c>
      <c r="Y40" s="126"/>
      <c r="Z40" s="124">
        <f>Z38-Z39</f>
        <v>25096</v>
      </c>
      <c r="AA40" s="126"/>
      <c r="AB40" s="124">
        <f>AB38-AB39</f>
        <v>26002</v>
      </c>
      <c r="AC40" s="129"/>
      <c r="AD40" s="124">
        <f>AD38-AD39</f>
        <v>27031</v>
      </c>
      <c r="AH40" s="124">
        <f>AH38-AH39</f>
        <v>23033</v>
      </c>
      <c r="AJ40" s="124">
        <f>AJ38-AJ39</f>
        <v>22244</v>
      </c>
      <c r="AL40" s="124">
        <f>AL38-AL39</f>
        <v>28620</v>
      </c>
      <c r="AM40" s="1"/>
      <c r="AN40" s="124">
        <f>AN38-AN39</f>
        <v>25302</v>
      </c>
      <c r="AP40" s="124">
        <f>AP38-AP39</f>
        <v>11049</v>
      </c>
      <c r="AR40" s="124">
        <f>AR38-AR39</f>
        <v>14675.700000000012</v>
      </c>
      <c r="AT40" s="124">
        <f>AT38-AT39</f>
        <v>14822.456999999995</v>
      </c>
      <c r="AV40" s="124">
        <f>AV38-AV39</f>
        <v>14970.681569999986</v>
      </c>
      <c r="AX40" s="124">
        <f>AX38-AX39</f>
        <v>15120.388385700004</v>
      </c>
      <c r="AY40" s="148"/>
      <c r="AZ40" s="3"/>
      <c r="BA40" s="59" t="s">
        <v>77</v>
      </c>
      <c r="BB40" s="61">
        <v>1098</v>
      </c>
      <c r="BC40" s="61">
        <f>380+148</f>
        <v>528</v>
      </c>
      <c r="BD40" s="61">
        <v>652</v>
      </c>
      <c r="BE40" s="61">
        <v>1128</v>
      </c>
      <c r="BF40" s="60">
        <f>1552+562</f>
        <v>2114</v>
      </c>
      <c r="BG40" s="61">
        <v>2083</v>
      </c>
      <c r="BH40" s="61">
        <v>1145</v>
      </c>
    </row>
    <row r="41" spans="1:60" x14ac:dyDescent="0.2">
      <c r="A41" s="171" t="s">
        <v>105</v>
      </c>
      <c r="B41" s="149"/>
      <c r="C41" s="150"/>
      <c r="D41" s="150"/>
      <c r="E41" s="151"/>
      <c r="F41" s="157">
        <f>F40/F38</f>
        <v>0.23967042582150497</v>
      </c>
      <c r="G41" s="151"/>
      <c r="H41" s="157">
        <f>H40/H38</f>
        <v>0.19812168050827725</v>
      </c>
      <c r="I41" s="151"/>
      <c r="J41" s="157">
        <f>J40/J38</f>
        <v>0.2121494141038115</v>
      </c>
      <c r="K41" s="152"/>
      <c r="L41" s="157">
        <f>L40/L38</f>
        <v>0.23861169225910867</v>
      </c>
      <c r="M41" s="152"/>
      <c r="N41" s="157">
        <f>N40/N38</f>
        <v>0.2156902493411717</v>
      </c>
      <c r="O41" s="149"/>
      <c r="P41" s="157">
        <f>P40/P38</f>
        <v>0.24192901019126065</v>
      </c>
      <c r="Q41" s="152"/>
      <c r="R41" s="157">
        <f>R40/R38</f>
        <v>0.2386082564013238</v>
      </c>
      <c r="S41" s="153"/>
      <c r="T41" s="157">
        <f>T40/T38</f>
        <v>0.16821012219673206</v>
      </c>
      <c r="U41" s="155"/>
      <c r="V41" s="157">
        <f>V40/V38</f>
        <v>0.2336573531596059</v>
      </c>
      <c r="W41" s="156"/>
      <c r="X41" s="157">
        <f>X40/X38</f>
        <v>0.19148750903407261</v>
      </c>
      <c r="Y41" s="156"/>
      <c r="Z41" s="157">
        <f>Z40/Z38</f>
        <v>0.21694329183955741</v>
      </c>
      <c r="AA41" s="156"/>
      <c r="AB41" s="157">
        <f>AB40/AB38</f>
        <v>0.19625632123179107</v>
      </c>
      <c r="AC41" s="158"/>
      <c r="AD41" s="157">
        <f>AD40/AD38</f>
        <v>0.19662341063167388</v>
      </c>
      <c r="AE41" s="159"/>
      <c r="AF41" s="159"/>
      <c r="AG41" s="159"/>
      <c r="AH41" s="157">
        <f>AH40/AH38</f>
        <v>0.169198560199809</v>
      </c>
      <c r="AI41" s="160"/>
      <c r="AJ41" s="157">
        <f>AJ40/AJ38</f>
        <v>0.16863268338538981</v>
      </c>
      <c r="AK41" s="160"/>
      <c r="AL41" s="157">
        <f>AL40/AL38</f>
        <v>0.2012304447178766</v>
      </c>
      <c r="AM41" s="150"/>
      <c r="AN41" s="157">
        <f>AN40/AN38</f>
        <v>0.16367164758393168</v>
      </c>
      <c r="AO41" s="160"/>
      <c r="AP41" s="157">
        <f>AP40/AP38</f>
        <v>7.423657069909631E-2</v>
      </c>
      <c r="AQ41" s="160"/>
      <c r="AR41" s="157">
        <f>AR40/AR38</f>
        <v>9.6258273389316862E-2</v>
      </c>
      <c r="AS41" s="160"/>
      <c r="AT41" s="157">
        <f>AT40/AT38</f>
        <v>9.6258273389316751E-2</v>
      </c>
      <c r="AU41" s="150"/>
      <c r="AV41" s="157">
        <f>AV40/AV38</f>
        <v>9.6258273389316695E-2</v>
      </c>
      <c r="AW41" s="150"/>
      <c r="AX41" s="157">
        <f>AX40/AX38</f>
        <v>9.6258273389316792E-2</v>
      </c>
      <c r="AY41" s="162"/>
      <c r="AZ41" s="3"/>
      <c r="BA41" s="59" t="s">
        <v>78</v>
      </c>
      <c r="BB41" s="61">
        <v>3528</v>
      </c>
      <c r="BC41" s="61">
        <v>1530</v>
      </c>
      <c r="BD41" s="61"/>
      <c r="BE41" s="61"/>
      <c r="BF41" s="60"/>
      <c r="BG41" s="61">
        <v>416</v>
      </c>
      <c r="BH41" s="61"/>
    </row>
    <row r="42" spans="1:60" x14ac:dyDescent="0.2">
      <c r="A42" s="137"/>
      <c r="B42" s="3"/>
      <c r="C42" s="3"/>
      <c r="D42" s="3"/>
      <c r="E42" s="71"/>
      <c r="F42" s="3"/>
      <c r="G42" s="71"/>
      <c r="I42" s="71"/>
      <c r="J42" s="3"/>
      <c r="O42" s="130"/>
      <c r="T42" s="128"/>
      <c r="U42" s="128"/>
      <c r="V42" s="128"/>
      <c r="W42" s="3"/>
      <c r="X42" s="3"/>
      <c r="Y42" s="3"/>
      <c r="AA42" s="3"/>
      <c r="AL42" s="124"/>
      <c r="AN42" s="124"/>
      <c r="AZ42" s="3"/>
      <c r="BA42" s="59" t="s">
        <v>87</v>
      </c>
      <c r="BB42" s="61"/>
      <c r="BC42" s="61"/>
      <c r="BD42" s="61">
        <v>538</v>
      </c>
      <c r="BE42" s="61">
        <v>4972</v>
      </c>
      <c r="BF42" s="60">
        <v>3115</v>
      </c>
      <c r="BG42" s="60">
        <v>2028</v>
      </c>
      <c r="BH42" s="61">
        <v>18000</v>
      </c>
    </row>
    <row r="43" spans="1:60" x14ac:dyDescent="0.2">
      <c r="A43" s="169" t="s">
        <v>104</v>
      </c>
      <c r="B43" s="146"/>
      <c r="C43" s="163"/>
      <c r="D43" s="163"/>
      <c r="E43" s="164"/>
      <c r="F43" s="163"/>
      <c r="G43" s="164"/>
      <c r="H43" s="163"/>
      <c r="I43" s="164"/>
      <c r="J43" s="163"/>
      <c r="K43" s="143"/>
      <c r="L43" s="146"/>
      <c r="M43" s="143"/>
      <c r="N43" s="146"/>
      <c r="O43" s="141"/>
      <c r="P43" s="165"/>
      <c r="Q43" s="143"/>
      <c r="R43" s="165"/>
      <c r="S43" s="165"/>
      <c r="T43" s="166"/>
      <c r="U43" s="166"/>
      <c r="V43" s="166"/>
      <c r="W43" s="167"/>
      <c r="X43" s="167"/>
      <c r="Y43" s="167"/>
      <c r="Z43" s="146"/>
      <c r="AA43" s="167"/>
      <c r="AB43" s="145">
        <f>2023+800+4500+1238+1961+1500</f>
        <v>12022</v>
      </c>
      <c r="AC43" s="145"/>
      <c r="AD43" s="145">
        <f>1317+3000+2500+2748+1800</f>
        <v>11365</v>
      </c>
      <c r="AE43" s="145"/>
      <c r="AF43" s="145"/>
      <c r="AG43" s="145"/>
      <c r="AH43" s="145">
        <f>238+924+2000+1600+1024+1500</f>
        <v>7286</v>
      </c>
      <c r="AI43" s="145"/>
      <c r="AJ43" s="145">
        <f>287+3900+1500+2000</f>
        <v>7687</v>
      </c>
      <c r="AK43" s="163"/>
      <c r="AL43" s="145">
        <f>1672+3900+500+1600</f>
        <v>7672</v>
      </c>
      <c r="AM43" s="163"/>
      <c r="AN43" s="145">
        <f>227+1700+23+4554+598+2841+3000</f>
        <v>12943</v>
      </c>
      <c r="AO43" s="163"/>
      <c r="AP43" s="163">
        <f>500+3150+1200+1500+2800</f>
        <v>9150</v>
      </c>
      <c r="AQ43" s="163"/>
      <c r="AR43" s="163"/>
      <c r="AS43" s="163"/>
      <c r="AT43" s="163"/>
      <c r="AU43" s="163"/>
      <c r="AV43" s="163"/>
      <c r="AW43" s="163"/>
      <c r="AX43" s="163"/>
      <c r="AY43" s="168"/>
      <c r="AZ43" s="3"/>
      <c r="BA43" s="59" t="s">
        <v>79</v>
      </c>
      <c r="BB43" s="61">
        <v>1420</v>
      </c>
      <c r="BC43" s="61">
        <f>169+900+1200+200+345</f>
        <v>2814</v>
      </c>
      <c r="BD43" s="61">
        <f>725+969+580+395</f>
        <v>2669</v>
      </c>
      <c r="BE43" s="61">
        <f>846+1200+315</f>
        <v>2361</v>
      </c>
      <c r="BF43" s="60">
        <f>266+44</f>
        <v>310</v>
      </c>
      <c r="BG43" s="61">
        <f>50+4054+1420+257+348+701</f>
        <v>6830</v>
      </c>
      <c r="BH43" s="61">
        <f>402+530+170+300+1550+150+1600+1870+320+250+50</f>
        <v>7192</v>
      </c>
    </row>
    <row r="44" spans="1:60" ht="13.5" thickBot="1" x14ac:dyDescent="0.25">
      <c r="A44" s="170" t="s">
        <v>99</v>
      </c>
      <c r="C44" s="3"/>
      <c r="D44" s="3"/>
      <c r="E44" s="71"/>
      <c r="F44" s="3"/>
      <c r="G44" s="71"/>
      <c r="I44" s="71"/>
      <c r="J44" s="3"/>
      <c r="O44" s="1"/>
      <c r="T44" s="128"/>
      <c r="U44" s="128"/>
      <c r="V44" s="128"/>
      <c r="W44" s="3"/>
      <c r="X44" s="3"/>
      <c r="Y44" s="3"/>
      <c r="AA44" s="3"/>
      <c r="AB44" s="124">
        <f>AB38-AB39+AB43</f>
        <v>38024</v>
      </c>
      <c r="AC44" s="124"/>
      <c r="AD44" s="124">
        <f>AD38-AD39+AD43</f>
        <v>38396</v>
      </c>
      <c r="AE44" s="124"/>
      <c r="AF44" s="124"/>
      <c r="AG44" s="124"/>
      <c r="AH44" s="124">
        <f>AH38-AH39+AH43</f>
        <v>30319</v>
      </c>
      <c r="AI44" s="124"/>
      <c r="AJ44" s="124">
        <f>AJ38-AJ39+AJ43</f>
        <v>29931</v>
      </c>
      <c r="AL44" s="124">
        <f>AL38-AL39+AL43</f>
        <v>36292</v>
      </c>
      <c r="AN44" s="124">
        <f>AN38-AN39+AN43</f>
        <v>38245</v>
      </c>
      <c r="AP44" s="124">
        <f>AP38-AP39+AP43</f>
        <v>20199</v>
      </c>
      <c r="AY44" s="148"/>
      <c r="AZ44" s="3"/>
      <c r="BA44" s="67" t="s">
        <v>88</v>
      </c>
      <c r="BB44" s="68"/>
      <c r="BC44" s="68"/>
      <c r="BD44" s="68"/>
      <c r="BE44" s="68"/>
      <c r="BF44" s="135"/>
      <c r="BG44" s="135"/>
      <c r="BH44" s="68"/>
    </row>
    <row r="45" spans="1:60" x14ac:dyDescent="0.2">
      <c r="A45" s="171" t="s">
        <v>105</v>
      </c>
      <c r="B45" s="149"/>
      <c r="C45" s="150"/>
      <c r="D45" s="150"/>
      <c r="E45" s="151"/>
      <c r="F45" s="150"/>
      <c r="G45" s="151"/>
      <c r="H45" s="150"/>
      <c r="I45" s="151"/>
      <c r="J45" s="150"/>
      <c r="K45" s="152"/>
      <c r="L45" s="149"/>
      <c r="M45" s="152"/>
      <c r="N45" s="149"/>
      <c r="O45" s="152"/>
      <c r="P45" s="149"/>
      <c r="Q45" s="152"/>
      <c r="R45" s="149"/>
      <c r="S45" s="149"/>
      <c r="T45" s="154"/>
      <c r="U45" s="154"/>
      <c r="V45" s="154"/>
      <c r="W45" s="150"/>
      <c r="X45" s="150"/>
      <c r="Y45" s="150"/>
      <c r="Z45" s="150"/>
      <c r="AA45" s="150"/>
      <c r="AB45" s="161">
        <f>AB44/AB38</f>
        <v>0.28699524492414524</v>
      </c>
      <c r="AC45" s="161"/>
      <c r="AD45" s="161">
        <f>AD44/AD38</f>
        <v>0.2792923855800285</v>
      </c>
      <c r="AE45" s="161"/>
      <c r="AF45" s="161"/>
      <c r="AG45" s="161"/>
      <c r="AH45" s="161">
        <f>AH44/AH38</f>
        <v>0.2227209285242048</v>
      </c>
      <c r="AI45" s="161"/>
      <c r="AJ45" s="161">
        <f>AJ44/AJ38</f>
        <v>0.22690814810322346</v>
      </c>
      <c r="AK45" s="150"/>
      <c r="AL45" s="161">
        <f>AL44/AL38</f>
        <v>0.25517314114958695</v>
      </c>
      <c r="AM45" s="150"/>
      <c r="AN45" s="161">
        <f>AN44/AN38</f>
        <v>0.24739633870237401</v>
      </c>
      <c r="AO45" s="150"/>
      <c r="AP45" s="161">
        <f>AP44/AP38</f>
        <v>0.13571404575536669</v>
      </c>
      <c r="AQ45" s="150"/>
      <c r="AR45" s="150"/>
      <c r="AS45" s="150"/>
      <c r="AT45" s="150"/>
      <c r="AU45" s="150"/>
      <c r="AV45" s="150"/>
      <c r="AW45" s="150"/>
      <c r="AX45" s="150"/>
      <c r="AY45" s="162"/>
      <c r="AZ45" s="3"/>
    </row>
    <row r="46" spans="1:60" ht="20.25" customHeight="1" x14ac:dyDescent="0.2">
      <c r="A46" s="137"/>
      <c r="B46" s="3"/>
      <c r="T46" s="128"/>
      <c r="U46" s="128"/>
      <c r="V46" s="128"/>
      <c r="W46" s="3"/>
      <c r="X46" s="3"/>
      <c r="Y46" s="3"/>
      <c r="Z46" s="3"/>
      <c r="AA46" s="3"/>
      <c r="AJ46" s="124"/>
      <c r="AL46" s="134"/>
      <c r="AN46" s="134"/>
      <c r="AZ46" s="3"/>
      <c r="BA46" s="2" t="s">
        <v>83</v>
      </c>
      <c r="BB46" s="123">
        <v>18738</v>
      </c>
      <c r="BC46" s="123">
        <f t="shared" ref="BC46:BH46" si="3">BC17+BC26</f>
        <v>43770</v>
      </c>
      <c r="BD46" s="123">
        <f t="shared" si="3"/>
        <v>37409</v>
      </c>
      <c r="BE46" s="123">
        <f t="shared" si="3"/>
        <v>17781</v>
      </c>
      <c r="BF46" s="123">
        <f t="shared" si="3"/>
        <v>73404</v>
      </c>
      <c r="BG46" s="123">
        <f t="shared" si="3"/>
        <v>78477</v>
      </c>
      <c r="BH46" s="123">
        <f t="shared" si="3"/>
        <v>59432</v>
      </c>
    </row>
    <row r="47" spans="1:60" x14ac:dyDescent="0.2">
      <c r="B47" s="131" t="s">
        <v>119</v>
      </c>
      <c r="P47" s="131"/>
      <c r="Q47" s="1"/>
      <c r="R47" s="131"/>
      <c r="S47" s="131"/>
      <c r="T47" s="128"/>
      <c r="U47" s="128"/>
      <c r="V47" s="128"/>
      <c r="W47" s="132"/>
      <c r="X47" s="132"/>
      <c r="Y47" s="132"/>
      <c r="Z47" s="132"/>
      <c r="AA47" s="132"/>
      <c r="AB47" s="131"/>
      <c r="AC47" s="131"/>
      <c r="AD47" s="131"/>
      <c r="AL47" s="124"/>
      <c r="AN47" s="124"/>
      <c r="AZ47" s="3"/>
    </row>
    <row r="48" spans="1:60" x14ac:dyDescent="0.2">
      <c r="Q48" s="1"/>
      <c r="T48" s="128"/>
      <c r="U48" s="128"/>
      <c r="V48" s="128"/>
      <c r="W48" s="3"/>
      <c r="X48" s="3"/>
      <c r="Y48" s="3"/>
      <c r="Z48" s="3"/>
      <c r="AA48" s="3"/>
      <c r="AD48" s="1"/>
      <c r="AH48" s="1"/>
      <c r="BB48" s="95"/>
      <c r="BC48" s="95"/>
      <c r="BD48" s="95"/>
      <c r="BE48" s="95"/>
      <c r="BF48" s="95"/>
      <c r="BG48" s="95"/>
      <c r="BH48" s="95"/>
    </row>
    <row r="49" spans="1:51" x14ac:dyDescent="0.2">
      <c r="A49" s="1" t="s">
        <v>90</v>
      </c>
      <c r="B49" s="1" t="s">
        <v>113</v>
      </c>
      <c r="Q49" s="1"/>
      <c r="T49" s="128"/>
      <c r="U49" s="128"/>
      <c r="V49" s="128"/>
      <c r="W49" s="3"/>
      <c r="X49" s="3"/>
      <c r="Y49" s="3"/>
      <c r="Z49" s="3"/>
      <c r="AA49" s="3"/>
      <c r="AD49" s="1"/>
    </row>
    <row r="50" spans="1:51" x14ac:dyDescent="0.2">
      <c r="A50" s="1" t="s">
        <v>110</v>
      </c>
      <c r="B50" s="3" t="s">
        <v>111</v>
      </c>
      <c r="Q50" s="1"/>
      <c r="T50" s="128"/>
      <c r="U50" s="128"/>
      <c r="V50" s="128"/>
      <c r="W50" s="3"/>
      <c r="X50" s="3"/>
      <c r="Y50" s="3"/>
      <c r="Z50" s="3"/>
      <c r="AA50" s="3"/>
      <c r="AD50" s="1"/>
    </row>
    <row r="51" spans="1:51" ht="39" customHeight="1" x14ac:dyDescent="0.25">
      <c r="A51" s="173" t="s">
        <v>91</v>
      </c>
      <c r="B51" s="177" t="s">
        <v>112</v>
      </c>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row>
    <row r="52" spans="1:51" x14ac:dyDescent="0.2">
      <c r="A52" s="1" t="s">
        <v>116</v>
      </c>
      <c r="B52" s="1" t="s">
        <v>115</v>
      </c>
    </row>
    <row r="53" spans="1:51" x14ac:dyDescent="0.2">
      <c r="A53" s="1" t="s">
        <v>117</v>
      </c>
      <c r="B53" s="1" t="s">
        <v>114</v>
      </c>
      <c r="Q53" s="1"/>
      <c r="T53" s="128"/>
      <c r="U53" s="128"/>
      <c r="V53" s="128"/>
      <c r="W53" s="3"/>
      <c r="X53" s="3"/>
      <c r="Y53" s="3"/>
      <c r="Z53" s="3"/>
      <c r="AA53" s="3"/>
      <c r="AD53" s="1"/>
    </row>
    <row r="54" spans="1:51" x14ac:dyDescent="0.2">
      <c r="A54" s="1" t="s">
        <v>92</v>
      </c>
      <c r="B54" s="1" t="s">
        <v>94</v>
      </c>
    </row>
    <row r="55" spans="1:51" ht="27" customHeight="1" x14ac:dyDescent="0.2"/>
    <row r="56" spans="1:51" ht="27" customHeight="1" x14ac:dyDescent="0.2">
      <c r="A56" s="1" t="s">
        <v>118</v>
      </c>
    </row>
    <row r="63" spans="1:51" x14ac:dyDescent="0.2">
      <c r="A63" s="1" t="s">
        <v>95</v>
      </c>
    </row>
    <row r="66" spans="1:2" x14ac:dyDescent="0.2">
      <c r="B66" s="3"/>
    </row>
    <row r="67" spans="1:2" x14ac:dyDescent="0.2">
      <c r="B67" s="133"/>
    </row>
    <row r="68" spans="1:2" x14ac:dyDescent="0.2">
      <c r="B68" s="3"/>
    </row>
    <row r="69" spans="1:2" x14ac:dyDescent="0.2">
      <c r="A69" s="3" t="s">
        <v>80</v>
      </c>
      <c r="B69" s="3"/>
    </row>
    <row r="70" spans="1:2" x14ac:dyDescent="0.2">
      <c r="A70" s="133" t="s">
        <v>81</v>
      </c>
    </row>
    <row r="71" spans="1:2" x14ac:dyDescent="0.2">
      <c r="A71" s="3" t="s">
        <v>82</v>
      </c>
    </row>
  </sheetData>
  <mergeCells count="2">
    <mergeCell ref="C5:D5"/>
    <mergeCell ref="B51:AY51"/>
  </mergeCells>
  <pageMargins left="0.33" right="0" top="0.4" bottom="0.49" header="0.31496062992125984" footer="0.33"/>
  <pageSetup paperSize="9" scale="9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2020-23</vt:lpstr>
    </vt:vector>
  </TitlesOfParts>
  <Company>Město Jilemnice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Město Jilemnice</dc:creator>
  <cp:lastModifiedBy>Město Jilemnice</cp:lastModifiedBy>
  <cp:lastPrinted>2019-06-20T11:53:48Z</cp:lastPrinted>
  <dcterms:created xsi:type="dcterms:W3CDTF">2017-04-07T08:44:21Z</dcterms:created>
  <dcterms:modified xsi:type="dcterms:W3CDTF">2019-06-20T11:54:10Z</dcterms:modified>
</cp:coreProperties>
</file>