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ynčlová\Documents\Rok 2021\Rozpočet 2021\"/>
    </mc:Choice>
  </mc:AlternateContent>
  <bookViews>
    <workbookView xWindow="14505" yWindow="6210" windowWidth="14310" windowHeight="6240"/>
  </bookViews>
  <sheets>
    <sheet name="sumář" sheetId="1" r:id="rId1"/>
    <sheet name="příjmy" sheetId="2" r:id="rId2"/>
    <sheet name="výdaje" sheetId="3" r:id="rId3"/>
    <sheet name="Závazné ukazatele rozpočtu" sheetId="20" r:id="rId4"/>
  </sheets>
  <definedNames>
    <definedName name="_xlnm.Print_Titles" localSheetId="1">příjmy!$A:$E,příjmy!$1:$3</definedName>
    <definedName name="_xlnm.Print_Titles" localSheetId="2">výdaje!$A:$D,výdaje!$1:$4</definedName>
    <definedName name="_xlnm.Print_Area" localSheetId="2">výdaje!$A$1:$J$120</definedName>
  </definedNames>
  <calcPr calcId="162913"/>
</workbook>
</file>

<file path=xl/calcChain.xml><?xml version="1.0" encoding="utf-8"?>
<calcChain xmlns="http://schemas.openxmlformats.org/spreadsheetml/2006/main">
  <c r="C30" i="20" l="1"/>
  <c r="C28" i="20"/>
  <c r="C31" i="20" s="1"/>
  <c r="C7" i="20"/>
  <c r="C6" i="20"/>
  <c r="C5" i="20"/>
  <c r="C4" i="20"/>
  <c r="C8" i="20" l="1"/>
  <c r="C21" i="1" l="1"/>
  <c r="G65" i="3"/>
  <c r="F105" i="3"/>
  <c r="G119" i="3"/>
  <c r="E118" i="3"/>
  <c r="G118" i="3" s="1"/>
  <c r="G117" i="3"/>
  <c r="G116" i="3"/>
  <c r="G115" i="3"/>
  <c r="G114" i="3"/>
  <c r="E113" i="3"/>
  <c r="G113" i="3" s="1"/>
  <c r="G112" i="3"/>
  <c r="F111" i="3"/>
  <c r="G110" i="3"/>
  <c r="G109" i="3"/>
  <c r="G108" i="3"/>
  <c r="E106" i="3"/>
  <c r="G106" i="3" s="1"/>
  <c r="E104" i="3"/>
  <c r="G104" i="3" s="1"/>
  <c r="E103" i="3"/>
  <c r="G103" i="3" s="1"/>
  <c r="G102" i="3"/>
  <c r="E101" i="3"/>
  <c r="G101" i="3" s="1"/>
  <c r="F100" i="3"/>
  <c r="E99" i="3"/>
  <c r="G99" i="3" s="1"/>
  <c r="E98" i="3"/>
  <c r="G97" i="3"/>
  <c r="G96" i="3"/>
  <c r="G95" i="3"/>
  <c r="F94" i="3"/>
  <c r="G93" i="3"/>
  <c r="E92" i="3"/>
  <c r="G91" i="3"/>
  <c r="E90" i="3"/>
  <c r="F89" i="3"/>
  <c r="G88" i="3"/>
  <c r="G87" i="3"/>
  <c r="E86" i="3"/>
  <c r="G86" i="3" s="1"/>
  <c r="E85" i="3"/>
  <c r="G85" i="3" s="1"/>
  <c r="E83" i="3"/>
  <c r="G83" i="3" s="1"/>
  <c r="G82" i="3"/>
  <c r="E81" i="3"/>
  <c r="G81" i="3" s="1"/>
  <c r="G80" i="3"/>
  <c r="G79" i="3"/>
  <c r="G78" i="3"/>
  <c r="G77" i="3"/>
  <c r="G76" i="3"/>
  <c r="G75" i="3"/>
  <c r="G74" i="3"/>
  <c r="G73" i="3"/>
  <c r="G72" i="3"/>
  <c r="G71" i="3"/>
  <c r="G70" i="3"/>
  <c r="E69" i="3"/>
  <c r="G69" i="3" s="1"/>
  <c r="G68" i="3"/>
  <c r="F67" i="3"/>
  <c r="F63" i="3" s="1"/>
  <c r="G66" i="3"/>
  <c r="G64" i="3"/>
  <c r="G62" i="3"/>
  <c r="G61" i="3" s="1"/>
  <c r="C17" i="20" s="1"/>
  <c r="F61" i="3"/>
  <c r="E61" i="3"/>
  <c r="G60" i="3"/>
  <c r="G59" i="3"/>
  <c r="G58" i="3"/>
  <c r="G57" i="3"/>
  <c r="F56" i="3"/>
  <c r="F54" i="3" s="1"/>
  <c r="G55" i="3"/>
  <c r="E54" i="3"/>
  <c r="G53" i="3"/>
  <c r="E52" i="3"/>
  <c r="G52" i="3" s="1"/>
  <c r="G51" i="3"/>
  <c r="G50" i="3"/>
  <c r="G49" i="3"/>
  <c r="E48" i="3"/>
  <c r="G48" i="3" s="1"/>
  <c r="G47" i="3"/>
  <c r="G46" i="3"/>
  <c r="G45" i="3"/>
  <c r="E44" i="3"/>
  <c r="G44" i="3" s="1"/>
  <c r="F43" i="3"/>
  <c r="G42" i="3"/>
  <c r="G41" i="3"/>
  <c r="G40" i="3"/>
  <c r="G39" i="3"/>
  <c r="G38" i="3"/>
  <c r="G37" i="3"/>
  <c r="G36" i="3"/>
  <c r="E35" i="3"/>
  <c r="G35" i="3" s="1"/>
  <c r="G34" i="3"/>
  <c r="E33" i="3"/>
  <c r="G33" i="3" s="1"/>
  <c r="E32" i="3"/>
  <c r="G32" i="3" s="1"/>
  <c r="G31" i="3"/>
  <c r="G30" i="3"/>
  <c r="F29" i="3"/>
  <c r="G28" i="3"/>
  <c r="G27" i="3"/>
  <c r="G26" i="3"/>
  <c r="G25" i="3"/>
  <c r="G24" i="3"/>
  <c r="F21" i="3"/>
  <c r="G21" i="3" s="1"/>
  <c r="G23" i="3"/>
  <c r="G22" i="3"/>
  <c r="G20" i="3"/>
  <c r="F19" i="3"/>
  <c r="F13" i="3" s="1"/>
  <c r="E19" i="3"/>
  <c r="E13" i="3" s="1"/>
  <c r="G18" i="3"/>
  <c r="G14" i="3"/>
  <c r="G17" i="3"/>
  <c r="G16" i="3"/>
  <c r="G15" i="3"/>
  <c r="G12" i="3"/>
  <c r="G11" i="3"/>
  <c r="G10" i="3"/>
  <c r="G9" i="3"/>
  <c r="G8" i="3"/>
  <c r="F7" i="3"/>
  <c r="E7" i="3"/>
  <c r="E6" i="3"/>
  <c r="G6" i="3" s="1"/>
  <c r="G5" i="3" s="1"/>
  <c r="C11" i="20" s="1"/>
  <c r="F5" i="3"/>
  <c r="F107" i="2"/>
  <c r="F120" i="2" s="1"/>
  <c r="F102" i="2"/>
  <c r="F101" i="2"/>
  <c r="F89" i="2"/>
  <c r="F88" i="2"/>
  <c r="F83" i="2"/>
  <c r="F80" i="2"/>
  <c r="F72" i="2"/>
  <c r="F68" i="2"/>
  <c r="F59" i="2"/>
  <c r="F57" i="2" s="1"/>
  <c r="F56" i="2"/>
  <c r="F55" i="2"/>
  <c r="F54" i="2"/>
  <c r="F53" i="2"/>
  <c r="F52" i="2"/>
  <c r="F49" i="2"/>
  <c r="F42" i="2"/>
  <c r="F31" i="2"/>
  <c r="F26" i="2"/>
  <c r="F24" i="2"/>
  <c r="F22" i="2"/>
  <c r="F17" i="2"/>
  <c r="F5" i="2"/>
  <c r="G56" i="3" l="1"/>
  <c r="G54" i="3" s="1"/>
  <c r="C16" i="20" s="1"/>
  <c r="E43" i="3"/>
  <c r="E5" i="3"/>
  <c r="E94" i="3"/>
  <c r="E111" i="3"/>
  <c r="F84" i="3"/>
  <c r="F120" i="3" s="1"/>
  <c r="G89" i="3"/>
  <c r="E84" i="3"/>
  <c r="G98" i="3"/>
  <c r="G94" i="3" s="1"/>
  <c r="C20" i="20" s="1"/>
  <c r="G90" i="3"/>
  <c r="G111" i="3"/>
  <c r="C23" i="20" s="1"/>
  <c r="G100" i="3"/>
  <c r="C21" i="20" s="1"/>
  <c r="G7" i="3"/>
  <c r="C12" i="20" s="1"/>
  <c r="G107" i="3"/>
  <c r="G105" i="3" s="1"/>
  <c r="C22" i="20" s="1"/>
  <c r="G29" i="3"/>
  <c r="C14" i="20" s="1"/>
  <c r="G43" i="3"/>
  <c r="C15" i="20" s="1"/>
  <c r="E29" i="3"/>
  <c r="E63" i="3"/>
  <c r="G67" i="3"/>
  <c r="G63" i="3" s="1"/>
  <c r="C18" i="20" s="1"/>
  <c r="G92" i="3"/>
  <c r="E100" i="3"/>
  <c r="G19" i="3"/>
  <c r="G13" i="3" s="1"/>
  <c r="C13" i="20" s="1"/>
  <c r="F14" i="2"/>
  <c r="F33" i="2" s="1"/>
  <c r="F115" i="2" s="1"/>
  <c r="F93" i="2"/>
  <c r="F117" i="2" s="1"/>
  <c r="F91" i="2"/>
  <c r="F119" i="2" s="1"/>
  <c r="F36" i="2"/>
  <c r="F85" i="2" s="1"/>
  <c r="F116" i="2" s="1"/>
  <c r="F111" i="2" l="1"/>
  <c r="G84" i="3"/>
  <c r="E105" i="3"/>
  <c r="E120" i="3" s="1"/>
  <c r="G121" i="3" s="1"/>
  <c r="F118" i="2"/>
  <c r="F121" i="2" s="1"/>
  <c r="F112" i="2"/>
  <c r="G120" i="3" l="1"/>
  <c r="C19" i="20"/>
  <c r="C24" i="20" s="1"/>
  <c r="C25" i="20" s="1"/>
  <c r="C10" i="1"/>
  <c r="C12" i="1"/>
  <c r="C9" i="1"/>
  <c r="C11" i="1"/>
  <c r="D11" i="1" l="1"/>
  <c r="D9" i="1"/>
  <c r="C13" i="1"/>
  <c r="D12" i="1" s="1"/>
  <c r="C15" i="1"/>
  <c r="D10" i="1" l="1"/>
  <c r="D13" i="1" s="1"/>
  <c r="FA50" i="3"/>
  <c r="C14" i="1" l="1"/>
  <c r="C16" i="1" l="1"/>
  <c r="D15" i="1" s="1"/>
  <c r="D14" i="1" l="1"/>
  <c r="C18" i="1"/>
  <c r="C30" i="1" s="1"/>
  <c r="C28" i="1" s="1"/>
</calcChain>
</file>

<file path=xl/comments1.xml><?xml version="1.0" encoding="utf-8"?>
<comments xmlns="http://schemas.openxmlformats.org/spreadsheetml/2006/main">
  <authors>
    <author>Kynčlová Miroslava, Ing.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-2255 splátka EPC
-2000 splátka ZŠ Harracha</t>
        </r>
      </text>
    </comment>
  </commentList>
</comments>
</file>

<file path=xl/comments2.xml><?xml version="1.0" encoding="utf-8"?>
<comments xmlns="http://schemas.openxmlformats.org/spreadsheetml/2006/main">
  <authors>
    <author>Ing. Miroslava Kynčlová</author>
    <author>Kynčlová</author>
    <author>Kynčlová Miroslava, Ing.</author>
    <author>Město Jilemnice</author>
  </authors>
  <commentList>
    <comment ref="E15" authorId="0" shapeId="0">
      <text>
        <r>
          <rPr>
            <sz val="8"/>
            <color indexed="81"/>
            <rFont val="Tahoma"/>
            <family val="2"/>
            <charset val="238"/>
          </rPr>
          <t>3-trvalý pobyt
4-ověřování
6-změna jména
8-sňatky
9-video</t>
        </r>
      </text>
    </comment>
    <comment ref="E17" authorId="1" shapeId="0">
      <text>
        <r>
          <rPr>
            <sz val="10"/>
            <color indexed="81"/>
            <rFont val="Tahoma"/>
            <family val="2"/>
            <charset val="238"/>
          </rPr>
          <t>10 rybářské lístky</t>
        </r>
        <r>
          <rPr>
            <sz val="10"/>
            <color indexed="81"/>
            <rFont val="Tahoma"/>
            <family val="2"/>
            <charset val="238"/>
          </rPr>
          <t xml:space="preserve">
23 životní prostředí </t>
        </r>
      </text>
    </comment>
    <comment ref="E22" authorId="0" shapeId="0">
      <text>
        <r>
          <rPr>
            <sz val="8"/>
            <color indexed="81"/>
            <rFont val="Tahoma"/>
            <family val="2"/>
            <charset val="238"/>
          </rPr>
          <t xml:space="preserve">32-pasy
33-občanské průkazy
</t>
        </r>
      </text>
    </comment>
    <comment ref="F42" authorId="2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115 přefakturace energie
5 příjmy za využívání areálu
</t>
        </r>
      </text>
    </comment>
    <comment ref="F49" authorId="3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36 - org. 319 restaurace pod radnicí
91 - org. 21 (DC, KRNAP, Kiosek)</t>
        </r>
      </text>
    </comment>
    <comment ref="F53" authorId="2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180 služby sňatky
30 ostatní</t>
        </r>
      </text>
    </comment>
    <comment ref="F55" authorId="3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231 MŠ
661 ZŠ I
655 SDJilm
540 ZŠ II
66 ZUŠ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290 příjmy za třídění door to door</t>
        </r>
      </text>
    </comment>
    <comment ref="E74" authorId="1" shapeId="0">
      <text>
        <r>
          <rPr>
            <sz val="8"/>
            <color indexed="81"/>
            <rFont val="Tahoma"/>
            <family val="2"/>
            <charset val="238"/>
          </rPr>
          <t>33 občanské průkazy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14 přestupky
13 památky
</t>
        </r>
      </text>
    </comment>
    <comment ref="F82" authorId="2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dotace?</t>
        </r>
      </text>
    </comment>
    <comment ref="F89" authorId="2" shapeId="0">
      <text>
        <r>
          <rPr>
            <sz val="9"/>
            <color indexed="81"/>
            <rFont val="Tahoma"/>
            <family val="2"/>
            <charset val="238"/>
          </rPr>
          <t xml:space="preserve">6815 prodej čp. 332
5000 prodej bytů
</t>
        </r>
      </text>
    </comment>
  </commentList>
</comments>
</file>

<file path=xl/comments3.xml><?xml version="1.0" encoding="utf-8"?>
<comments xmlns="http://schemas.openxmlformats.org/spreadsheetml/2006/main">
  <authors>
    <author>Kynčlová Miroslava, Ing.</author>
    <author>Notebook pracovní</author>
    <author>Město Jilemnice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612 upr.R 2020
623 mzdy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  <charset val="238"/>
          </rPr>
          <t>Notebook pracovní:</t>
        </r>
        <r>
          <rPr>
            <sz val="9"/>
            <color indexed="81"/>
            <rFont val="Tahoma"/>
            <family val="2"/>
            <charset val="238"/>
          </rPr>
          <t xml:space="preserve">
160 LHP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122 dotace VHS
78 ostatní
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238"/>
          </rPr>
          <t>1800 VO
11834 dotace - podíl města VHS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5200 I. Etapa MŠ Zámecká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2260 oprava střechy čp. 101,103
250 PD Sevastopol
1000 Sevastopol I. etapa
140 ostatní</t>
        </r>
      </text>
    </comment>
    <comment ref="E35" authorId="2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661 ZŠ I
540 ZŠ II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109 úroky z úvěru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342 provoz 
1376 mzdy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7500 reko malý bazén
1550 hřiště s umělým povrchem
</t>
        </r>
      </text>
    </comment>
    <comment ref="E59" authorId="0" shapeId="0">
      <text>
        <r>
          <rPr>
            <sz val="9"/>
            <color indexed="81"/>
            <rFont val="Tahoma"/>
            <family val="2"/>
            <charset val="238"/>
          </rPr>
          <t xml:space="preserve">20 letní pohár v biatlonu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130 ocenění akcií
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207 úroky
146 en. Management
62 softwear Porsena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61 provoz
308 mzdy</t>
        </r>
      </text>
    </comment>
    <comment ref="E83" authorId="2" shape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36 org. 319 (restaurace pod radnicí)
91 org. 21 (DC, KRNAP, Kiosek)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455 navýšení - systém door to door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541 provoz kompostárny
135 obnova majetku
259 doplatek za rok 2020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177 příspěvek na projekt "Door to door"
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2316 mzdy
-200 snížení o strom na náměstí (již hotov)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36 doplatek studie
100 PD ohradní zeď
14 ostatní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5447 mzdy
596 provoz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138 § 5272
100 §5213</t>
        </r>
      </text>
    </comment>
    <comment ref="E104" authorId="1" shapeId="0">
      <text>
        <r>
          <rPr>
            <b/>
            <sz val="9"/>
            <color indexed="81"/>
            <rFont val="Tahoma"/>
            <family val="2"/>
            <charset val="238"/>
          </rPr>
          <t>Notebook pracovní:</t>
        </r>
        <r>
          <rPr>
            <sz val="9"/>
            <color indexed="81"/>
            <rFont val="Tahoma"/>
            <family val="2"/>
            <charset val="238"/>
          </rPr>
          <t xml:space="preserve">
50 oprava soc. zařízení
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54 za podání žaloby Nálevková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  <charset val="238"/>
          </rPr>
          <t>Kynčlová Miroslava, Ing.:</t>
        </r>
        <r>
          <rPr>
            <sz val="9"/>
            <color indexed="81"/>
            <rFont val="Tahoma"/>
            <family val="2"/>
            <charset val="238"/>
          </rPr>
          <t xml:space="preserve">
1098 na odvod z projektu zateplení 2008
</t>
        </r>
      </text>
    </comment>
  </commentList>
</comments>
</file>

<file path=xl/sharedStrings.xml><?xml version="1.0" encoding="utf-8"?>
<sst xmlns="http://schemas.openxmlformats.org/spreadsheetml/2006/main" count="588" uniqueCount="391">
  <si>
    <t xml:space="preserve">                                 </t>
  </si>
  <si>
    <t xml:space="preserve">                           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</si>
  <si>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</si>
  <si>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</si>
  <si>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</si>
  <si>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</si>
  <si>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</si>
  <si>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</si>
  <si>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</si>
  <si>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</si>
  <si>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</si>
  <si>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</si>
  <si>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pol.</t>
  </si>
  <si>
    <t>Třída 8 - financování</t>
  </si>
  <si>
    <t>Celkem financování</t>
  </si>
  <si>
    <t>poznámka</t>
  </si>
  <si>
    <t>polož.</t>
  </si>
  <si>
    <t>§</t>
  </si>
  <si>
    <t>org.</t>
  </si>
  <si>
    <t>název</t>
  </si>
  <si>
    <t>1a) BĚŽNÉ</t>
  </si>
  <si>
    <t>DAŇOVÉ  - TŘÍDA  1</t>
  </si>
  <si>
    <t>11-daně z příjmů, zisku a kap. výnosů</t>
  </si>
  <si>
    <t>z toho:</t>
  </si>
  <si>
    <t>13-poplatky a daně z vybraných činností</t>
  </si>
  <si>
    <t>Matriční poplatky</t>
  </si>
  <si>
    <t>Živnostenské listy</t>
  </si>
  <si>
    <t>15-majetkové daně</t>
  </si>
  <si>
    <t>bez</t>
  </si>
  <si>
    <t>Daňové příjmy celkem:</t>
  </si>
  <si>
    <t>NEDAŇOVÉ - TŘÍDA 2</t>
  </si>
  <si>
    <t>21-příjmy z vlastní činnosti</t>
  </si>
  <si>
    <t>Prodej zpravodaje</t>
  </si>
  <si>
    <t>Pohřebnictví</t>
  </si>
  <si>
    <t>Pečovatelská služba</t>
  </si>
  <si>
    <t>Příjmy z reklam ( zpravodaj, rozhlas)</t>
  </si>
  <si>
    <t>Nájemné:</t>
  </si>
  <si>
    <t>BH - Nájemné nebyt. prost.</t>
  </si>
  <si>
    <t>Nájemné Zásobování teplem s.r.o.</t>
  </si>
  <si>
    <t>Pokuty městská policie</t>
  </si>
  <si>
    <t>Nedaňové příjmy celkem:</t>
  </si>
  <si>
    <t>TŘÍDA  3</t>
  </si>
  <si>
    <t>31-příjmy z prodeje investičního majetku</t>
  </si>
  <si>
    <t>Kapitálové příjmy celkem:</t>
  </si>
  <si>
    <t xml:space="preserve">2)PŘIJATÉ DOTACE </t>
  </si>
  <si>
    <t>TŘÍDA  4</t>
  </si>
  <si>
    <t>2a) Běžné</t>
  </si>
  <si>
    <t>2b) Kapitálové</t>
  </si>
  <si>
    <t>Přijaté dotace celkem:</t>
  </si>
  <si>
    <t>Rekapitulace příjmů:</t>
  </si>
  <si>
    <t>Tř. 1 - Daňové příjmy</t>
  </si>
  <si>
    <t>Tř. 2. - Nedaňové příjmy</t>
  </si>
  <si>
    <t>Ze tř. 4 - Dotace běžné</t>
  </si>
  <si>
    <t>Vlastní příjmy celkem</t>
  </si>
  <si>
    <t>Tř. 3 - Kapitálové příjmy</t>
  </si>
  <si>
    <t>Ze tř. 4. - Dotace kapitálové</t>
  </si>
  <si>
    <t>Celkem příjmy</t>
  </si>
  <si>
    <t>sk</t>
  </si>
  <si>
    <t>Popis paragrafu</t>
  </si>
  <si>
    <t>běžné</t>
  </si>
  <si>
    <t>kap.</t>
  </si>
  <si>
    <t>celkem</t>
  </si>
  <si>
    <t>Zeměděl. a lesní hospodářství</t>
  </si>
  <si>
    <t>Morávková</t>
  </si>
  <si>
    <t>Faistauer</t>
  </si>
  <si>
    <t>Doprava,vodovody,kanalizace</t>
  </si>
  <si>
    <t>Kynčlová</t>
  </si>
  <si>
    <t>Kultura, církve a sdělovací  prostř.</t>
  </si>
  <si>
    <t>Vydávání zpravodaje</t>
  </si>
  <si>
    <t>Tělovýchova a zájmová činnost</t>
  </si>
  <si>
    <t>Bydlení, komunální služby a územní rozvoj</t>
  </si>
  <si>
    <t>Veřejné osvětlení- provoz ,opravy</t>
  </si>
  <si>
    <t>Sběr a svoz komun. odpadů</t>
  </si>
  <si>
    <t>Péče o vzhled obcí a veřejnou zeleň</t>
  </si>
  <si>
    <t>Sociální péče</t>
  </si>
  <si>
    <t xml:space="preserve">Obecní policie </t>
  </si>
  <si>
    <t>Státní správa, územní samospráva</t>
  </si>
  <si>
    <t>Místní zastupitelské orgány</t>
  </si>
  <si>
    <t>63,64</t>
  </si>
  <si>
    <t>Finanční operace, ostatní činnosti</t>
  </si>
  <si>
    <t>Daň z příjmu práv. osob za obce</t>
  </si>
  <si>
    <t>Celkem výdaje</t>
  </si>
  <si>
    <t>kontrola</t>
  </si>
  <si>
    <t>Příjmy z úroků a fin. majetku</t>
  </si>
  <si>
    <t>Výkup pozemků</t>
  </si>
  <si>
    <t>Příjem z veřejných WC</t>
  </si>
  <si>
    <t>Lesní hospodářství</t>
  </si>
  <si>
    <t>Opravy pronajímaných nebyt. prostor</t>
  </si>
  <si>
    <t>Projekty do 60000,-/ nad 60000</t>
  </si>
  <si>
    <t xml:space="preserve">Činnost místní správy </t>
  </si>
  <si>
    <t xml:space="preserve">SPOZ </t>
  </si>
  <si>
    <t>Popl. za komunální odpad</t>
  </si>
  <si>
    <t>Bezpečnost, požár. ochrana</t>
  </si>
  <si>
    <t>k sestavení rozpočtu</t>
  </si>
  <si>
    <t>Poplatek ze psů</t>
  </si>
  <si>
    <t>Popl. za užívání veřejného prostranství</t>
  </si>
  <si>
    <t>DPFO - závislá činnost</t>
  </si>
  <si>
    <t xml:space="preserve">DPH </t>
  </si>
  <si>
    <t>DPFO - srážková daň</t>
  </si>
  <si>
    <t>DP - právnických osob</t>
  </si>
  <si>
    <t>DP práv. osob za obce</t>
  </si>
  <si>
    <t>daň sdílená</t>
  </si>
  <si>
    <t>Zdravotnictví</t>
  </si>
  <si>
    <t>Životní prostředí</t>
  </si>
  <si>
    <t xml:space="preserve">Knihovna </t>
  </si>
  <si>
    <t>Šnorbert</t>
  </si>
  <si>
    <t xml:space="preserve">Dopravní obslužnost </t>
  </si>
  <si>
    <t>Kompenzace za tříděný odpad</t>
  </si>
  <si>
    <t>Provoz parkoviště , park. automaty</t>
  </si>
  <si>
    <t>DPFO-závisl. činnost 1,5% podíl</t>
  </si>
  <si>
    <t>Opravy, údržba komunikací</t>
  </si>
  <si>
    <t>Byty -  opravy z nájemného</t>
  </si>
  <si>
    <t>Byty - platby za služby</t>
  </si>
  <si>
    <t>Nebytové pr. - opravy</t>
  </si>
  <si>
    <t>Nebytové pr. - služby</t>
  </si>
  <si>
    <t>Zvelebilová</t>
  </si>
  <si>
    <t>Přebytek ( - ),   ztráta  (+)</t>
  </si>
  <si>
    <t>24- přijaté splátky půjček</t>
  </si>
  <si>
    <t>23-příjmy z prodeje majetku a ost.nedaňové příjmy</t>
  </si>
  <si>
    <t xml:space="preserve">22-přijaté sankční platby </t>
  </si>
  <si>
    <t>Pasy, obč. průkazy</t>
  </si>
  <si>
    <t xml:space="preserve">Pokuty dopravní </t>
  </si>
  <si>
    <t>Pokuty životní prostředí</t>
  </si>
  <si>
    <t>3,4,6,8,9</t>
  </si>
  <si>
    <t>Pokuty živnost.úřad</t>
  </si>
  <si>
    <t>Krizové řízení, ochrana obyvatelstva</t>
  </si>
  <si>
    <t>uz</t>
  </si>
  <si>
    <t>Zachov. a obn.kult. památek města</t>
  </si>
  <si>
    <t>Rezerva rozpočtová</t>
  </si>
  <si>
    <t>BH - Nájemné byt. prostory vč. penále</t>
  </si>
  <si>
    <t xml:space="preserve">Pečovatelská služba </t>
  </si>
  <si>
    <t>Příjmy - výdaje = - financování</t>
  </si>
  <si>
    <t>Příjmy z poskytování služeb a výrobků</t>
  </si>
  <si>
    <t>Správní poplatky</t>
  </si>
  <si>
    <t xml:space="preserve">Místní poplatky </t>
  </si>
  <si>
    <t>1b) KAPITÁLOVÉ -</t>
  </si>
  <si>
    <t>rozpočtu</t>
  </si>
  <si>
    <t>správce</t>
  </si>
  <si>
    <t>Provoz veř. WC</t>
  </si>
  <si>
    <t>daň vlastní</t>
  </si>
  <si>
    <t>operace</t>
  </si>
  <si>
    <t>Zelinka</t>
  </si>
  <si>
    <t>Augustin</t>
  </si>
  <si>
    <t>Cerman</t>
  </si>
  <si>
    <t>Platby do svazků obcí, sdružení</t>
  </si>
  <si>
    <t>příkazce</t>
  </si>
  <si>
    <t>Pokuty stavební úřad</t>
  </si>
  <si>
    <t>Stavební poplatky</t>
  </si>
  <si>
    <t>Propagace města, výročí, zahr.spolupráce</t>
  </si>
  <si>
    <t>Životní prostředí poplatky</t>
  </si>
  <si>
    <t>Zvl. užívání místních komun.</t>
  </si>
  <si>
    <t>Dopravní poplatky</t>
  </si>
  <si>
    <t>Areál služeb</t>
  </si>
  <si>
    <t>Městská knihovna</t>
  </si>
  <si>
    <t>Parkovné</t>
  </si>
  <si>
    <t>Nájemné z ost. nemovitostí</t>
  </si>
  <si>
    <t>Daň z nemovitostí</t>
  </si>
  <si>
    <t>BH - služby byt. prostory</t>
  </si>
  <si>
    <t>BH - služby nebyt. prostory</t>
  </si>
  <si>
    <t>Kopírování, ost příjmy správy</t>
  </si>
  <si>
    <t>Příjmy z úroků - akce Roztocká</t>
  </si>
  <si>
    <t>Prodej pozemků</t>
  </si>
  <si>
    <t>Prodej nemovitostí - bytů,domů</t>
  </si>
  <si>
    <t>Inv. příspěvky 32b.j.</t>
  </si>
  <si>
    <t xml:space="preserve">Souhrnná neinvestiční dotace </t>
  </si>
  <si>
    <t>dle rozpisu položek v tabulce správa</t>
  </si>
  <si>
    <t>3769,6171</t>
  </si>
  <si>
    <t>Veřejnopr. smlouvy policie</t>
  </si>
  <si>
    <t xml:space="preserve">Komunální služby </t>
  </si>
  <si>
    <t>Nájemné z pozemků</t>
  </si>
  <si>
    <t xml:space="preserve">Areál služeb </t>
  </si>
  <si>
    <t>Pěstební činnost v lesnictví</t>
  </si>
  <si>
    <t xml:space="preserve">Požární ochrana </t>
  </si>
  <si>
    <t>Pojistění majetku města</t>
  </si>
  <si>
    <t>stejná v příjmech</t>
  </si>
  <si>
    <t>Zkoušky OZ řidičské průkazy</t>
  </si>
  <si>
    <t>DPFO - přiznání - sdílená část</t>
  </si>
  <si>
    <r>
      <t>F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ri</t>
    </r>
  </si>
  <si>
    <r>
      <t>M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llerová</t>
    </r>
  </si>
  <si>
    <t>Műllerová</t>
  </si>
  <si>
    <t>Opravy budov škol</t>
  </si>
  <si>
    <t>Výdaje,daň za prodej majetku</t>
  </si>
  <si>
    <t>Mečíř</t>
  </si>
  <si>
    <t>Bedrníková</t>
  </si>
  <si>
    <t>Územní plánování</t>
  </si>
  <si>
    <t xml:space="preserve">Ost. sociální péče </t>
  </si>
  <si>
    <t>MŠ Jilemnice - příspěvek na provoz</t>
  </si>
  <si>
    <t>ZŠ Komenského- příspěvek na provoz</t>
  </si>
  <si>
    <t>ZŠ Harracha- příspěvek na provoz</t>
  </si>
  <si>
    <t>Czech Point poplatky</t>
  </si>
  <si>
    <t>Příjmy z věcných břemen pozemků</t>
  </si>
  <si>
    <t>Obnova a zachování kult. hodnot</t>
  </si>
  <si>
    <t>Opravy budov MÚ</t>
  </si>
  <si>
    <t>Právní zastoupení města</t>
  </si>
  <si>
    <t>Péče o stromovou zeleň</t>
  </si>
  <si>
    <t>Dětské centrum příspěvek na provoz</t>
  </si>
  <si>
    <t>Platba DPH za ekonomické činnosti</t>
  </si>
  <si>
    <t>Pokuty správní odbor, přestupky</t>
  </si>
  <si>
    <t>Odvody příspěvkových organizací</t>
  </si>
  <si>
    <t>Příspěvek na odpisy svěř. majetku MŠ</t>
  </si>
  <si>
    <t>Příspěvek na odpisy svěř. majetku ZŠ</t>
  </si>
  <si>
    <t>Příspěvek na odpisy svěř. majetku ZUŠ</t>
  </si>
  <si>
    <t>Příspěvek na odpisy svěř. majetku SDJ</t>
  </si>
  <si>
    <t>312,orj.10</t>
  </si>
  <si>
    <t>103, orj1,2,3,4,1111</t>
  </si>
  <si>
    <t>Stavebnictví, cestovní ruch, služby</t>
  </si>
  <si>
    <t>Územní rozvoj ( Zdravá města)</t>
  </si>
  <si>
    <t>Veřejnopr. smlouvy správní odbor</t>
  </si>
  <si>
    <t>SD Jilm - příspěvek na provoz</t>
  </si>
  <si>
    <t>Příspěvek na činnost Krkonošského muzea</t>
  </si>
  <si>
    <t xml:space="preserve">poznámka k rozpočtu </t>
  </si>
  <si>
    <t>Provoz informačního centra pro mládež</t>
  </si>
  <si>
    <t xml:space="preserve">Odvody z vybraných činností </t>
  </si>
  <si>
    <t>Příjmy za služby pronajímaných prostor</t>
  </si>
  <si>
    <t>Služby pronajímaných prostor</t>
  </si>
  <si>
    <t>Nájemné restaurace pod radnicí</t>
  </si>
  <si>
    <t>Opravy restaurace pod radnicí</t>
  </si>
  <si>
    <t>560Kč/os/rok</t>
  </si>
  <si>
    <t>Stravovadlo - Scolarest, ZŠ</t>
  </si>
  <si>
    <t>Nájemné PO města</t>
  </si>
  <si>
    <t>Kozáková</t>
  </si>
  <si>
    <t>Nováková</t>
  </si>
  <si>
    <t>Informační systém</t>
  </si>
  <si>
    <t>3,14,26</t>
  </si>
  <si>
    <t>Příjmy z úroků ( vč. fondů)</t>
  </si>
  <si>
    <t>Kompostárna - provoz (příspěvek svazku)</t>
  </si>
  <si>
    <t>Zámecký park - podium, cesty</t>
  </si>
  <si>
    <t>Jandurová</t>
  </si>
  <si>
    <t>Steinerová</t>
  </si>
  <si>
    <t>13011</t>
  </si>
  <si>
    <t>3349</t>
  </si>
  <si>
    <t>Kursové rozdíly</t>
  </si>
  <si>
    <t>z toho 100 tis. nadále propagace</t>
  </si>
  <si>
    <t>vč. akcí města</t>
  </si>
  <si>
    <t>Vinklář</t>
  </si>
  <si>
    <t>Vávrová</t>
  </si>
  <si>
    <t>700,701,702</t>
  </si>
  <si>
    <t>Dotace na výkon st. správy -  soc. práci</t>
  </si>
  <si>
    <t>Vébrová</t>
  </si>
  <si>
    <t>RM,ZM</t>
  </si>
  <si>
    <t>Vohnická</t>
  </si>
  <si>
    <t>saldo 0</t>
  </si>
  <si>
    <t>700-702</t>
  </si>
  <si>
    <t>Cyklostezka "Za prací" - projekce</t>
  </si>
  <si>
    <t>dle spl. kalendáře</t>
  </si>
  <si>
    <t>Fűri</t>
  </si>
  <si>
    <t>org</t>
  </si>
  <si>
    <t xml:space="preserve">Dotace LK na pečovatelskou službu </t>
  </si>
  <si>
    <t xml:space="preserve">Pokuty ostatní </t>
  </si>
  <si>
    <t>MMN,a.s. - příplatek mimo zákl. kapitál</t>
  </si>
  <si>
    <t>Langová</t>
  </si>
  <si>
    <t>VHS - příspěvky (úroky k úvěru Čistá Jizera)</t>
  </si>
  <si>
    <t>Šolcová</t>
  </si>
  <si>
    <t>Chodník ul. Roztocká - projekce</t>
  </si>
  <si>
    <t>Bulušek</t>
  </si>
  <si>
    <t>Finanční vypořádání z minulých let</t>
  </si>
  <si>
    <t>Dotace na výkon st. správy - soc. právní ochranu dětí</t>
  </si>
  <si>
    <t>Dotace MK ČR na obnovu památek</t>
  </si>
  <si>
    <t>Provoz čp. 259 (staré gymnázium)</t>
  </si>
  <si>
    <t>Nájemné ZŠ Libereckého kraje</t>
  </si>
  <si>
    <t>Služby ZŠ Libereckého kraje</t>
  </si>
  <si>
    <t>Nájemné budovy čp. 259</t>
  </si>
  <si>
    <t>Služby nájemníků čp. 259</t>
  </si>
  <si>
    <r>
      <t>M</t>
    </r>
    <r>
      <rPr>
        <sz val="9"/>
        <rFont val="Times New Roman"/>
        <family val="1"/>
        <charset val="238"/>
      </rPr>
      <t>ű</t>
    </r>
    <r>
      <rPr>
        <sz val="9"/>
        <rFont val="Arial CE"/>
        <family val="2"/>
        <charset val="238"/>
      </rPr>
      <t>llerová</t>
    </r>
  </si>
  <si>
    <t>ZUŠ - příspěvek na provoz, čp. 85</t>
  </si>
  <si>
    <t>dle splátkového kalendáře do r. 2026</t>
  </si>
  <si>
    <t>Sportovní centrum Jilemnice, s.r.o</t>
  </si>
  <si>
    <t>ZŠ Harracha - projekt IROP</t>
  </si>
  <si>
    <t>vyrovnávací platba</t>
  </si>
  <si>
    <t>Nonnerová</t>
  </si>
  <si>
    <t>Lambertová</t>
  </si>
  <si>
    <t>Areál Hraběnka - provoz</t>
  </si>
  <si>
    <t xml:space="preserve">SC,s.r.o -obnova a investice sportovních zařízení </t>
  </si>
  <si>
    <t>Daň z hazardních her</t>
  </si>
  <si>
    <t>Splátky úvěrů, dl. závazků</t>
  </si>
  <si>
    <t>13015</t>
  </si>
  <si>
    <t>Služby Hraběnka</t>
  </si>
  <si>
    <t>Grantový program Sport</t>
  </si>
  <si>
    <t>Sociální byty (čp. 70)</t>
  </si>
  <si>
    <t>Plán rozvoje sportu - dotace na akce</t>
  </si>
  <si>
    <t>Přijatá náhrada za neplnění úspor z projektu EPC</t>
  </si>
  <si>
    <t>Rekonstrukce MŠ Zámecká</t>
  </si>
  <si>
    <t>Richter</t>
  </si>
  <si>
    <t>Hegrová</t>
  </si>
  <si>
    <t>Příprava území k bytové výstavbě - Nouzov</t>
  </si>
  <si>
    <t>Grantový program Zdravé město</t>
  </si>
  <si>
    <t>Individuální dotace kultura a ost.</t>
  </si>
  <si>
    <t>Individuální dotace tělových. a záj. činnost</t>
  </si>
  <si>
    <t>Příjmy z úroků -z poskytn. půjček, dividend</t>
  </si>
  <si>
    <t xml:space="preserve">Přijetí  úvěru </t>
  </si>
  <si>
    <t>301, orj. 11</t>
  </si>
  <si>
    <t>Financování soc. služeb v ORP Jilemnice</t>
  </si>
  <si>
    <t>Projekt "MAS Sociání práce v Jilemnici"</t>
  </si>
  <si>
    <t>Veřejnopr. smlouvy soc. služby ORP Jilemnice</t>
  </si>
  <si>
    <t>792 příplatek MZK</t>
  </si>
  <si>
    <t>Veřejnopr. smlouvy pečovatelská služba ORP Jilemnice</t>
  </si>
  <si>
    <t>stejné v příjmech</t>
  </si>
  <si>
    <t>Projekt 4 byty, dotace v r. 2021</t>
  </si>
  <si>
    <t>Popl. z pobytu</t>
  </si>
  <si>
    <t>nový popl. ze zákona</t>
  </si>
  <si>
    <t>Dotace na projekt "MAS Sociání práce v Jilemnici"</t>
  </si>
  <si>
    <t>včetně ověřování</t>
  </si>
  <si>
    <t>Obnova retenční nádrže nad školou</t>
  </si>
  <si>
    <t>Spořilov - komunikace a kanalizace</t>
  </si>
  <si>
    <t>smlouva na 3 roky do r. 2023</t>
  </si>
  <si>
    <t>z toho 296 dotace na sportoviště</t>
  </si>
  <si>
    <t>40 dotace Svazku na podvečery</t>
  </si>
  <si>
    <t>ostatní z GP soc. služeb</t>
  </si>
  <si>
    <t>Charitní taxi</t>
  </si>
  <si>
    <t>včetně pouti a SC</t>
  </si>
  <si>
    <t>Seifertová</t>
  </si>
  <si>
    <t>Nouzov komunikace - rekonstrukce</t>
  </si>
  <si>
    <t>Udržitelná mobilita - projekt</t>
  </si>
  <si>
    <t>ZŠ při dětském centru - přístavba</t>
  </si>
  <si>
    <t>vč. provozu zahr. domku</t>
  </si>
  <si>
    <t>Smuteční síň - studie, projekt</t>
  </si>
  <si>
    <t>Příprava území k bytové výstavbě - Buben</t>
  </si>
  <si>
    <t>projekt 2020-2021</t>
  </si>
  <si>
    <t>přesun z min. let</t>
  </si>
  <si>
    <t>z toho 142 dotace na sportoviště a 1550 hor. stěna</t>
  </si>
  <si>
    <t>Rejlová</t>
  </si>
  <si>
    <t>indiv. dotace</t>
  </si>
  <si>
    <t>Otáhalová</t>
  </si>
  <si>
    <t>Šimková</t>
  </si>
  <si>
    <t>Vzdělávání</t>
  </si>
  <si>
    <t>Rozpočet 2021</t>
  </si>
  <si>
    <t>Použití krizového fondu</t>
  </si>
  <si>
    <t>Výstavba rybníka U Polesí</t>
  </si>
  <si>
    <t>Rozpočet 21</t>
  </si>
  <si>
    <t>Dotace na projekt "obnova retenční nádrže nad školou"</t>
  </si>
  <si>
    <t>přesun z r. 2020</t>
  </si>
  <si>
    <t>Dotace na projekt "sociální byty v čp. 70"</t>
  </si>
  <si>
    <t>projektové práce- přesun z r. 2020</t>
  </si>
  <si>
    <t>Přechod ulice Krkonošská</t>
  </si>
  <si>
    <t>podaná žádost o dotaci</t>
  </si>
  <si>
    <t>Projekt Modernizace zařízení pro sběr kom. odpadů</t>
  </si>
  <si>
    <t>projekt OPŽP , dotace 609</t>
  </si>
  <si>
    <t>Most  v ul. J. Weisse</t>
  </si>
  <si>
    <t>Most U Jarmary</t>
  </si>
  <si>
    <t>Příjmy místního hospodářství</t>
  </si>
  <si>
    <t>Dotace na ZŠ Harracha - projekt IROP</t>
  </si>
  <si>
    <t>střecha čp. 103,101</t>
  </si>
  <si>
    <t>v r. 2021 úroky z úvěru</t>
  </si>
  <si>
    <t>ukončení v r. 2021</t>
  </si>
  <si>
    <t>Příjmy ze služeb školního stravování</t>
  </si>
  <si>
    <t>změna vykazování služeb</t>
  </si>
  <si>
    <t>Dotace na projekt Modernizace zařízení pro sběr kom. odpadů</t>
  </si>
  <si>
    <t>Překladiště odpadů - svazek Jilemnicko</t>
  </si>
  <si>
    <t>inv. příspěvek Jilemnicko - svazek obcí</t>
  </si>
  <si>
    <t>Grantový program COVID</t>
  </si>
  <si>
    <t>Cyklostezka Hraběnka - koupaliště</t>
  </si>
  <si>
    <t>Dotace LK pro komunitní plánování</t>
  </si>
  <si>
    <t>Projekt komunitní plánování</t>
  </si>
  <si>
    <t>Projekt EPC + en. management</t>
  </si>
  <si>
    <t>Dotace na ZŠ Harracha - projekt IROP neinv.</t>
  </si>
  <si>
    <t xml:space="preserve"> grantový program</t>
  </si>
  <si>
    <t>Doplatek za volby 2020</t>
  </si>
  <si>
    <t>Rezerva zateplení odvod 2008</t>
  </si>
  <si>
    <t>NFV na předfinancování projektu "Door to door" Jilemnicku - svazku obcí</t>
  </si>
  <si>
    <t>Vratka do fondu rezerv a rozvoje</t>
  </si>
  <si>
    <t>Zůstatek z roku 2020</t>
  </si>
  <si>
    <t>dotace spolku</t>
  </si>
  <si>
    <t>45 SKI - úprava tratí</t>
  </si>
  <si>
    <t xml:space="preserve">příplatek mimo základní kapitál </t>
  </si>
  <si>
    <t>saldo 1950</t>
  </si>
  <si>
    <t>pokračování z min. let</t>
  </si>
  <si>
    <t>saldo 300</t>
  </si>
  <si>
    <t xml:space="preserve">změna ÚP </t>
  </si>
  <si>
    <t>MĚSTO JILEMNICE - Schválený rozpočet 2021 - výdaje</t>
  </si>
  <si>
    <t>Závazné ukazatele rozpočtu na rok 2021 (tis. Kč)</t>
  </si>
  <si>
    <t>Příjmy:</t>
  </si>
  <si>
    <t>Sk:</t>
  </si>
  <si>
    <t>Výdaje:</t>
  </si>
  <si>
    <t>Příjmy - výdaje:</t>
  </si>
  <si>
    <t>Financování (vyrovnání rozdílu příjmy - výdaje):</t>
  </si>
  <si>
    <r>
      <t xml:space="preserve">Zůstatek z roku 2020 </t>
    </r>
    <r>
      <rPr>
        <sz val="8"/>
        <rFont val="Arial CE"/>
        <charset val="238"/>
      </rPr>
      <t>(po naplnění FRR)</t>
    </r>
  </si>
  <si>
    <t>MĚSTO JILEMNICE - Schválený rozpočet 2021 -sumář</t>
  </si>
  <si>
    <t>MĚSTO JILEMNICE - Schválený rozpočet 2021 - příjmy</t>
  </si>
  <si>
    <t>%</t>
  </si>
  <si>
    <t>Návrh rozpočtu na rok 2021 projednán a doporučen RM dne 3. 2. 2021 pod č. usn.: pod č. usn.: 8/21</t>
  </si>
  <si>
    <t>Návrh rozpočtu na rok 2021 projednán a doporučen FV dne 1. 2. 2021</t>
  </si>
  <si>
    <t>Návrh rozpočtu na rok  2021 projednán a doporučen ve vedení města 22. 1. 2021</t>
  </si>
  <si>
    <t>Rozpočet na rok 2021 schválen ZM dne 24. 2. 2021 pod č. usn. 4/21</t>
  </si>
  <si>
    <t>Ing. Miroslava Kynčlová</t>
  </si>
  <si>
    <t>vedoucí finančního odboru</t>
  </si>
  <si>
    <t>V elektronické podobě vyvěšeno od 1. 3. 2021</t>
  </si>
  <si>
    <t>V Jilemnici 1. 3. 2021</t>
  </si>
  <si>
    <t>Hlaváč</t>
  </si>
  <si>
    <t>Malínská</t>
  </si>
  <si>
    <t>grant. program ORP</t>
  </si>
  <si>
    <t>projekt OPŽP - realizace do 30.6.2021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</si>
</sst>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#,##0.0000000"/>
    <numFmt numFmtId="166" formatCode="#,##0.000000"/>
    <numFmt numFmtId="167" formatCode="#,##0.00000"/>
    <numFmt numFmtId="168" formatCode="#,##0.000"/>
    <numFmt numFmtId="169" formatCode="d/m/yy;@"/>
    <numFmt numFmtId="170" formatCode="#,##0.0000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0"/>
      <color indexed="81"/>
      <name val="Tahoma"/>
      <family val="2"/>
      <charset val="238"/>
    </font>
    <font>
      <sz val="8"/>
      <color indexed="8"/>
      <name val="Arial CE"/>
      <charset val="238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164" fontId="3" fillId="0" borderId="2" xfId="0" applyNumberFormat="1" applyFont="1" applyBorder="1"/>
    <xf numFmtId="0" fontId="3" fillId="0" borderId="4" xfId="0" applyFont="1" applyBorder="1"/>
    <xf numFmtId="1" fontId="3" fillId="0" borderId="5" xfId="0" applyNumberFormat="1" applyFont="1" applyBorder="1" applyAlignment="1">
      <alignment horizontal="center"/>
    </xf>
    <xf numFmtId="3" fontId="5" fillId="0" borderId="7" xfId="0" applyNumberFormat="1" applyFont="1" applyBorder="1"/>
    <xf numFmtId="0" fontId="3" fillId="0" borderId="9" xfId="0" applyFont="1" applyBorder="1"/>
    <xf numFmtId="3" fontId="4" fillId="0" borderId="7" xfId="0" applyNumberFormat="1" applyFont="1" applyBorder="1"/>
    <xf numFmtId="0" fontId="3" fillId="0" borderId="0" xfId="0" applyFont="1" applyBorder="1"/>
    <xf numFmtId="3" fontId="5" fillId="0" borderId="10" xfId="0" applyNumberFormat="1" applyFont="1" applyFill="1" applyBorder="1" applyAlignment="1" applyProtection="1"/>
    <xf numFmtId="3" fontId="5" fillId="0" borderId="7" xfId="0" applyNumberFormat="1" applyFont="1" applyFill="1" applyBorder="1" applyAlignment="1" applyProtection="1"/>
    <xf numFmtId="3" fontId="4" fillId="0" borderId="10" xfId="0" applyNumberFormat="1" applyFont="1" applyFill="1" applyBorder="1" applyAlignment="1" applyProtection="1"/>
    <xf numFmtId="164" fontId="5" fillId="0" borderId="0" xfId="0" applyNumberFormat="1" applyFont="1"/>
    <xf numFmtId="0" fontId="5" fillId="0" borderId="0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right"/>
    </xf>
    <xf numFmtId="0" fontId="5" fillId="0" borderId="10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164" fontId="10" fillId="0" borderId="10" xfId="0" applyNumberFormat="1" applyFont="1" applyFill="1" applyBorder="1" applyAlignment="1" applyProtection="1">
      <alignment horizontal="right"/>
    </xf>
    <xf numFmtId="0" fontId="5" fillId="0" borderId="13" xfId="0" applyNumberFormat="1" applyFont="1" applyFill="1" applyBorder="1" applyAlignment="1" applyProtection="1"/>
    <xf numFmtId="0" fontId="11" fillId="3" borderId="16" xfId="0" applyNumberFormat="1" applyFont="1" applyFill="1" applyBorder="1" applyAlignment="1" applyProtection="1"/>
    <xf numFmtId="0" fontId="12" fillId="3" borderId="11" xfId="0" applyNumberFormat="1" applyFont="1" applyFill="1" applyBorder="1" applyAlignment="1" applyProtection="1"/>
    <xf numFmtId="0" fontId="12" fillId="3" borderId="13" xfId="0" applyNumberFormat="1" applyFont="1" applyFill="1" applyBorder="1" applyAlignment="1" applyProtection="1"/>
    <xf numFmtId="164" fontId="12" fillId="3" borderId="1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/>
    <xf numFmtId="3" fontId="4" fillId="0" borderId="2" xfId="0" applyNumberFormat="1" applyFont="1" applyFill="1" applyBorder="1" applyAlignment="1" applyProtection="1"/>
    <xf numFmtId="3" fontId="4" fillId="0" borderId="9" xfId="0" applyNumberFormat="1" applyFont="1" applyFill="1" applyBorder="1" applyAlignment="1" applyProtection="1"/>
    <xf numFmtId="3" fontId="4" fillId="0" borderId="8" xfId="0" applyNumberFormat="1" applyFont="1" applyFill="1" applyBorder="1" applyAlignment="1" applyProtection="1"/>
    <xf numFmtId="3" fontId="5" fillId="0" borderId="8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/>
    <xf numFmtId="3" fontId="4" fillId="0" borderId="12" xfId="0" applyNumberFormat="1" applyFont="1" applyFill="1" applyBorder="1" applyAlignment="1" applyProtection="1"/>
    <xf numFmtId="3" fontId="4" fillId="0" borderId="21" xfId="0" applyNumberFormat="1" applyFont="1" applyFill="1" applyBorder="1" applyAlignment="1" applyProtection="1"/>
    <xf numFmtId="3" fontId="5" fillId="0" borderId="2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3" fontId="5" fillId="0" borderId="23" xfId="0" applyNumberFormat="1" applyFont="1" applyFill="1" applyBorder="1" applyAlignment="1" applyProtection="1"/>
    <xf numFmtId="3" fontId="5" fillId="0" borderId="13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3" fontId="5" fillId="0" borderId="0" xfId="0" applyNumberFormat="1" applyFont="1"/>
    <xf numFmtId="0" fontId="4" fillId="0" borderId="2" xfId="0" applyNumberFormat="1" applyFont="1" applyFill="1" applyBorder="1" applyAlignment="1" applyProtection="1"/>
    <xf numFmtId="3" fontId="10" fillId="0" borderId="10" xfId="0" applyNumberFormat="1" applyFont="1" applyFill="1" applyBorder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3" fontId="9" fillId="0" borderId="14" xfId="0" applyNumberFormat="1" applyFont="1" applyFill="1" applyBorder="1" applyAlignment="1" applyProtection="1">
      <alignment horizontal="right"/>
    </xf>
    <xf numFmtId="3" fontId="10" fillId="2" borderId="10" xfId="0" applyNumberFormat="1" applyFont="1" applyFill="1" applyBorder="1" applyAlignment="1" applyProtection="1">
      <alignment horizontal="right"/>
    </xf>
    <xf numFmtId="0" fontId="15" fillId="0" borderId="8" xfId="0" applyFont="1" applyBorder="1"/>
    <xf numFmtId="3" fontId="9" fillId="2" borderId="10" xfId="0" applyNumberFormat="1" applyFont="1" applyFill="1" applyBorder="1" applyAlignment="1" applyProtection="1">
      <alignment horizontal="right"/>
    </xf>
    <xf numFmtId="0" fontId="4" fillId="2" borderId="10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3" fontId="5" fillId="0" borderId="25" xfId="0" applyNumberFormat="1" applyFont="1" applyBorder="1"/>
    <xf numFmtId="0" fontId="5" fillId="0" borderId="6" xfId="0" applyFont="1" applyBorder="1"/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/>
    <xf numFmtId="0" fontId="15" fillId="0" borderId="0" xfId="0" applyFont="1"/>
    <xf numFmtId="0" fontId="3" fillId="0" borderId="10" xfId="0" applyNumberFormat="1" applyFont="1" applyFill="1" applyBorder="1" applyAlignment="1" applyProtection="1"/>
    <xf numFmtId="0" fontId="15" fillId="0" borderId="10" xfId="0" applyFont="1" applyBorder="1"/>
    <xf numFmtId="0" fontId="5" fillId="0" borderId="0" xfId="0" applyFont="1" applyFill="1"/>
    <xf numFmtId="0" fontId="4" fillId="0" borderId="19" xfId="0" applyNumberFormat="1" applyFont="1" applyFill="1" applyBorder="1" applyAlignment="1" applyProtection="1"/>
    <xf numFmtId="0" fontId="5" fillId="0" borderId="26" xfId="0" applyNumberFormat="1" applyFont="1" applyFill="1" applyBorder="1" applyAlignment="1" applyProtection="1"/>
    <xf numFmtId="0" fontId="4" fillId="0" borderId="27" xfId="0" applyNumberFormat="1" applyFont="1" applyFill="1" applyBorder="1" applyAlignment="1" applyProtection="1"/>
    <xf numFmtId="0" fontId="15" fillId="0" borderId="9" xfId="0" applyFont="1" applyBorder="1"/>
    <xf numFmtId="164" fontId="15" fillId="0" borderId="0" xfId="0" applyNumberFormat="1" applyFont="1"/>
    <xf numFmtId="0" fontId="4" fillId="2" borderId="10" xfId="0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0" xfId="0" applyNumberFormat="1" applyFont="1" applyFill="1" applyBorder="1" applyAlignment="1" applyProtection="1"/>
    <xf numFmtId="0" fontId="3" fillId="2" borderId="10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>
      <alignment horizontal="right"/>
    </xf>
    <xf numFmtId="3" fontId="15" fillId="0" borderId="0" xfId="0" applyNumberFormat="1" applyFont="1"/>
    <xf numFmtId="0" fontId="5" fillId="0" borderId="10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/>
    <xf numFmtId="0" fontId="4" fillId="0" borderId="14" xfId="0" applyNumberFormat="1" applyFont="1" applyFill="1" applyBorder="1" applyAlignment="1" applyProtection="1"/>
    <xf numFmtId="0" fontId="15" fillId="0" borderId="0" xfId="0" applyFont="1" applyFill="1"/>
    <xf numFmtId="0" fontId="5" fillId="0" borderId="14" xfId="0" applyNumberFormat="1" applyFont="1" applyFill="1" applyBorder="1" applyAlignment="1" applyProtection="1"/>
    <xf numFmtId="0" fontId="15" fillId="0" borderId="14" xfId="0" applyNumberFormat="1" applyFont="1" applyFill="1" applyBorder="1" applyAlignment="1" applyProtection="1"/>
    <xf numFmtId="0" fontId="15" fillId="2" borderId="10" xfId="0" applyNumberFormat="1" applyFont="1" applyFill="1" applyBorder="1" applyAlignment="1" applyProtection="1"/>
    <xf numFmtId="3" fontId="4" fillId="0" borderId="14" xfId="0" applyNumberFormat="1" applyFont="1" applyFill="1" applyBorder="1" applyAlignment="1" applyProtection="1">
      <alignment horizontal="right"/>
    </xf>
    <xf numFmtId="0" fontId="3" fillId="0" borderId="9" xfId="0" applyNumberFormat="1" applyFont="1" applyFill="1" applyBorder="1" applyAlignment="1" applyProtection="1"/>
    <xf numFmtId="1" fontId="5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4" fontId="15" fillId="0" borderId="0" xfId="0" applyNumberFormat="1" applyFont="1"/>
    <xf numFmtId="0" fontId="5" fillId="0" borderId="7" xfId="0" applyNumberFormat="1" applyFont="1" applyFill="1" applyBorder="1" applyAlignment="1" applyProtection="1">
      <alignment horizontal="right"/>
    </xf>
    <xf numFmtId="3" fontId="9" fillId="3" borderId="13" xfId="0" applyNumberFormat="1" applyFont="1" applyFill="1" applyBorder="1" applyAlignment="1" applyProtection="1">
      <alignment horizontal="right"/>
    </xf>
    <xf numFmtId="0" fontId="15" fillId="0" borderId="4" xfId="0" applyFont="1" applyBorder="1"/>
    <xf numFmtId="0" fontId="15" fillId="0" borderId="0" xfId="0" applyFont="1" applyBorder="1"/>
    <xf numFmtId="0" fontId="4" fillId="0" borderId="28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15" fillId="0" borderId="9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/>
    <xf numFmtId="0" fontId="15" fillId="0" borderId="22" xfId="0" applyNumberFormat="1" applyFont="1" applyFill="1" applyBorder="1" applyAlignment="1" applyProtection="1"/>
    <xf numFmtId="0" fontId="5" fillId="0" borderId="29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3" fontId="15" fillId="0" borderId="0" xfId="0" applyNumberFormat="1" applyFont="1" applyFill="1"/>
    <xf numFmtId="3" fontId="10" fillId="0" borderId="15" xfId="0" applyNumberFormat="1" applyFont="1" applyFill="1" applyBorder="1" applyAlignment="1" applyProtection="1">
      <alignment horizontal="right"/>
    </xf>
    <xf numFmtId="3" fontId="5" fillId="0" borderId="15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 applyAlignment="1" applyProtection="1">
      <alignment horizontal="right"/>
    </xf>
    <xf numFmtId="3" fontId="4" fillId="0" borderId="30" xfId="0" applyNumberFormat="1" applyFont="1" applyFill="1" applyBorder="1" applyAlignment="1" applyProtection="1">
      <alignment horizontal="right"/>
    </xf>
    <xf numFmtId="3" fontId="5" fillId="0" borderId="7" xfId="0" applyNumberFormat="1" applyFont="1" applyFill="1" applyBorder="1"/>
    <xf numFmtId="0" fontId="2" fillId="0" borderId="0" xfId="0" applyFont="1" applyFill="1"/>
    <xf numFmtId="0" fontId="4" fillId="0" borderId="31" xfId="0" applyNumberFormat="1" applyFont="1" applyFill="1" applyBorder="1" applyAlignment="1" applyProtection="1">
      <alignment horizontal="center"/>
    </xf>
    <xf numFmtId="3" fontId="4" fillId="0" borderId="12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/>
    </xf>
    <xf numFmtId="3" fontId="4" fillId="0" borderId="29" xfId="0" applyNumberFormat="1" applyFont="1" applyFill="1" applyBorder="1" applyAlignment="1" applyProtection="1"/>
    <xf numFmtId="3" fontId="5" fillId="3" borderId="8" xfId="0" applyNumberFormat="1" applyFont="1" applyFill="1" applyBorder="1" applyAlignment="1" applyProtection="1"/>
    <xf numFmtId="3" fontId="6" fillId="0" borderId="9" xfId="0" applyNumberFormat="1" applyFont="1" applyFill="1" applyBorder="1" applyAlignment="1" applyProtection="1"/>
    <xf numFmtId="0" fontId="5" fillId="0" borderId="33" xfId="0" applyNumberFormat="1" applyFont="1" applyFill="1" applyBorder="1" applyAlignment="1" applyProtection="1"/>
    <xf numFmtId="0" fontId="3" fillId="0" borderId="32" xfId="0" applyFont="1" applyBorder="1"/>
    <xf numFmtId="0" fontId="3" fillId="0" borderId="34" xfId="0" applyFont="1" applyBorder="1"/>
    <xf numFmtId="0" fontId="15" fillId="0" borderId="35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right"/>
    </xf>
    <xf numFmtId="49" fontId="15" fillId="0" borderId="35" xfId="0" applyNumberFormat="1" applyFont="1" applyBorder="1" applyAlignment="1">
      <alignment horizontal="right"/>
    </xf>
    <xf numFmtId="0" fontId="15" fillId="0" borderId="34" xfId="0" applyFont="1" applyBorder="1"/>
    <xf numFmtId="0" fontId="5" fillId="0" borderId="0" xfId="0" applyFont="1" applyFill="1" applyAlignment="1"/>
    <xf numFmtId="3" fontId="5" fillId="0" borderId="0" xfId="0" applyNumberFormat="1" applyFont="1" applyFill="1" applyAlignment="1"/>
    <xf numFmtId="4" fontId="5" fillId="0" borderId="0" xfId="0" applyNumberFormat="1" applyFont="1" applyFill="1" applyAlignment="1"/>
    <xf numFmtId="49" fontId="15" fillId="0" borderId="1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right"/>
    </xf>
    <xf numFmtId="164" fontId="15" fillId="0" borderId="10" xfId="0" applyNumberFormat="1" applyFont="1" applyBorder="1" applyAlignment="1">
      <alignment horizontal="right"/>
    </xf>
    <xf numFmtId="164" fontId="5" fillId="0" borderId="10" xfId="0" applyNumberFormat="1" applyFont="1" applyFill="1" applyBorder="1" applyAlignment="1" applyProtection="1">
      <alignment horizontal="right"/>
    </xf>
    <xf numFmtId="0" fontId="4" fillId="0" borderId="10" xfId="0" applyNumberFormat="1" applyFont="1" applyFill="1" applyBorder="1" applyAlignment="1" applyProtection="1">
      <alignment horizontal="right"/>
    </xf>
    <xf numFmtId="0" fontId="4" fillId="2" borderId="10" xfId="0" applyNumberFormat="1" applyFont="1" applyFill="1" applyBorder="1" applyAlignment="1" applyProtection="1">
      <alignment horizontal="right"/>
    </xf>
    <xf numFmtId="165" fontId="10" fillId="0" borderId="10" xfId="0" applyNumberFormat="1" applyFont="1" applyFill="1" applyBorder="1" applyAlignment="1" applyProtection="1">
      <alignment horizontal="right"/>
    </xf>
    <xf numFmtId="9" fontId="5" fillId="0" borderId="10" xfId="0" applyNumberFormat="1" applyFont="1" applyFill="1" applyBorder="1" applyAlignment="1" applyProtection="1">
      <alignment horizontal="right"/>
    </xf>
    <xf numFmtId="166" fontId="5" fillId="0" borderId="10" xfId="0" applyNumberFormat="1" applyFont="1" applyFill="1" applyBorder="1" applyAlignment="1" applyProtection="1">
      <alignment horizontal="right"/>
    </xf>
    <xf numFmtId="167" fontId="5" fillId="0" borderId="14" xfId="0" applyNumberFormat="1" applyFont="1" applyFill="1" applyBorder="1" applyAlignment="1" applyProtection="1">
      <alignment horizontal="right"/>
    </xf>
    <xf numFmtId="0" fontId="5" fillId="2" borderId="10" xfId="0" applyNumberFormat="1" applyFont="1" applyFill="1" applyBorder="1" applyAlignment="1" applyProtection="1">
      <alignment horizontal="right"/>
    </xf>
    <xf numFmtId="3" fontId="4" fillId="0" borderId="10" xfId="0" applyNumberFormat="1" applyFont="1" applyFill="1" applyBorder="1" applyAlignment="1" applyProtection="1">
      <alignment horizontal="right"/>
    </xf>
    <xf numFmtId="4" fontId="10" fillId="3" borderId="24" xfId="0" applyNumberFormat="1" applyFont="1" applyFill="1" applyBorder="1" applyAlignment="1" applyProtection="1">
      <alignment horizontal="right"/>
    </xf>
    <xf numFmtId="0" fontId="15" fillId="0" borderId="30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167" fontId="15" fillId="0" borderId="15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49" fontId="5" fillId="0" borderId="10" xfId="0" applyNumberFormat="1" applyFont="1" applyFill="1" applyBorder="1" applyAlignment="1" applyProtection="1"/>
    <xf numFmtId="0" fontId="0" fillId="0" borderId="0" xfId="0" applyBorder="1" applyAlignment="1"/>
    <xf numFmtId="0" fontId="0" fillId="0" borderId="0" xfId="0" applyFill="1" applyBorder="1" applyAlignment="1"/>
    <xf numFmtId="0" fontId="15" fillId="0" borderId="31" xfId="0" applyFont="1" applyBorder="1"/>
    <xf numFmtId="3" fontId="5" fillId="5" borderId="8" xfId="0" applyNumberFormat="1" applyFont="1" applyFill="1" applyBorder="1" applyAlignment="1" applyProtection="1"/>
    <xf numFmtId="3" fontId="5" fillId="4" borderId="8" xfId="0" applyNumberFormat="1" applyFont="1" applyFill="1" applyBorder="1" applyAlignment="1" applyProtection="1"/>
    <xf numFmtId="3" fontId="5" fillId="2" borderId="8" xfId="0" applyNumberFormat="1" applyFont="1" applyFill="1" applyBorder="1" applyAlignment="1" applyProtection="1"/>
    <xf numFmtId="3" fontId="5" fillId="4" borderId="23" xfId="0" applyNumberFormat="1" applyFont="1" applyFill="1" applyBorder="1" applyAlignment="1" applyProtection="1"/>
    <xf numFmtId="3" fontId="5" fillId="5" borderId="23" xfId="0" applyNumberFormat="1" applyFont="1" applyFill="1" applyBorder="1" applyAlignment="1" applyProtection="1"/>
    <xf numFmtId="0" fontId="5" fillId="7" borderId="8" xfId="0" applyNumberFormat="1" applyFont="1" applyFill="1" applyBorder="1" applyAlignment="1" applyProtection="1"/>
    <xf numFmtId="0" fontId="15" fillId="0" borderId="21" xfId="0" applyFont="1" applyBorder="1"/>
    <xf numFmtId="0" fontId="5" fillId="6" borderId="8" xfId="0" applyFont="1" applyFill="1" applyBorder="1"/>
    <xf numFmtId="3" fontId="5" fillId="8" borderId="8" xfId="0" applyNumberFormat="1" applyFont="1" applyFill="1" applyBorder="1" applyAlignment="1" applyProtection="1"/>
    <xf numFmtId="0" fontId="15" fillId="0" borderId="37" xfId="0" applyFont="1" applyBorder="1"/>
    <xf numFmtId="3" fontId="5" fillId="6" borderId="9" xfId="0" applyNumberFormat="1" applyFont="1" applyFill="1" applyBorder="1" applyAlignment="1" applyProtection="1"/>
    <xf numFmtId="3" fontId="5" fillId="2" borderId="9" xfId="0" applyNumberFormat="1" applyFont="1" applyFill="1" applyBorder="1" applyAlignment="1" applyProtection="1"/>
    <xf numFmtId="3" fontId="5" fillId="4" borderId="22" xfId="0" applyNumberFormat="1" applyFont="1" applyFill="1" applyBorder="1" applyAlignment="1" applyProtection="1"/>
    <xf numFmtId="0" fontId="5" fillId="5" borderId="9" xfId="0" applyNumberFormat="1" applyFont="1" applyFill="1" applyBorder="1" applyAlignment="1" applyProtection="1"/>
    <xf numFmtId="3" fontId="5" fillId="4" borderId="9" xfId="0" applyNumberFormat="1" applyFont="1" applyFill="1" applyBorder="1" applyAlignment="1" applyProtection="1"/>
    <xf numFmtId="3" fontId="5" fillId="0" borderId="20" xfId="0" applyNumberFormat="1" applyFont="1" applyFill="1" applyBorder="1" applyAlignment="1" applyProtection="1"/>
    <xf numFmtId="0" fontId="5" fillId="4" borderId="9" xfId="0" applyNumberFormat="1" applyFont="1" applyFill="1" applyBorder="1" applyAlignment="1" applyProtection="1"/>
    <xf numFmtId="3" fontId="5" fillId="8" borderId="9" xfId="0" applyNumberFormat="1" applyFont="1" applyFill="1" applyBorder="1" applyAlignment="1" applyProtection="1"/>
    <xf numFmtId="0" fontId="5" fillId="3" borderId="9" xfId="0" applyFont="1" applyFill="1" applyBorder="1"/>
    <xf numFmtId="3" fontId="5" fillId="7" borderId="9" xfId="0" applyNumberFormat="1" applyFont="1" applyFill="1" applyBorder="1" applyAlignment="1" applyProtection="1"/>
    <xf numFmtId="3" fontId="5" fillId="9" borderId="9" xfId="0" applyNumberFormat="1" applyFont="1" applyFill="1" applyBorder="1" applyAlignment="1" applyProtection="1"/>
    <xf numFmtId="3" fontId="5" fillId="5" borderId="9" xfId="0" applyNumberFormat="1" applyFont="1" applyFill="1" applyBorder="1" applyAlignment="1" applyProtection="1"/>
    <xf numFmtId="0" fontId="5" fillId="5" borderId="22" xfId="0" applyNumberFormat="1" applyFont="1" applyFill="1" applyBorder="1" applyAlignment="1" applyProtection="1"/>
    <xf numFmtId="164" fontId="15" fillId="0" borderId="0" xfId="0" applyNumberFormat="1" applyFont="1" applyFill="1"/>
    <xf numFmtId="0" fontId="15" fillId="0" borderId="0" xfId="0" applyFont="1" applyFill="1" applyBorder="1"/>
    <xf numFmtId="3" fontId="17" fillId="0" borderId="0" xfId="0" applyNumberFormat="1" applyFont="1" applyFill="1" applyBorder="1" applyAlignment="1" applyProtection="1">
      <alignment horizontal="right"/>
    </xf>
    <xf numFmtId="167" fontId="15" fillId="0" borderId="0" xfId="0" applyNumberFormat="1" applyFont="1" applyAlignment="1">
      <alignment horizontal="right"/>
    </xf>
    <xf numFmtId="0" fontId="5" fillId="0" borderId="15" xfId="0" applyFont="1" applyFill="1" applyBorder="1" applyAlignment="1">
      <alignment horizontal="right"/>
    </xf>
    <xf numFmtId="3" fontId="5" fillId="0" borderId="10" xfId="0" applyNumberFormat="1" applyFont="1" applyFill="1" applyBorder="1" applyAlignment="1" applyProtection="1">
      <alignment horizontal="right"/>
    </xf>
    <xf numFmtId="168" fontId="1" fillId="0" borderId="0" xfId="0" applyNumberFormat="1" applyFont="1" applyFill="1"/>
    <xf numFmtId="168" fontId="6" fillId="0" borderId="0" xfId="0" applyNumberFormat="1" applyFont="1" applyFill="1"/>
    <xf numFmtId="3" fontId="4" fillId="0" borderId="37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/>
    <xf numFmtId="3" fontId="3" fillId="0" borderId="18" xfId="0" applyNumberFormat="1" applyFont="1" applyFill="1" applyBorder="1" applyAlignment="1" applyProtection="1">
      <alignment horizontal="right"/>
    </xf>
    <xf numFmtId="0" fontId="6" fillId="0" borderId="33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left"/>
    </xf>
    <xf numFmtId="9" fontId="4" fillId="0" borderId="4" xfId="2" applyFont="1" applyFill="1" applyBorder="1" applyAlignment="1" applyProtection="1">
      <alignment horizontal="left"/>
    </xf>
    <xf numFmtId="1" fontId="15" fillId="0" borderId="10" xfId="0" applyNumberFormat="1" applyFont="1" applyFill="1" applyBorder="1" applyAlignment="1" applyProtection="1">
      <alignment horizontal="right"/>
    </xf>
    <xf numFmtId="169" fontId="4" fillId="0" borderId="5" xfId="0" applyNumberFormat="1" applyFont="1" applyFill="1" applyBorder="1" applyAlignment="1" applyProtection="1">
      <alignment horizontal="center"/>
    </xf>
    <xf numFmtId="3" fontId="17" fillId="0" borderId="10" xfId="0" applyNumberFormat="1" applyFont="1" applyFill="1" applyBorder="1" applyAlignment="1" applyProtection="1">
      <alignment horizontal="right"/>
    </xf>
    <xf numFmtId="4" fontId="5" fillId="0" borderId="10" xfId="0" applyNumberFormat="1" applyFont="1" applyFill="1" applyBorder="1" applyAlignment="1" applyProtection="1">
      <alignment horizontal="right"/>
    </xf>
    <xf numFmtId="0" fontId="4" fillId="0" borderId="33" xfId="0" applyNumberFormat="1" applyFont="1" applyFill="1" applyBorder="1" applyAlignment="1" applyProtection="1"/>
    <xf numFmtId="3" fontId="17" fillId="9" borderId="8" xfId="0" applyNumberFormat="1" applyFont="1" applyFill="1" applyBorder="1" applyAlignment="1" applyProtection="1">
      <alignment horizontal="left"/>
    </xf>
    <xf numFmtId="3" fontId="6" fillId="9" borderId="9" xfId="0" applyNumberFormat="1" applyFont="1" applyFill="1" applyBorder="1" applyAlignment="1" applyProtection="1"/>
    <xf numFmtId="0" fontId="5" fillId="0" borderId="33" xfId="0" applyFont="1" applyFill="1" applyBorder="1"/>
    <xf numFmtId="0" fontId="4" fillId="0" borderId="39" xfId="0" applyNumberFormat="1" applyFont="1" applyFill="1" applyBorder="1" applyAlignment="1" applyProtection="1">
      <alignment horizontal="center"/>
    </xf>
    <xf numFmtId="0" fontId="4" fillId="0" borderId="40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5" fillId="2" borderId="33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/>
    <xf numFmtId="0" fontId="5" fillId="4" borderId="22" xfId="0" applyNumberFormat="1" applyFont="1" applyFill="1" applyBorder="1" applyAlignment="1" applyProtection="1"/>
    <xf numFmtId="3" fontId="5" fillId="2" borderId="23" xfId="0" applyNumberFormat="1" applyFont="1" applyFill="1" applyBorder="1" applyAlignment="1" applyProtection="1"/>
    <xf numFmtId="0" fontId="4" fillId="0" borderId="28" xfId="0" applyNumberFormat="1" applyFont="1" applyFill="1" applyBorder="1" applyAlignment="1" applyProtection="1">
      <alignment horizontal="center"/>
    </xf>
    <xf numFmtId="0" fontId="8" fillId="0" borderId="8" xfId="0" applyFont="1" applyBorder="1"/>
    <xf numFmtId="0" fontId="8" fillId="0" borderId="6" xfId="0" applyFont="1" applyBorder="1"/>
    <xf numFmtId="0" fontId="5" fillId="5" borderId="9" xfId="0" applyFont="1" applyFill="1" applyBorder="1"/>
    <xf numFmtId="0" fontId="5" fillId="5" borderId="22" xfId="0" applyFont="1" applyFill="1" applyBorder="1"/>
    <xf numFmtId="0" fontId="5" fillId="0" borderId="4" xfId="0" applyNumberFormat="1" applyFont="1" applyFill="1" applyBorder="1" applyAlignment="1" applyProtection="1"/>
    <xf numFmtId="0" fontId="5" fillId="0" borderId="10" xfId="0" applyFont="1" applyFill="1" applyBorder="1"/>
    <xf numFmtId="3" fontId="5" fillId="0" borderId="7" xfId="0" applyNumberFormat="1" applyFont="1" applyFill="1" applyBorder="1" applyAlignment="1" applyProtection="1">
      <alignment horizontal="right"/>
    </xf>
    <xf numFmtId="4" fontId="15" fillId="0" borderId="0" xfId="0" applyNumberFormat="1" applyFont="1" applyFill="1"/>
    <xf numFmtId="3" fontId="0" fillId="0" borderId="0" xfId="0" applyNumberFormat="1"/>
    <xf numFmtId="3" fontId="15" fillId="0" borderId="10" xfId="0" applyNumberFormat="1" applyFont="1" applyBorder="1" applyAlignment="1">
      <alignment horizontal="right"/>
    </xf>
    <xf numFmtId="3" fontId="6" fillId="0" borderId="8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/>
    <xf numFmtId="0" fontId="22" fillId="0" borderId="13" xfId="0" applyNumberFormat="1" applyFont="1" applyFill="1" applyBorder="1" applyAlignment="1" applyProtection="1"/>
    <xf numFmtId="0" fontId="22" fillId="5" borderId="22" xfId="0" applyFont="1" applyFill="1" applyBorder="1"/>
    <xf numFmtId="3" fontId="22" fillId="5" borderId="23" xfId="0" applyNumberFormat="1" applyFont="1" applyFill="1" applyBorder="1" applyAlignment="1" applyProtection="1"/>
    <xf numFmtId="0" fontId="22" fillId="0" borderId="0" xfId="0" applyFont="1"/>
    <xf numFmtId="0" fontId="5" fillId="10" borderId="33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4" fontId="0" fillId="0" borderId="0" xfId="0" applyNumberFormat="1" applyFill="1" applyBorder="1" applyAlignment="1"/>
    <xf numFmtId="3" fontId="5" fillId="0" borderId="36" xfId="0" applyNumberFormat="1" applyFont="1" applyFill="1" applyBorder="1" applyAlignment="1" applyProtection="1"/>
    <xf numFmtId="1" fontId="5" fillId="0" borderId="10" xfId="0" applyNumberFormat="1" applyFont="1" applyFill="1" applyBorder="1" applyAlignment="1" applyProtection="1"/>
    <xf numFmtId="170" fontId="4" fillId="0" borderId="10" xfId="0" applyNumberFormat="1" applyFont="1" applyFill="1" applyBorder="1"/>
    <xf numFmtId="4" fontId="5" fillId="0" borderId="0" xfId="0" applyNumberFormat="1" applyFont="1" applyFill="1"/>
    <xf numFmtId="0" fontId="5" fillId="0" borderId="14" xfId="0" applyNumberFormat="1" applyFont="1" applyFill="1" applyBorder="1" applyAlignment="1" applyProtection="1">
      <alignment horizontal="right"/>
    </xf>
    <xf numFmtId="4" fontId="15" fillId="0" borderId="0" xfId="0" applyNumberFormat="1" applyFont="1" applyFill="1" applyBorder="1"/>
    <xf numFmtId="167" fontId="15" fillId="0" borderId="0" xfId="0" applyNumberFormat="1" applyFont="1" applyFill="1" applyBorder="1"/>
    <xf numFmtId="0" fontId="5" fillId="0" borderId="19" xfId="0" applyNumberFormat="1" applyFont="1" applyFill="1" applyBorder="1" applyAlignment="1" applyProtection="1"/>
    <xf numFmtId="0" fontId="5" fillId="0" borderId="28" xfId="0" applyNumberFormat="1" applyFont="1" applyFill="1" applyBorder="1" applyAlignment="1" applyProtection="1"/>
    <xf numFmtId="4" fontId="4" fillId="0" borderId="38" xfId="0" applyNumberFormat="1" applyFont="1" applyFill="1" applyBorder="1" applyAlignment="1" applyProtection="1">
      <alignment horizontal="center"/>
    </xf>
    <xf numFmtId="3" fontId="5" fillId="4" borderId="15" xfId="0" applyNumberFormat="1" applyFont="1" applyFill="1" applyBorder="1" applyAlignment="1" applyProtection="1"/>
    <xf numFmtId="4" fontId="4" fillId="0" borderId="33" xfId="0" applyNumberFormat="1" applyFont="1" applyFill="1" applyBorder="1" applyAlignment="1" applyProtection="1">
      <alignment horizontal="center"/>
    </xf>
    <xf numFmtId="170" fontId="4" fillId="0" borderId="12" xfId="0" applyNumberFormat="1" applyFont="1" applyFill="1" applyBorder="1" applyAlignment="1" applyProtection="1"/>
    <xf numFmtId="3" fontId="7" fillId="0" borderId="0" xfId="0" applyNumberFormat="1" applyFont="1" applyFill="1"/>
    <xf numFmtId="3" fontId="4" fillId="0" borderId="31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3" fontId="5" fillId="11" borderId="9" xfId="0" applyNumberFormat="1" applyFont="1" applyFill="1" applyBorder="1" applyAlignment="1" applyProtection="1"/>
    <xf numFmtId="0" fontId="5" fillId="10" borderId="10" xfId="0" applyNumberFormat="1" applyFont="1" applyFill="1" applyBorder="1" applyAlignment="1" applyProtection="1"/>
    <xf numFmtId="0" fontId="0" fillId="0" borderId="0" xfId="0"/>
    <xf numFmtId="0" fontId="15" fillId="0" borderId="0" xfId="0" applyFont="1"/>
    <xf numFmtId="168" fontId="0" fillId="0" borderId="0" xfId="0" applyNumberFormat="1" applyFont="1" applyFill="1"/>
    <xf numFmtId="0" fontId="3" fillId="0" borderId="0" xfId="0" applyFont="1" applyFill="1"/>
    <xf numFmtId="4" fontId="0" fillId="0" borderId="0" xfId="0" applyNumberFormat="1" applyFont="1" applyFill="1" applyBorder="1"/>
    <xf numFmtId="10" fontId="15" fillId="0" borderId="0" xfId="2" applyNumberFormat="1" applyFont="1"/>
    <xf numFmtId="167" fontId="5" fillId="0" borderId="0" xfId="0" applyNumberFormat="1" applyFont="1" applyFill="1" applyBorder="1" applyAlignment="1" applyProtection="1">
      <alignment horizontal="right"/>
    </xf>
    <xf numFmtId="0" fontId="5" fillId="0" borderId="8" xfId="0" applyNumberFormat="1" applyFont="1" applyFill="1" applyBorder="1" applyAlignment="1" applyProtection="1"/>
    <xf numFmtId="0" fontId="7" fillId="0" borderId="0" xfId="0" applyFont="1"/>
    <xf numFmtId="0" fontId="0" fillId="0" borderId="41" xfId="0" applyBorder="1"/>
    <xf numFmtId="0" fontId="15" fillId="0" borderId="41" xfId="0" applyFont="1" applyBorder="1"/>
    <xf numFmtId="3" fontId="0" fillId="0" borderId="41" xfId="0" applyNumberFormat="1" applyBorder="1"/>
    <xf numFmtId="0" fontId="3" fillId="0" borderId="41" xfId="0" applyFont="1" applyBorder="1"/>
    <xf numFmtId="3" fontId="7" fillId="0" borderId="41" xfId="0" applyNumberFormat="1" applyFont="1" applyBorder="1"/>
    <xf numFmtId="0" fontId="0" fillId="0" borderId="41" xfId="0" applyNumberFormat="1" applyFont="1" applyFill="1" applyBorder="1" applyAlignment="1" applyProtection="1"/>
    <xf numFmtId="3" fontId="0" fillId="0" borderId="41" xfId="0" applyNumberFormat="1" applyFont="1" applyBorder="1"/>
    <xf numFmtId="0" fontId="0" fillId="0" borderId="41" xfId="0" applyFill="1" applyBorder="1"/>
    <xf numFmtId="0" fontId="7" fillId="0" borderId="41" xfId="0" applyNumberFormat="1" applyFont="1" applyFill="1" applyBorder="1" applyAlignment="1" applyProtection="1"/>
    <xf numFmtId="3" fontId="7" fillId="0" borderId="0" xfId="0" applyNumberFormat="1" applyFont="1"/>
    <xf numFmtId="0" fontId="7" fillId="0" borderId="41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/>
    <xf numFmtId="9" fontId="5" fillId="0" borderId="8" xfId="0" applyNumberFormat="1" applyFont="1" applyBorder="1"/>
    <xf numFmtId="9" fontId="4" fillId="0" borderId="8" xfId="0" applyNumberFormat="1" applyFont="1" applyBorder="1"/>
    <xf numFmtId="0" fontId="5" fillId="0" borderId="8" xfId="0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6" xfId="0" applyNumberFormat="1" applyFont="1" applyBorder="1"/>
    <xf numFmtId="0" fontId="4" fillId="0" borderId="42" xfId="0" applyNumberFormat="1" applyFont="1" applyFill="1" applyBorder="1" applyAlignment="1" applyProtection="1">
      <alignment horizontal="center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colors>
    <mruColors>
      <color rgb="FFFFFF99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F66"/>
  <sheetViews>
    <sheetView tabSelected="1" zoomScaleNormal="100" workbookViewId="0">
      <selection activeCell="B52" sqref="B52"/>
    </sheetView>
  </sheetViews>
  <sheetFormatPr defaultColWidth="7.85546875" defaultRowHeight="12.75" x14ac:dyDescent="0.2"/>
  <cols>
    <col min="1" max="1" width="7.42578125" style="65" customWidth="1"/>
    <col min="2" max="2" width="22.85546875" style="65" customWidth="1"/>
    <col min="3" max="3" width="10.28515625" style="73" customWidth="1"/>
    <col min="4" max="16384" width="7.85546875" style="65"/>
  </cols>
  <sheetData>
    <row r="1" spans="1:4" s="1" customFormat="1" ht="18" x14ac:dyDescent="0.25">
      <c r="B1" s="75" t="s">
        <v>376</v>
      </c>
      <c r="C1" s="2"/>
    </row>
    <row r="2" spans="1:4" s="1" customFormat="1" ht="15.75" x14ac:dyDescent="0.25">
      <c r="B2" s="247" t="s">
        <v>382</v>
      </c>
      <c r="C2" s="110"/>
    </row>
    <row r="3" spans="1:4" s="1" customFormat="1" ht="15.75" x14ac:dyDescent="0.25">
      <c r="B3" s="247" t="s">
        <v>379</v>
      </c>
      <c r="C3" s="110"/>
    </row>
    <row r="4" spans="1:4" s="1" customFormat="1" ht="15.75" x14ac:dyDescent="0.25">
      <c r="B4" s="247" t="s">
        <v>380</v>
      </c>
      <c r="C4" s="110"/>
    </row>
    <row r="5" spans="1:4" s="1" customFormat="1" ht="15.75" x14ac:dyDescent="0.25">
      <c r="B5" s="247" t="s">
        <v>381</v>
      </c>
      <c r="C5" s="2"/>
    </row>
    <row r="6" spans="1:4" ht="13.5" thickBot="1" x14ac:dyDescent="0.25">
      <c r="B6" s="3" t="s">
        <v>131</v>
      </c>
    </row>
    <row r="7" spans="1:4" s="3" customFormat="1" x14ac:dyDescent="0.2">
      <c r="A7" s="119"/>
      <c r="B7" s="4"/>
      <c r="C7" s="5" t="s">
        <v>2</v>
      </c>
      <c r="D7" s="264" t="s">
        <v>378</v>
      </c>
    </row>
    <row r="8" spans="1:4" s="3" customFormat="1" ht="13.5" thickBot="1" x14ac:dyDescent="0.25">
      <c r="A8" s="120"/>
      <c r="B8" s="6"/>
      <c r="C8" s="7">
        <v>2021</v>
      </c>
      <c r="D8" s="265"/>
    </row>
    <row r="9" spans="1:4" x14ac:dyDescent="0.2">
      <c r="A9" s="121"/>
      <c r="B9" s="72" t="s">
        <v>3</v>
      </c>
      <c r="C9" s="8">
        <f>příjmy!F115</f>
        <v>87644</v>
      </c>
      <c r="D9" s="266">
        <f>C9/C13</f>
        <v>0.50757211608068431</v>
      </c>
    </row>
    <row r="10" spans="1:4" x14ac:dyDescent="0.2">
      <c r="A10" s="121"/>
      <c r="B10" s="72" t="s">
        <v>4</v>
      </c>
      <c r="C10" s="8">
        <f>příjmy!F116</f>
        <v>26774</v>
      </c>
      <c r="D10" s="266">
        <f>C10/C13</f>
        <v>0.15505608867628407</v>
      </c>
    </row>
    <row r="11" spans="1:4" x14ac:dyDescent="0.2">
      <c r="A11" s="121"/>
      <c r="B11" s="72" t="s">
        <v>5</v>
      </c>
      <c r="C11" s="8">
        <f>příjmy!F119</f>
        <v>5949</v>
      </c>
      <c r="D11" s="266">
        <f>C11/C13</f>
        <v>3.4452404255442368E-2</v>
      </c>
    </row>
    <row r="12" spans="1:4" x14ac:dyDescent="0.2">
      <c r="A12" s="121"/>
      <c r="B12" s="72" t="s">
        <v>6</v>
      </c>
      <c r="C12" s="8">
        <f>příjmy!F117+příjmy!F120</f>
        <v>52306</v>
      </c>
      <c r="D12" s="266">
        <f>C12/C13</f>
        <v>0.30291939098758924</v>
      </c>
    </row>
    <row r="13" spans="1:4" s="3" customFormat="1" x14ac:dyDescent="0.2">
      <c r="A13" s="122"/>
      <c r="B13" s="9" t="s">
        <v>7</v>
      </c>
      <c r="C13" s="10">
        <f>SUM(C9:C12)</f>
        <v>172673</v>
      </c>
      <c r="D13" s="267">
        <f>SUM(D9:D12)</f>
        <v>1</v>
      </c>
    </row>
    <row r="14" spans="1:4" x14ac:dyDescent="0.2">
      <c r="A14" s="121"/>
      <c r="B14" s="72" t="s">
        <v>8</v>
      </c>
      <c r="C14" s="8">
        <f>+výdaje!E120</f>
        <v>154729</v>
      </c>
      <c r="D14" s="266">
        <f>C14/C16</f>
        <v>0.7661899715765601</v>
      </c>
    </row>
    <row r="15" spans="1:4" x14ac:dyDescent="0.2">
      <c r="A15" s="121"/>
      <c r="B15" s="72" t="s">
        <v>9</v>
      </c>
      <c r="C15" s="8">
        <f>+výdaje!F120</f>
        <v>47217</v>
      </c>
      <c r="D15" s="266">
        <f>C15/C16</f>
        <v>0.23381002842343993</v>
      </c>
    </row>
    <row r="16" spans="1:4" s="3" customFormat="1" x14ac:dyDescent="0.2">
      <c r="A16" s="122"/>
      <c r="B16" s="9" t="s">
        <v>10</v>
      </c>
      <c r="C16" s="10">
        <f>SUM(C14:C15)</f>
        <v>201946</v>
      </c>
      <c r="D16" s="267">
        <v>1</v>
      </c>
    </row>
    <row r="17" spans="1:4" x14ac:dyDescent="0.2">
      <c r="A17" s="121"/>
      <c r="B17" s="72"/>
      <c r="C17" s="8"/>
      <c r="D17" s="268"/>
    </row>
    <row r="18" spans="1:4" s="3" customFormat="1" x14ac:dyDescent="0.2">
      <c r="A18" s="122"/>
      <c r="B18" s="9" t="s">
        <v>11</v>
      </c>
      <c r="C18" s="10">
        <f>C13-C16</f>
        <v>-29273</v>
      </c>
      <c r="D18" s="269"/>
    </row>
    <row r="19" spans="1:4" x14ac:dyDescent="0.2">
      <c r="A19" s="121"/>
      <c r="B19" s="72"/>
      <c r="C19" s="8"/>
      <c r="D19" s="268"/>
    </row>
    <row r="20" spans="1:4" s="3" customFormat="1" x14ac:dyDescent="0.2">
      <c r="A20" s="123" t="s">
        <v>12</v>
      </c>
      <c r="B20" s="9" t="s">
        <v>13</v>
      </c>
      <c r="C20" s="10"/>
      <c r="D20" s="269"/>
    </row>
    <row r="21" spans="1:4" x14ac:dyDescent="0.2">
      <c r="A21" s="121">
        <v>8124</v>
      </c>
      <c r="B21" s="72" t="s">
        <v>274</v>
      </c>
      <c r="C21" s="109">
        <f>-2255-2000</f>
        <v>-4255</v>
      </c>
      <c r="D21" s="268"/>
    </row>
    <row r="22" spans="1:4" x14ac:dyDescent="0.2">
      <c r="A22" s="124"/>
      <c r="B22" s="72"/>
      <c r="C22" s="109"/>
      <c r="D22" s="268"/>
    </row>
    <row r="23" spans="1:4" x14ac:dyDescent="0.2">
      <c r="A23" s="121">
        <v>8123</v>
      </c>
      <c r="B23" s="72" t="s">
        <v>289</v>
      </c>
      <c r="C23" s="12">
        <v>0</v>
      </c>
      <c r="D23" s="268"/>
    </row>
    <row r="24" spans="1:4" x14ac:dyDescent="0.2">
      <c r="A24" s="121">
        <v>8115</v>
      </c>
      <c r="B24" s="72" t="s">
        <v>326</v>
      </c>
      <c r="C24" s="13"/>
      <c r="D24" s="268"/>
    </row>
    <row r="25" spans="1:4" s="245" customFormat="1" x14ac:dyDescent="0.2">
      <c r="A25" s="121">
        <v>8115</v>
      </c>
      <c r="B25" s="72" t="s">
        <v>359</v>
      </c>
      <c r="C25" s="13">
        <v>-2770</v>
      </c>
      <c r="D25" s="268"/>
    </row>
    <row r="26" spans="1:4" x14ac:dyDescent="0.2">
      <c r="A26" s="121">
        <v>8115</v>
      </c>
      <c r="B26" s="72" t="s">
        <v>360</v>
      </c>
      <c r="C26" s="109">
        <v>36298</v>
      </c>
      <c r="D26" s="268"/>
    </row>
    <row r="27" spans="1:4" x14ac:dyDescent="0.2">
      <c r="A27" s="121"/>
      <c r="B27" s="72"/>
      <c r="C27" s="8"/>
      <c r="D27" s="268"/>
    </row>
    <row r="28" spans="1:4" x14ac:dyDescent="0.2">
      <c r="A28" s="121"/>
      <c r="B28" s="9" t="s">
        <v>116</v>
      </c>
      <c r="C28" s="228">
        <f>-C21-C23+C30-C26-C22-C24-C25</f>
        <v>0</v>
      </c>
      <c r="D28" s="270"/>
    </row>
    <row r="29" spans="1:4" s="3" customFormat="1" x14ac:dyDescent="0.2">
      <c r="A29" s="122"/>
      <c r="B29" s="72"/>
      <c r="C29" s="10"/>
      <c r="D29" s="270"/>
    </row>
    <row r="30" spans="1:4" ht="13.5" thickBot="1" x14ac:dyDescent="0.25">
      <c r="A30" s="125"/>
      <c r="B30" s="95" t="s">
        <v>14</v>
      </c>
      <c r="C30" s="61">
        <f>-C18</f>
        <v>29273</v>
      </c>
      <c r="D30" s="271"/>
    </row>
    <row r="31" spans="1:4" x14ac:dyDescent="0.2">
      <c r="C31" s="15"/>
    </row>
    <row r="32" spans="1:4" x14ac:dyDescent="0.2">
      <c r="B32" s="229"/>
      <c r="C32" s="177"/>
    </row>
    <row r="33" spans="2:6" ht="12.75" customHeight="1" x14ac:dyDescent="0.2">
      <c r="B33" s="246" t="s">
        <v>385</v>
      </c>
      <c r="C33" s="68"/>
      <c r="D33" s="245"/>
      <c r="E33" s="245"/>
      <c r="F33" s="245"/>
    </row>
    <row r="34" spans="2:6" x14ac:dyDescent="0.2">
      <c r="B34" s="183"/>
      <c r="C34" s="68"/>
      <c r="D34" s="245"/>
      <c r="E34" s="245"/>
      <c r="F34" s="245"/>
    </row>
    <row r="35" spans="2:6" s="245" customFormat="1" x14ac:dyDescent="0.2">
      <c r="B35" s="183"/>
      <c r="C35" s="68"/>
    </row>
    <row r="36" spans="2:6" s="245" customFormat="1" x14ac:dyDescent="0.2">
      <c r="B36" s="183"/>
      <c r="C36" s="68"/>
    </row>
    <row r="37" spans="2:6" x14ac:dyDescent="0.2">
      <c r="B37" s="183"/>
      <c r="C37" s="229"/>
      <c r="D37" s="245"/>
      <c r="E37" s="245"/>
      <c r="F37" s="245"/>
    </row>
    <row r="38" spans="2:6" x14ac:dyDescent="0.2">
      <c r="B38" s="183"/>
      <c r="C38" s="177"/>
      <c r="D38" s="245"/>
      <c r="E38" s="245"/>
      <c r="F38" s="245"/>
    </row>
    <row r="39" spans="2:6" x14ac:dyDescent="0.2">
      <c r="B39" s="183"/>
      <c r="C39" s="177"/>
      <c r="D39" s="245" t="s">
        <v>383</v>
      </c>
      <c r="E39" s="245"/>
      <c r="F39" s="245"/>
    </row>
    <row r="40" spans="2:6" x14ac:dyDescent="0.2">
      <c r="B40" s="246" t="s">
        <v>386</v>
      </c>
      <c r="C40" s="177"/>
      <c r="D40" s="245" t="s">
        <v>384</v>
      </c>
      <c r="E40" s="245"/>
      <c r="F40" s="245"/>
    </row>
    <row r="41" spans="2:6" x14ac:dyDescent="0.2">
      <c r="B41" s="183"/>
      <c r="C41" s="177"/>
    </row>
    <row r="42" spans="2:6" x14ac:dyDescent="0.2">
      <c r="B42" s="183"/>
      <c r="C42" s="177"/>
    </row>
    <row r="43" spans="2:6" x14ac:dyDescent="0.2">
      <c r="B43" s="184"/>
      <c r="C43" s="177"/>
    </row>
    <row r="44" spans="2:6" x14ac:dyDescent="0.2">
      <c r="B44" s="184"/>
      <c r="C44" s="177"/>
    </row>
    <row r="45" spans="2:6" x14ac:dyDescent="0.2">
      <c r="B45" s="183"/>
      <c r="C45" s="177"/>
    </row>
    <row r="46" spans="2:6" x14ac:dyDescent="0.2">
      <c r="B46" s="183"/>
      <c r="C46" s="177"/>
    </row>
    <row r="47" spans="2:6" x14ac:dyDescent="0.2">
      <c r="B47" s="183"/>
      <c r="C47" s="177"/>
    </row>
    <row r="48" spans="2:6" x14ac:dyDescent="0.2">
      <c r="B48" s="183"/>
      <c r="C48" s="177"/>
    </row>
    <row r="49" spans="2:3" x14ac:dyDescent="0.2">
      <c r="B49" s="183"/>
      <c r="C49" s="177"/>
    </row>
    <row r="50" spans="2:3" x14ac:dyDescent="0.2">
      <c r="B50" s="183"/>
      <c r="C50" s="177"/>
    </row>
    <row r="51" spans="2:3" x14ac:dyDescent="0.2">
      <c r="B51" s="183"/>
      <c r="C51" s="177"/>
    </row>
    <row r="52" spans="2:3" x14ac:dyDescent="0.2">
      <c r="B52" s="183"/>
      <c r="C52" s="177"/>
    </row>
    <row r="53" spans="2:3" x14ac:dyDescent="0.2">
      <c r="B53" s="183"/>
      <c r="C53" s="177"/>
    </row>
    <row r="54" spans="2:3" x14ac:dyDescent="0.2">
      <c r="B54" s="183"/>
      <c r="C54" s="177"/>
    </row>
    <row r="55" spans="2:3" x14ac:dyDescent="0.2">
      <c r="B55" s="183"/>
      <c r="C55" s="177"/>
    </row>
    <row r="56" spans="2:3" x14ac:dyDescent="0.2">
      <c r="B56" s="184"/>
      <c r="C56" s="177"/>
    </row>
    <row r="57" spans="2:3" x14ac:dyDescent="0.2">
      <c r="B57" s="184"/>
      <c r="C57" s="177"/>
    </row>
    <row r="58" spans="2:3" x14ac:dyDescent="0.2">
      <c r="B58" s="184"/>
      <c r="C58" s="177"/>
    </row>
    <row r="59" spans="2:3" x14ac:dyDescent="0.2">
      <c r="B59" s="184"/>
      <c r="C59" s="177"/>
    </row>
    <row r="60" spans="2:3" x14ac:dyDescent="0.2">
      <c r="B60" s="184"/>
      <c r="C60" s="177"/>
    </row>
    <row r="61" spans="2:3" x14ac:dyDescent="0.2">
      <c r="B61" s="184"/>
      <c r="C61" s="177"/>
    </row>
    <row r="62" spans="2:3" x14ac:dyDescent="0.2">
      <c r="B62" s="184"/>
      <c r="C62" s="177"/>
    </row>
    <row r="63" spans="2:3" x14ac:dyDescent="0.2">
      <c r="B63" s="184"/>
      <c r="C63" s="177"/>
    </row>
    <row r="64" spans="2:3" x14ac:dyDescent="0.2">
      <c r="B64" s="184"/>
      <c r="C64" s="177"/>
    </row>
    <row r="65" spans="2:3" x14ac:dyDescent="0.2">
      <c r="B65" s="184"/>
      <c r="C65" s="177"/>
    </row>
    <row r="66" spans="2:3" x14ac:dyDescent="0.2">
      <c r="B66" s="84"/>
      <c r="C66" s="177"/>
    </row>
  </sheetData>
  <phoneticPr fontId="6" type="noConversion"/>
  <pageMargins left="0.35433070866141736" right="0.27559055118110237" top="0.59055118110236227" bottom="0" header="0.23622047244094491" footer="0.27559055118110237"/>
  <pageSetup paperSize="9" orientation="portrait" r:id="rId1"/>
  <headerFooter alignWithMargins="0">
    <oddHeader>&amp;R&amp;P. strana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O150"/>
  <sheetViews>
    <sheetView zoomScaleNormal="100" workbookViewId="0">
      <pane ySplit="3" topLeftCell="A73" activePane="bottomLeft" state="frozen"/>
      <selection pane="bottomLeft" activeCell="J75" sqref="J75"/>
    </sheetView>
  </sheetViews>
  <sheetFormatPr defaultColWidth="7.85546875" defaultRowHeight="12.75" x14ac:dyDescent="0.2"/>
  <cols>
    <col min="1" max="1" width="4" style="65" customWidth="1"/>
    <col min="2" max="2" width="4.42578125" style="65" customWidth="1"/>
    <col min="3" max="4" width="5.28515625" style="65" customWidth="1"/>
    <col min="5" max="5" width="30" style="65" customWidth="1"/>
    <col min="6" max="6" width="10" style="80" customWidth="1"/>
    <col min="7" max="7" width="19.28515625" style="149" customWidth="1"/>
    <col min="8" max="8" width="9.5703125" style="65" customWidth="1"/>
    <col min="9" max="9" width="7.85546875" style="65"/>
    <col min="10" max="10" width="8.140625" style="65" bestFit="1" customWidth="1"/>
    <col min="11" max="11" width="9.42578125" style="65" customWidth="1"/>
    <col min="12" max="14" width="7.85546875" style="65"/>
    <col min="15" max="15" width="13.85546875" style="65" customWidth="1"/>
    <col min="16" max="16384" width="7.85546875" style="65"/>
  </cols>
  <sheetData>
    <row r="1" spans="1:12" ht="18" x14ac:dyDescent="0.25">
      <c r="A1" s="75" t="s">
        <v>377</v>
      </c>
      <c r="B1" s="16"/>
      <c r="C1" s="76"/>
      <c r="D1" s="16"/>
      <c r="E1" s="16"/>
      <c r="F1" s="107"/>
      <c r="G1" s="250"/>
    </row>
    <row r="2" spans="1:12" x14ac:dyDescent="0.2">
      <c r="A2" s="17"/>
      <c r="B2" s="17"/>
      <c r="C2" s="17"/>
      <c r="D2" s="17"/>
      <c r="E2" s="238"/>
      <c r="F2" s="112" t="s">
        <v>328</v>
      </c>
      <c r="G2" s="131" t="s">
        <v>15</v>
      </c>
    </row>
    <row r="3" spans="1:12" ht="13.5" thickBot="1" x14ac:dyDescent="0.25">
      <c r="A3" s="18"/>
      <c r="B3" s="18" t="s">
        <v>16</v>
      </c>
      <c r="C3" s="19" t="s">
        <v>17</v>
      </c>
      <c r="D3" s="18" t="s">
        <v>18</v>
      </c>
      <c r="E3" s="18" t="s">
        <v>19</v>
      </c>
      <c r="F3" s="192"/>
      <c r="G3" s="20" t="s">
        <v>93</v>
      </c>
    </row>
    <row r="4" spans="1:12" x14ac:dyDescent="0.2">
      <c r="A4" s="78" t="s">
        <v>20</v>
      </c>
      <c r="B4" s="59"/>
      <c r="C4" s="78"/>
      <c r="D4" s="59"/>
      <c r="E4" s="78" t="s">
        <v>21</v>
      </c>
      <c r="F4" s="58"/>
      <c r="G4" s="74"/>
      <c r="H4" s="149"/>
    </row>
    <row r="5" spans="1:12" x14ac:dyDescent="0.2">
      <c r="A5" s="66" t="s">
        <v>22</v>
      </c>
      <c r="B5" s="22"/>
      <c r="C5" s="66"/>
      <c r="D5" s="22"/>
      <c r="E5" s="22"/>
      <c r="F5" s="54">
        <f>SUM(F6:F12)</f>
        <v>72124</v>
      </c>
      <c r="G5" s="216"/>
    </row>
    <row r="6" spans="1:12" x14ac:dyDescent="0.2">
      <c r="A6" s="77" t="s">
        <v>23</v>
      </c>
      <c r="B6" s="21">
        <v>1111</v>
      </c>
      <c r="C6" s="77"/>
      <c r="D6" s="79"/>
      <c r="E6" s="21" t="s">
        <v>96</v>
      </c>
      <c r="F6" s="53">
        <v>12000</v>
      </c>
      <c r="G6" s="24" t="s">
        <v>101</v>
      </c>
      <c r="H6" s="51"/>
    </row>
    <row r="7" spans="1:12" x14ac:dyDescent="0.2">
      <c r="A7" s="77"/>
      <c r="B7" s="21">
        <v>1112</v>
      </c>
      <c r="C7" s="77"/>
      <c r="D7" s="77"/>
      <c r="E7" s="21" t="s">
        <v>176</v>
      </c>
      <c r="F7" s="53">
        <v>200</v>
      </c>
      <c r="G7" s="24" t="s">
        <v>101</v>
      </c>
      <c r="H7" s="51"/>
    </row>
    <row r="8" spans="1:12" x14ac:dyDescent="0.2">
      <c r="A8" s="77"/>
      <c r="B8" s="21">
        <v>1113</v>
      </c>
      <c r="C8" s="77"/>
      <c r="D8" s="77"/>
      <c r="E8" s="21" t="s">
        <v>98</v>
      </c>
      <c r="F8" s="53">
        <v>1900</v>
      </c>
      <c r="G8" s="24" t="s">
        <v>101</v>
      </c>
      <c r="H8" s="51"/>
    </row>
    <row r="9" spans="1:12" x14ac:dyDescent="0.2">
      <c r="A9" s="77"/>
      <c r="B9" s="21">
        <v>1121</v>
      </c>
      <c r="C9" s="77"/>
      <c r="D9" s="77"/>
      <c r="E9" s="21" t="s">
        <v>99</v>
      </c>
      <c r="F9" s="53">
        <v>13000</v>
      </c>
      <c r="G9" s="24" t="s">
        <v>101</v>
      </c>
      <c r="H9" s="51"/>
    </row>
    <row r="10" spans="1:12" x14ac:dyDescent="0.2">
      <c r="A10" s="77"/>
      <c r="B10" s="21">
        <v>1211</v>
      </c>
      <c r="C10" s="77"/>
      <c r="D10" s="77"/>
      <c r="E10" s="21" t="s">
        <v>97</v>
      </c>
      <c r="F10" s="53">
        <v>40500</v>
      </c>
      <c r="G10" s="24" t="s">
        <v>101</v>
      </c>
      <c r="H10" s="51"/>
    </row>
    <row r="11" spans="1:12" x14ac:dyDescent="0.2">
      <c r="A11" s="77"/>
      <c r="B11" s="21">
        <v>1111</v>
      </c>
      <c r="C11" s="77"/>
      <c r="D11" s="21">
        <v>2</v>
      </c>
      <c r="E11" s="21" t="s">
        <v>109</v>
      </c>
      <c r="F11" s="53">
        <v>1500</v>
      </c>
      <c r="G11" s="132"/>
      <c r="H11" s="51"/>
      <c r="I11" s="80"/>
    </row>
    <row r="12" spans="1:12" x14ac:dyDescent="0.2">
      <c r="A12" s="77"/>
      <c r="B12" s="21">
        <v>1122</v>
      </c>
      <c r="C12" s="77"/>
      <c r="D12" s="77"/>
      <c r="E12" s="21" t="s">
        <v>100</v>
      </c>
      <c r="F12" s="53">
        <v>3024</v>
      </c>
      <c r="G12" s="79" t="s">
        <v>139</v>
      </c>
      <c r="H12" s="51"/>
      <c r="K12" s="84"/>
      <c r="L12" s="104"/>
    </row>
    <row r="13" spans="1:12" x14ac:dyDescent="0.2">
      <c r="A13" s="66" t="s">
        <v>24</v>
      </c>
      <c r="B13" s="22"/>
      <c r="C13" s="66"/>
      <c r="D13" s="22"/>
      <c r="E13" s="22"/>
      <c r="F13" s="54"/>
      <c r="G13" s="182"/>
      <c r="H13" s="239"/>
    </row>
    <row r="14" spans="1:12" x14ac:dyDescent="0.2">
      <c r="A14" s="77"/>
      <c r="B14" s="77"/>
      <c r="C14" s="77"/>
      <c r="D14" s="77"/>
      <c r="E14" s="22" t="s">
        <v>133</v>
      </c>
      <c r="F14" s="54">
        <f>SUM(F15:F23)</f>
        <v>4535</v>
      </c>
      <c r="G14" s="182"/>
    </row>
    <row r="15" spans="1:12" x14ac:dyDescent="0.2">
      <c r="A15" s="77"/>
      <c r="B15" s="21">
        <v>1361</v>
      </c>
      <c r="D15" s="79" t="s">
        <v>123</v>
      </c>
      <c r="E15" s="21" t="s">
        <v>25</v>
      </c>
      <c r="F15" s="53">
        <v>200</v>
      </c>
      <c r="G15" s="133" t="s">
        <v>301</v>
      </c>
    </row>
    <row r="16" spans="1:12" x14ac:dyDescent="0.2">
      <c r="A16" s="77"/>
      <c r="B16" s="21">
        <v>1361</v>
      </c>
      <c r="C16" s="77"/>
      <c r="D16" s="21">
        <v>7</v>
      </c>
      <c r="E16" s="21" t="s">
        <v>147</v>
      </c>
      <c r="F16" s="53">
        <v>800</v>
      </c>
      <c r="G16" s="133"/>
    </row>
    <row r="17" spans="1:7" x14ac:dyDescent="0.2">
      <c r="A17" s="77"/>
      <c r="B17" s="21">
        <v>1361</v>
      </c>
      <c r="C17" s="77"/>
      <c r="D17" s="21">
        <v>10.23</v>
      </c>
      <c r="E17" s="81" t="s">
        <v>149</v>
      </c>
      <c r="F17" s="53">
        <f>40+70</f>
        <v>110</v>
      </c>
      <c r="G17" s="133"/>
    </row>
    <row r="18" spans="1:7" x14ac:dyDescent="0.2">
      <c r="A18" s="77"/>
      <c r="B18" s="21">
        <v>1361</v>
      </c>
      <c r="C18" s="77"/>
      <c r="D18" s="21">
        <v>11</v>
      </c>
      <c r="E18" s="21" t="s">
        <v>26</v>
      </c>
      <c r="F18" s="53">
        <v>150</v>
      </c>
      <c r="G18" s="133"/>
    </row>
    <row r="19" spans="1:7" x14ac:dyDescent="0.2">
      <c r="A19" s="77"/>
      <c r="B19" s="21">
        <v>1361</v>
      </c>
      <c r="C19" s="77"/>
      <c r="D19" s="21">
        <v>24</v>
      </c>
      <c r="E19" s="21" t="s">
        <v>150</v>
      </c>
      <c r="F19" s="53">
        <v>30</v>
      </c>
      <c r="G19" s="133"/>
    </row>
    <row r="20" spans="1:7" x14ac:dyDescent="0.2">
      <c r="A20" s="77"/>
      <c r="B20" s="21">
        <v>1361</v>
      </c>
      <c r="C20" s="77"/>
      <c r="D20" s="21">
        <v>26</v>
      </c>
      <c r="E20" s="21" t="s">
        <v>151</v>
      </c>
      <c r="F20" s="53">
        <v>2500</v>
      </c>
      <c r="G20" s="133"/>
    </row>
    <row r="21" spans="1:7" x14ac:dyDescent="0.2">
      <c r="A21" s="77"/>
      <c r="B21" s="21">
        <v>1353</v>
      </c>
      <c r="C21" s="77"/>
      <c r="D21" s="21">
        <v>26</v>
      </c>
      <c r="E21" s="21" t="s">
        <v>175</v>
      </c>
      <c r="F21" s="53">
        <v>400</v>
      </c>
      <c r="G21" s="133"/>
    </row>
    <row r="22" spans="1:7" x14ac:dyDescent="0.2">
      <c r="A22" s="77"/>
      <c r="B22" s="21">
        <v>1361</v>
      </c>
      <c r="C22" s="77"/>
      <c r="D22" s="21">
        <v>32.33</v>
      </c>
      <c r="E22" s="21" t="s">
        <v>120</v>
      </c>
      <c r="F22" s="53">
        <f>260+50</f>
        <v>310</v>
      </c>
      <c r="G22" s="133"/>
    </row>
    <row r="23" spans="1:7" x14ac:dyDescent="0.2">
      <c r="A23" s="77"/>
      <c r="B23" s="21">
        <v>1361</v>
      </c>
      <c r="C23" s="77"/>
      <c r="D23" s="21">
        <v>35</v>
      </c>
      <c r="E23" s="21" t="s">
        <v>189</v>
      </c>
      <c r="F23" s="53">
        <v>35</v>
      </c>
      <c r="G23" s="133"/>
    </row>
    <row r="24" spans="1:7" x14ac:dyDescent="0.2">
      <c r="A24" s="77"/>
      <c r="B24" s="77"/>
      <c r="C24" s="77"/>
      <c r="D24" s="77"/>
      <c r="E24" s="22" t="s">
        <v>212</v>
      </c>
      <c r="F24" s="54">
        <f>SUM(F25:F25)</f>
        <v>3250</v>
      </c>
      <c r="G24" s="79"/>
    </row>
    <row r="25" spans="1:7" x14ac:dyDescent="0.2">
      <c r="A25" s="77"/>
      <c r="B25" s="21">
        <v>1381</v>
      </c>
      <c r="C25" s="77"/>
      <c r="D25" s="21">
        <v>401</v>
      </c>
      <c r="E25" s="21" t="s">
        <v>273</v>
      </c>
      <c r="F25" s="53">
        <v>3250</v>
      </c>
      <c r="G25" s="133"/>
    </row>
    <row r="26" spans="1:7" x14ac:dyDescent="0.2">
      <c r="A26" s="77"/>
      <c r="B26" s="77"/>
      <c r="C26" s="77"/>
      <c r="D26" s="77"/>
      <c r="E26" s="22" t="s">
        <v>134</v>
      </c>
      <c r="F26" s="54">
        <f>SUM(F27:F30)</f>
        <v>3435</v>
      </c>
      <c r="G26" s="182"/>
    </row>
    <row r="27" spans="1:7" x14ac:dyDescent="0.2">
      <c r="A27" s="77"/>
      <c r="B27" s="21">
        <v>1340</v>
      </c>
      <c r="C27" s="77"/>
      <c r="D27" s="21">
        <v>240</v>
      </c>
      <c r="E27" s="21" t="s">
        <v>91</v>
      </c>
      <c r="F27" s="53">
        <v>3200</v>
      </c>
      <c r="G27" s="79" t="s">
        <v>217</v>
      </c>
    </row>
    <row r="28" spans="1:7" x14ac:dyDescent="0.2">
      <c r="A28" s="77"/>
      <c r="B28" s="21">
        <v>1341</v>
      </c>
      <c r="C28" s="77"/>
      <c r="D28" s="21">
        <v>5</v>
      </c>
      <c r="E28" s="21" t="s">
        <v>94</v>
      </c>
      <c r="F28" s="53">
        <v>115</v>
      </c>
      <c r="G28" s="79"/>
    </row>
    <row r="29" spans="1:7" x14ac:dyDescent="0.2">
      <c r="A29" s="77"/>
      <c r="B29" s="21">
        <v>1342</v>
      </c>
      <c r="C29" s="77"/>
      <c r="D29" s="21">
        <v>9</v>
      </c>
      <c r="E29" s="21" t="s">
        <v>298</v>
      </c>
      <c r="F29" s="53">
        <v>30</v>
      </c>
      <c r="G29" s="79" t="s">
        <v>299</v>
      </c>
    </row>
    <row r="30" spans="1:7" x14ac:dyDescent="0.2">
      <c r="A30" s="77"/>
      <c r="B30" s="21">
        <v>1343</v>
      </c>
      <c r="C30" s="77"/>
      <c r="D30" s="21">
        <v>30</v>
      </c>
      <c r="E30" s="21" t="s">
        <v>95</v>
      </c>
      <c r="F30" s="53">
        <v>90</v>
      </c>
      <c r="G30" s="79"/>
    </row>
    <row r="31" spans="1:7" x14ac:dyDescent="0.2">
      <c r="A31" s="66" t="s">
        <v>27</v>
      </c>
      <c r="B31" s="22"/>
      <c r="C31" s="66"/>
      <c r="D31" s="22"/>
      <c r="E31" s="22"/>
      <c r="F31" s="54">
        <f>SUM(F32)</f>
        <v>4300</v>
      </c>
      <c r="G31" s="134"/>
    </row>
    <row r="32" spans="1:7" ht="13.5" thickBot="1" x14ac:dyDescent="0.25">
      <c r="A32" s="77"/>
      <c r="B32" s="21">
        <v>1511</v>
      </c>
      <c r="C32" s="77" t="s">
        <v>28</v>
      </c>
      <c r="D32" s="77"/>
      <c r="E32" s="21" t="s">
        <v>156</v>
      </c>
      <c r="F32" s="53">
        <v>4300</v>
      </c>
      <c r="G32" s="79"/>
    </row>
    <row r="33" spans="1:7" ht="18" customHeight="1" thickBot="1" x14ac:dyDescent="0.3">
      <c r="A33" s="82" t="s">
        <v>29</v>
      </c>
      <c r="B33" s="83"/>
      <c r="C33" s="82"/>
      <c r="D33" s="83"/>
      <c r="E33" s="82"/>
      <c r="F33" s="55">
        <f>SUM(F5+F14+F24+F26+F31)</f>
        <v>87644</v>
      </c>
      <c r="G33" s="55"/>
    </row>
    <row r="34" spans="1:7" x14ac:dyDescent="0.2">
      <c r="A34" s="78"/>
      <c r="B34" s="59"/>
      <c r="C34" s="78"/>
      <c r="D34" s="59"/>
      <c r="E34" s="78" t="s">
        <v>30</v>
      </c>
      <c r="F34" s="58"/>
      <c r="G34" s="135"/>
    </row>
    <row r="35" spans="1:7" x14ac:dyDescent="0.2">
      <c r="A35" s="66" t="s">
        <v>31</v>
      </c>
      <c r="B35" s="22"/>
      <c r="C35" s="66"/>
      <c r="D35" s="22"/>
      <c r="E35" s="22"/>
      <c r="F35" s="54"/>
      <c r="G35" s="134"/>
    </row>
    <row r="36" spans="1:7" x14ac:dyDescent="0.2">
      <c r="A36" s="77"/>
      <c r="B36" s="22"/>
      <c r="C36" s="77"/>
      <c r="D36" s="22"/>
      <c r="E36" s="22" t="s">
        <v>132</v>
      </c>
      <c r="F36" s="54">
        <f>SUM(F37:F56)</f>
        <v>10899</v>
      </c>
      <c r="G36" s="79"/>
    </row>
    <row r="37" spans="1:7" x14ac:dyDescent="0.2">
      <c r="A37" s="77"/>
      <c r="B37" s="21">
        <v>2111</v>
      </c>
      <c r="C37" s="77">
        <v>1031</v>
      </c>
      <c r="D37" s="21">
        <v>201</v>
      </c>
      <c r="E37" s="21" t="s">
        <v>86</v>
      </c>
      <c r="F37" s="53">
        <v>252</v>
      </c>
      <c r="G37" s="79"/>
    </row>
    <row r="38" spans="1:7" x14ac:dyDescent="0.2">
      <c r="A38" s="77"/>
      <c r="B38" s="21">
        <v>2111</v>
      </c>
      <c r="C38" s="77">
        <v>2219</v>
      </c>
      <c r="D38" s="21">
        <v>43</v>
      </c>
      <c r="E38" s="21" t="s">
        <v>154</v>
      </c>
      <c r="F38" s="53">
        <v>1000</v>
      </c>
      <c r="G38" s="79"/>
    </row>
    <row r="39" spans="1:7" x14ac:dyDescent="0.2">
      <c r="A39" s="77"/>
      <c r="B39" s="21">
        <v>2111</v>
      </c>
      <c r="C39" s="77">
        <v>3113</v>
      </c>
      <c r="D39" s="21">
        <v>302</v>
      </c>
      <c r="E39" s="21" t="s">
        <v>260</v>
      </c>
      <c r="F39" s="53">
        <v>272</v>
      </c>
      <c r="G39" s="79"/>
    </row>
    <row r="40" spans="1:7" s="245" customFormat="1" x14ac:dyDescent="0.2">
      <c r="A40" s="77"/>
      <c r="B40" s="21">
        <v>2111</v>
      </c>
      <c r="C40" s="77">
        <v>3141</v>
      </c>
      <c r="D40" s="21">
        <v>309</v>
      </c>
      <c r="E40" s="21" t="s">
        <v>344</v>
      </c>
      <c r="F40" s="53">
        <v>1160</v>
      </c>
      <c r="G40" s="79"/>
    </row>
    <row r="41" spans="1:7" x14ac:dyDescent="0.2">
      <c r="A41" s="77"/>
      <c r="B41" s="21">
        <v>2111</v>
      </c>
      <c r="C41" s="77">
        <v>3613</v>
      </c>
      <c r="D41" s="21">
        <v>316</v>
      </c>
      <c r="E41" s="21" t="s">
        <v>262</v>
      </c>
      <c r="F41" s="53">
        <v>125</v>
      </c>
      <c r="G41" s="79"/>
    </row>
    <row r="42" spans="1:7" x14ac:dyDescent="0.2">
      <c r="A42" s="77"/>
      <c r="B42" s="21">
        <v>2111</v>
      </c>
      <c r="C42" s="77">
        <v>3412</v>
      </c>
      <c r="D42" s="21">
        <v>216</v>
      </c>
      <c r="E42" s="21" t="s">
        <v>276</v>
      </c>
      <c r="F42" s="53">
        <f>115+5</f>
        <v>120</v>
      </c>
      <c r="G42" s="79"/>
    </row>
    <row r="43" spans="1:7" x14ac:dyDescent="0.2">
      <c r="A43" s="77"/>
      <c r="B43" s="21">
        <v>2111</v>
      </c>
      <c r="C43" s="77">
        <v>3314</v>
      </c>
      <c r="D43" s="21">
        <v>504</v>
      </c>
      <c r="E43" s="21" t="s">
        <v>153</v>
      </c>
      <c r="F43" s="53">
        <v>100</v>
      </c>
      <c r="G43" s="79"/>
    </row>
    <row r="44" spans="1:7" x14ac:dyDescent="0.2">
      <c r="A44" s="77"/>
      <c r="B44" s="21">
        <v>2111</v>
      </c>
      <c r="C44" s="191" t="s">
        <v>230</v>
      </c>
      <c r="D44" s="21">
        <v>41</v>
      </c>
      <c r="E44" s="21" t="s">
        <v>35</v>
      </c>
      <c r="F44" s="53">
        <v>70</v>
      </c>
      <c r="G44" s="79"/>
    </row>
    <row r="45" spans="1:7" x14ac:dyDescent="0.2">
      <c r="A45" s="77"/>
      <c r="B45" s="21">
        <v>2111</v>
      </c>
      <c r="C45" s="77">
        <v>3349</v>
      </c>
      <c r="D45" s="21">
        <v>42</v>
      </c>
      <c r="E45" s="21" t="s">
        <v>32</v>
      </c>
      <c r="F45" s="53">
        <v>100</v>
      </c>
      <c r="G45" s="79"/>
    </row>
    <row r="46" spans="1:7" x14ac:dyDescent="0.2">
      <c r="A46" s="77"/>
      <c r="B46" s="21">
        <v>2111</v>
      </c>
      <c r="C46" s="77">
        <v>3612</v>
      </c>
      <c r="D46" s="21" t="s">
        <v>242</v>
      </c>
      <c r="E46" s="21" t="s">
        <v>157</v>
      </c>
      <c r="F46" s="53">
        <v>1960</v>
      </c>
      <c r="G46" s="93"/>
    </row>
    <row r="47" spans="1:7" x14ac:dyDescent="0.2">
      <c r="A47" s="77"/>
      <c r="B47" s="21">
        <v>2111</v>
      </c>
      <c r="C47" s="77">
        <v>3613</v>
      </c>
      <c r="D47" s="21">
        <v>703</v>
      </c>
      <c r="E47" s="21" t="s">
        <v>158</v>
      </c>
      <c r="F47" s="53">
        <v>300</v>
      </c>
      <c r="G47" s="136"/>
    </row>
    <row r="48" spans="1:7" x14ac:dyDescent="0.2">
      <c r="A48" s="77"/>
      <c r="B48" s="21">
        <v>2111</v>
      </c>
      <c r="C48" s="77">
        <v>3632</v>
      </c>
      <c r="D48" s="21">
        <v>238</v>
      </c>
      <c r="E48" s="21" t="s">
        <v>33</v>
      </c>
      <c r="F48" s="53">
        <v>390</v>
      </c>
      <c r="G48" s="79"/>
    </row>
    <row r="49" spans="1:8" x14ac:dyDescent="0.2">
      <c r="A49" s="77"/>
      <c r="B49" s="21">
        <v>2111</v>
      </c>
      <c r="C49" s="77">
        <v>3639</v>
      </c>
      <c r="D49" s="21">
        <v>21.318999999999999</v>
      </c>
      <c r="E49" s="21" t="s">
        <v>213</v>
      </c>
      <c r="F49" s="53">
        <f>36+91</f>
        <v>127</v>
      </c>
      <c r="G49" s="79"/>
    </row>
    <row r="50" spans="1:8" x14ac:dyDescent="0.2">
      <c r="A50" s="77"/>
      <c r="B50" s="21">
        <v>2111.2323999999999</v>
      </c>
      <c r="C50" s="77">
        <v>3639</v>
      </c>
      <c r="D50" s="21">
        <v>239.22300000000001</v>
      </c>
      <c r="E50" s="21" t="s">
        <v>339</v>
      </c>
      <c r="F50" s="53">
        <v>10</v>
      </c>
      <c r="G50" s="79"/>
    </row>
    <row r="51" spans="1:8" x14ac:dyDescent="0.2">
      <c r="A51" s="77"/>
      <c r="B51" s="21">
        <v>2111</v>
      </c>
      <c r="C51" s="77">
        <v>3639</v>
      </c>
      <c r="D51" s="21">
        <v>243</v>
      </c>
      <c r="E51" s="21" t="s">
        <v>85</v>
      </c>
      <c r="F51" s="53">
        <v>30</v>
      </c>
      <c r="G51" s="79"/>
    </row>
    <row r="52" spans="1:8" x14ac:dyDescent="0.2">
      <c r="A52" s="77"/>
      <c r="B52" s="21">
        <v>2111</v>
      </c>
      <c r="C52" s="77">
        <v>4351</v>
      </c>
      <c r="D52" s="21">
        <v>227</v>
      </c>
      <c r="E52" s="21" t="s">
        <v>130</v>
      </c>
      <c r="F52" s="53">
        <f>110+770+250</f>
        <v>1130</v>
      </c>
      <c r="G52" s="81"/>
    </row>
    <row r="53" spans="1:8" x14ac:dyDescent="0.2">
      <c r="A53" s="77"/>
      <c r="B53" s="21">
        <v>2111</v>
      </c>
      <c r="C53" s="77">
        <v>6171</v>
      </c>
      <c r="D53" s="21">
        <v>911</v>
      </c>
      <c r="E53" s="21" t="s">
        <v>159</v>
      </c>
      <c r="F53" s="53">
        <f>180+30</f>
        <v>210</v>
      </c>
      <c r="G53" s="79"/>
    </row>
    <row r="54" spans="1:8" x14ac:dyDescent="0.2">
      <c r="A54" s="77"/>
      <c r="B54" s="21">
        <v>2119</v>
      </c>
      <c r="C54" s="77">
        <v>2121</v>
      </c>
      <c r="D54" s="21">
        <v>20</v>
      </c>
      <c r="E54" s="21" t="s">
        <v>190</v>
      </c>
      <c r="F54" s="53">
        <f>50+50</f>
        <v>100</v>
      </c>
      <c r="G54" s="79"/>
    </row>
    <row r="55" spans="1:8" x14ac:dyDescent="0.2">
      <c r="A55" s="77"/>
      <c r="B55" s="21">
        <v>2122</v>
      </c>
      <c r="C55" s="77"/>
      <c r="D55" s="21"/>
      <c r="E55" s="21" t="s">
        <v>198</v>
      </c>
      <c r="F55" s="53">
        <f>231+661+655+540+66</f>
        <v>2153</v>
      </c>
      <c r="G55" s="93"/>
    </row>
    <row r="56" spans="1:8" x14ac:dyDescent="0.2">
      <c r="A56" s="77"/>
      <c r="B56" s="21">
        <v>2324</v>
      </c>
      <c r="C56" s="77">
        <v>3725</v>
      </c>
      <c r="D56" s="21">
        <v>240</v>
      </c>
      <c r="E56" s="21" t="s">
        <v>107</v>
      </c>
      <c r="F56" s="53">
        <f>890+110+290</f>
        <v>1290</v>
      </c>
      <c r="G56" s="182"/>
    </row>
    <row r="57" spans="1:8" ht="15" customHeight="1" x14ac:dyDescent="0.2">
      <c r="A57" s="77"/>
      <c r="B57" s="77"/>
      <c r="C57" s="77"/>
      <c r="D57" s="77"/>
      <c r="E57" s="22" t="s">
        <v>36</v>
      </c>
      <c r="F57" s="54">
        <f>SUM(F58:F67)</f>
        <v>14183</v>
      </c>
      <c r="G57" s="79"/>
    </row>
    <row r="58" spans="1:8" x14ac:dyDescent="0.2">
      <c r="A58" s="77"/>
      <c r="B58" s="21">
        <v>2131</v>
      </c>
      <c r="C58" s="77">
        <v>1012</v>
      </c>
      <c r="D58" s="21">
        <v>38</v>
      </c>
      <c r="E58" s="21" t="s">
        <v>169</v>
      </c>
      <c r="F58" s="53">
        <v>492</v>
      </c>
      <c r="G58" s="79" t="s">
        <v>309</v>
      </c>
      <c r="H58" s="80"/>
    </row>
    <row r="59" spans="1:8" x14ac:dyDescent="0.2">
      <c r="A59" s="77"/>
      <c r="B59" s="21">
        <v>2132</v>
      </c>
      <c r="C59" s="77">
        <v>2121</v>
      </c>
      <c r="D59" s="21">
        <v>237</v>
      </c>
      <c r="E59" s="21" t="s">
        <v>170</v>
      </c>
      <c r="F59" s="53">
        <f>1350+40</f>
        <v>1390</v>
      </c>
      <c r="G59" s="137"/>
    </row>
    <row r="60" spans="1:8" x14ac:dyDescent="0.2">
      <c r="A60" s="77"/>
      <c r="B60" s="21">
        <v>2132</v>
      </c>
      <c r="C60" s="77">
        <v>3113</v>
      </c>
      <c r="D60" s="21">
        <v>302</v>
      </c>
      <c r="E60" s="21" t="s">
        <v>259</v>
      </c>
      <c r="F60" s="53">
        <v>195</v>
      </c>
      <c r="G60" s="137"/>
    </row>
    <row r="61" spans="1:8" x14ac:dyDescent="0.2">
      <c r="A61" s="77"/>
      <c r="B61" s="21">
        <v>2132</v>
      </c>
      <c r="C61" s="77">
        <v>3613</v>
      </c>
      <c r="D61" s="21">
        <v>316</v>
      </c>
      <c r="E61" s="21" t="s">
        <v>261</v>
      </c>
      <c r="F61" s="53">
        <v>281</v>
      </c>
      <c r="G61" s="137"/>
    </row>
    <row r="62" spans="1:8" x14ac:dyDescent="0.2">
      <c r="A62" s="77"/>
      <c r="B62" s="21">
        <v>2132</v>
      </c>
      <c r="C62" s="77">
        <v>3612</v>
      </c>
      <c r="D62" s="21" t="s">
        <v>236</v>
      </c>
      <c r="E62" s="21" t="s">
        <v>129</v>
      </c>
      <c r="F62" s="53">
        <v>8509</v>
      </c>
      <c r="G62" s="79"/>
    </row>
    <row r="63" spans="1:8" x14ac:dyDescent="0.2">
      <c r="A63" s="77"/>
      <c r="B63" s="21">
        <v>2132</v>
      </c>
      <c r="C63" s="77">
        <v>3613</v>
      </c>
      <c r="D63" s="21">
        <v>703</v>
      </c>
      <c r="E63" s="21" t="s">
        <v>37</v>
      </c>
      <c r="F63" s="53">
        <v>609</v>
      </c>
      <c r="G63" s="79"/>
    </row>
    <row r="64" spans="1:8" ht="13.5" customHeight="1" x14ac:dyDescent="0.2">
      <c r="A64" s="77"/>
      <c r="B64" s="21">
        <v>2132</v>
      </c>
      <c r="C64" s="77">
        <v>3634</v>
      </c>
      <c r="D64" s="21">
        <v>21</v>
      </c>
      <c r="E64" s="21" t="s">
        <v>38</v>
      </c>
      <c r="F64" s="53">
        <v>999</v>
      </c>
      <c r="G64" s="79"/>
    </row>
    <row r="65" spans="1:8" x14ac:dyDescent="0.2">
      <c r="A65" s="77"/>
      <c r="B65" s="21">
        <v>2132</v>
      </c>
      <c r="C65" s="77">
        <v>3639</v>
      </c>
      <c r="D65" s="21">
        <v>21</v>
      </c>
      <c r="E65" s="21" t="s">
        <v>155</v>
      </c>
      <c r="F65" s="53">
        <v>500</v>
      </c>
      <c r="G65" s="79"/>
    </row>
    <row r="66" spans="1:8" x14ac:dyDescent="0.2">
      <c r="A66" s="77"/>
      <c r="B66" s="21">
        <v>2132</v>
      </c>
      <c r="C66" s="77">
        <v>3639</v>
      </c>
      <c r="D66" s="21">
        <v>319</v>
      </c>
      <c r="E66" s="21" t="s">
        <v>215</v>
      </c>
      <c r="F66" s="53">
        <v>275</v>
      </c>
      <c r="G66" s="79"/>
    </row>
    <row r="67" spans="1:8" x14ac:dyDescent="0.2">
      <c r="A67" s="77"/>
      <c r="B67" s="21">
        <v>2132</v>
      </c>
      <c r="C67" s="77">
        <v>4355</v>
      </c>
      <c r="D67" s="21">
        <v>311</v>
      </c>
      <c r="E67" s="21" t="s">
        <v>219</v>
      </c>
      <c r="F67" s="53">
        <v>933</v>
      </c>
      <c r="G67" s="79"/>
      <c r="H67" s="84"/>
    </row>
    <row r="68" spans="1:8" ht="14.25" customHeight="1" x14ac:dyDescent="0.2">
      <c r="A68" s="77"/>
      <c r="B68" s="77"/>
      <c r="C68" s="77"/>
      <c r="D68" s="77"/>
      <c r="E68" s="22" t="s">
        <v>83</v>
      </c>
      <c r="F68" s="54">
        <f>SUM(F69:F71)</f>
        <v>16</v>
      </c>
      <c r="G68" s="138"/>
    </row>
    <row r="69" spans="1:8" x14ac:dyDescent="0.2">
      <c r="A69" s="77"/>
      <c r="B69" s="21">
        <v>2141</v>
      </c>
      <c r="C69" s="77">
        <v>6310</v>
      </c>
      <c r="D69" s="21">
        <v>314</v>
      </c>
      <c r="E69" s="21" t="s">
        <v>224</v>
      </c>
      <c r="F69" s="53">
        <v>10</v>
      </c>
      <c r="G69" s="79"/>
    </row>
    <row r="70" spans="1:8" x14ac:dyDescent="0.2">
      <c r="A70" s="77"/>
      <c r="B70" s="21">
        <v>2141</v>
      </c>
      <c r="C70" s="77">
        <v>6310</v>
      </c>
      <c r="D70" s="21">
        <v>245</v>
      </c>
      <c r="E70" s="21" t="s">
        <v>160</v>
      </c>
      <c r="F70" s="53">
        <v>1</v>
      </c>
      <c r="G70" s="79"/>
    </row>
    <row r="71" spans="1:8" ht="13.5" customHeight="1" x14ac:dyDescent="0.2">
      <c r="A71" s="77"/>
      <c r="B71" s="21">
        <v>2141</v>
      </c>
      <c r="C71" s="77">
        <v>6310</v>
      </c>
      <c r="D71" s="21">
        <v>318</v>
      </c>
      <c r="E71" s="21" t="s">
        <v>288</v>
      </c>
      <c r="F71" s="53">
        <v>5</v>
      </c>
      <c r="G71" s="79"/>
    </row>
    <row r="72" spans="1:8" x14ac:dyDescent="0.2">
      <c r="A72" s="66" t="s">
        <v>119</v>
      </c>
      <c r="B72" s="22"/>
      <c r="C72" s="66"/>
      <c r="D72" s="22"/>
      <c r="E72" s="22"/>
      <c r="F72" s="54">
        <f>SUM(F73:F79)</f>
        <v>1248</v>
      </c>
      <c r="G72" s="134"/>
      <c r="H72" s="80"/>
    </row>
    <row r="73" spans="1:8" x14ac:dyDescent="0.2">
      <c r="A73" s="77"/>
      <c r="B73" s="21">
        <v>2212</v>
      </c>
      <c r="C73" s="77">
        <v>6171</v>
      </c>
      <c r="D73" s="21">
        <v>11</v>
      </c>
      <c r="E73" s="21" t="s">
        <v>124</v>
      </c>
      <c r="F73" s="53">
        <v>3</v>
      </c>
      <c r="G73" s="134"/>
    </row>
    <row r="74" spans="1:8" x14ac:dyDescent="0.2">
      <c r="B74" s="21">
        <v>2212</v>
      </c>
      <c r="C74" s="77">
        <v>6171</v>
      </c>
      <c r="D74" s="21">
        <v>14.33</v>
      </c>
      <c r="E74" s="21" t="s">
        <v>197</v>
      </c>
      <c r="F74" s="53">
        <v>65</v>
      </c>
      <c r="G74" s="79"/>
    </row>
    <row r="75" spans="1:8" x14ac:dyDescent="0.2">
      <c r="A75" s="67"/>
      <c r="B75" s="21">
        <v>2212</v>
      </c>
      <c r="C75" s="77">
        <v>2169</v>
      </c>
      <c r="D75" s="21">
        <v>15</v>
      </c>
      <c r="E75" s="21" t="s">
        <v>146</v>
      </c>
      <c r="F75" s="53">
        <v>50</v>
      </c>
      <c r="G75" s="194"/>
    </row>
    <row r="76" spans="1:8" x14ac:dyDescent="0.2">
      <c r="A76" s="77"/>
      <c r="B76" s="21">
        <v>2212</v>
      </c>
      <c r="C76" s="129" t="s">
        <v>166</v>
      </c>
      <c r="D76" s="21">
        <v>17</v>
      </c>
      <c r="E76" s="21" t="s">
        <v>122</v>
      </c>
      <c r="F76" s="53">
        <v>30</v>
      </c>
      <c r="G76" s="79"/>
    </row>
    <row r="77" spans="1:8" x14ac:dyDescent="0.2">
      <c r="A77" s="77"/>
      <c r="B77" s="21">
        <v>2212</v>
      </c>
      <c r="C77" s="77">
        <v>6171</v>
      </c>
      <c r="D77" s="21">
        <v>25.26</v>
      </c>
      <c r="E77" s="21" t="s">
        <v>121</v>
      </c>
      <c r="F77" s="53">
        <v>1000</v>
      </c>
      <c r="G77" s="79"/>
      <c r="H77" s="80"/>
    </row>
    <row r="78" spans="1:8" x14ac:dyDescent="0.2">
      <c r="A78" s="77"/>
      <c r="B78" s="21">
        <v>2212</v>
      </c>
      <c r="C78" s="77">
        <v>6171</v>
      </c>
      <c r="D78" s="21">
        <v>30.13</v>
      </c>
      <c r="E78" s="21" t="s">
        <v>248</v>
      </c>
      <c r="F78" s="53"/>
      <c r="G78" s="79"/>
    </row>
    <row r="79" spans="1:8" x14ac:dyDescent="0.2">
      <c r="A79" s="77"/>
      <c r="B79" s="21">
        <v>2212</v>
      </c>
      <c r="C79" s="77">
        <v>5311</v>
      </c>
      <c r="D79" s="21">
        <v>16</v>
      </c>
      <c r="E79" s="21" t="s">
        <v>39</v>
      </c>
      <c r="F79" s="53">
        <v>100</v>
      </c>
      <c r="G79" s="79"/>
    </row>
    <row r="80" spans="1:8" x14ac:dyDescent="0.2">
      <c r="A80" s="66" t="s">
        <v>118</v>
      </c>
      <c r="B80" s="21"/>
      <c r="C80" s="77"/>
      <c r="D80" s="21"/>
      <c r="E80" s="21"/>
      <c r="F80" s="54">
        <f>SUM(F81:F82)</f>
        <v>428</v>
      </c>
      <c r="G80" s="182"/>
    </row>
    <row r="81" spans="1:15" s="245" customFormat="1" x14ac:dyDescent="0.2">
      <c r="A81" s="77"/>
      <c r="B81" s="21"/>
      <c r="C81" s="77"/>
      <c r="D81" s="21"/>
      <c r="E81" s="21" t="s">
        <v>356</v>
      </c>
      <c r="F81" s="53">
        <v>28</v>
      </c>
      <c r="G81" s="79"/>
    </row>
    <row r="82" spans="1:15" x14ac:dyDescent="0.2">
      <c r="A82" s="77"/>
      <c r="B82" s="21"/>
      <c r="C82" s="77">
        <v>3613</v>
      </c>
      <c r="D82" s="21">
        <v>305</v>
      </c>
      <c r="E82" s="21" t="s">
        <v>280</v>
      </c>
      <c r="F82" s="53">
        <v>400</v>
      </c>
      <c r="G82" s="79"/>
    </row>
    <row r="83" spans="1:15" x14ac:dyDescent="0.2">
      <c r="A83" s="66" t="s">
        <v>117</v>
      </c>
      <c r="B83" s="21"/>
      <c r="C83" s="77"/>
      <c r="D83" s="21"/>
      <c r="E83" s="21"/>
      <c r="F83" s="54">
        <f>SUM(F84:F84)</f>
        <v>0</v>
      </c>
      <c r="G83" s="133"/>
    </row>
    <row r="84" spans="1:15" ht="13.5" thickBot="1" x14ac:dyDescent="0.25">
      <c r="A84" s="77"/>
      <c r="B84" s="21"/>
      <c r="C84" s="77"/>
      <c r="D84" s="21"/>
      <c r="E84" s="21"/>
      <c r="F84" s="53"/>
      <c r="G84" s="241"/>
    </row>
    <row r="85" spans="1:15" ht="16.5" thickBot="1" x14ac:dyDescent="0.3">
      <c r="A85" s="82" t="s">
        <v>40</v>
      </c>
      <c r="B85" s="85"/>
      <c r="C85" s="86"/>
      <c r="D85" s="85"/>
      <c r="E85" s="85"/>
      <c r="F85" s="55">
        <f>SUM(F36+F57+F68+F72+F80+F83)</f>
        <v>26774</v>
      </c>
      <c r="G85" s="139"/>
    </row>
    <row r="86" spans="1:15" x14ac:dyDescent="0.2">
      <c r="A86" s="78" t="s">
        <v>135</v>
      </c>
      <c r="B86" s="59"/>
      <c r="C86" s="78"/>
      <c r="D86" s="59"/>
      <c r="E86" s="78" t="s">
        <v>41</v>
      </c>
      <c r="F86" s="58"/>
      <c r="G86" s="135"/>
    </row>
    <row r="87" spans="1:15" x14ac:dyDescent="0.2">
      <c r="A87" s="66" t="s">
        <v>42</v>
      </c>
      <c r="B87" s="22"/>
      <c r="C87" s="66"/>
      <c r="D87" s="22"/>
      <c r="E87" s="22"/>
      <c r="F87" s="54"/>
      <c r="G87" s="134"/>
    </row>
    <row r="88" spans="1:15" x14ac:dyDescent="0.2">
      <c r="A88" s="77"/>
      <c r="B88" s="21">
        <v>3111</v>
      </c>
      <c r="C88" s="77">
        <v>2121</v>
      </c>
      <c r="D88" s="21">
        <v>20</v>
      </c>
      <c r="E88" s="21" t="s">
        <v>161</v>
      </c>
      <c r="F88" s="53">
        <f>850+50</f>
        <v>900</v>
      </c>
      <c r="G88" s="79"/>
    </row>
    <row r="89" spans="1:15" x14ac:dyDescent="0.2">
      <c r="A89" s="77"/>
      <c r="B89" s="21">
        <v>3112</v>
      </c>
      <c r="C89" s="77">
        <v>3612</v>
      </c>
      <c r="D89" s="21">
        <v>45</v>
      </c>
      <c r="E89" s="21" t="s">
        <v>162</v>
      </c>
      <c r="F89" s="53">
        <f>6815+5000-6815</f>
        <v>5000</v>
      </c>
      <c r="G89" s="79"/>
    </row>
    <row r="90" spans="1:15" ht="13.5" thickBot="1" x14ac:dyDescent="0.25">
      <c r="A90" s="77"/>
      <c r="B90" s="21">
        <v>3112</v>
      </c>
      <c r="C90" s="77">
        <v>3612</v>
      </c>
      <c r="D90" s="21">
        <v>245</v>
      </c>
      <c r="E90" s="21" t="s">
        <v>163</v>
      </c>
      <c r="F90" s="53">
        <v>49</v>
      </c>
      <c r="G90" s="79" t="s">
        <v>343</v>
      </c>
    </row>
    <row r="91" spans="1:15" ht="15.75" customHeight="1" thickBot="1" x14ac:dyDescent="0.3">
      <c r="A91" s="82" t="s">
        <v>43</v>
      </c>
      <c r="B91" s="85"/>
      <c r="C91" s="86"/>
      <c r="D91" s="85"/>
      <c r="E91" s="85"/>
      <c r="F91" s="55">
        <f>SUM(F88:F90)</f>
        <v>5949</v>
      </c>
      <c r="G91" s="230"/>
    </row>
    <row r="92" spans="1:15" x14ac:dyDescent="0.2">
      <c r="A92" s="78" t="s">
        <v>44</v>
      </c>
      <c r="B92" s="60"/>
      <c r="C92" s="87"/>
      <c r="D92" s="60"/>
      <c r="E92" s="78" t="s">
        <v>45</v>
      </c>
      <c r="F92" s="56"/>
      <c r="G92" s="140"/>
    </row>
    <row r="93" spans="1:15" x14ac:dyDescent="0.2">
      <c r="A93" s="66" t="s">
        <v>46</v>
      </c>
      <c r="B93" s="22"/>
      <c r="C93" s="66" t="s">
        <v>246</v>
      </c>
      <c r="D93" s="22" t="s">
        <v>126</v>
      </c>
      <c r="E93" s="22"/>
      <c r="F93" s="54">
        <f>SUM(F94:F106)</f>
        <v>36767</v>
      </c>
      <c r="G93" s="141"/>
    </row>
    <row r="94" spans="1:15" x14ac:dyDescent="0.2">
      <c r="A94" s="77"/>
      <c r="B94" s="21">
        <v>4112</v>
      </c>
      <c r="C94" s="21"/>
      <c r="D94" s="21"/>
      <c r="E94" s="21" t="s">
        <v>164</v>
      </c>
      <c r="F94" s="24">
        <v>22602.799999999999</v>
      </c>
      <c r="G94" s="93"/>
      <c r="J94" s="80"/>
    </row>
    <row r="95" spans="1:15" x14ac:dyDescent="0.2">
      <c r="A95" s="77"/>
      <c r="B95" s="21">
        <v>4116</v>
      </c>
      <c r="C95" s="21">
        <v>314</v>
      </c>
      <c r="D95" s="150" t="s">
        <v>229</v>
      </c>
      <c r="E95" s="198" t="s">
        <v>256</v>
      </c>
      <c r="F95" s="53">
        <v>3500</v>
      </c>
      <c r="G95" s="213"/>
    </row>
    <row r="96" spans="1:15" x14ac:dyDescent="0.2">
      <c r="A96" s="77"/>
      <c r="B96" s="21">
        <v>4116</v>
      </c>
      <c r="C96" s="21">
        <v>314</v>
      </c>
      <c r="D96" s="150" t="s">
        <v>275</v>
      </c>
      <c r="E96" s="198" t="s">
        <v>237</v>
      </c>
      <c r="F96" s="53">
        <v>400</v>
      </c>
      <c r="G96" s="93"/>
      <c r="O96" s="80"/>
    </row>
    <row r="97" spans="1:15" x14ac:dyDescent="0.2">
      <c r="A97" s="77"/>
      <c r="B97" s="21">
        <v>4116</v>
      </c>
      <c r="C97" s="21">
        <v>15479</v>
      </c>
      <c r="D97" s="21"/>
      <c r="E97" s="202" t="s">
        <v>300</v>
      </c>
      <c r="F97" s="53">
        <v>340</v>
      </c>
      <c r="G97" s="93"/>
      <c r="O97" s="80"/>
    </row>
    <row r="98" spans="1:15" x14ac:dyDescent="0.2">
      <c r="A98" s="77"/>
      <c r="B98" s="21">
        <v>4116</v>
      </c>
      <c r="C98" s="21">
        <v>103.102</v>
      </c>
      <c r="D98" s="21"/>
      <c r="E98" s="118" t="s">
        <v>257</v>
      </c>
      <c r="F98" s="53">
        <v>800</v>
      </c>
      <c r="G98" s="93"/>
      <c r="O98" s="80"/>
    </row>
    <row r="99" spans="1:15" s="245" customFormat="1" x14ac:dyDescent="0.2">
      <c r="A99" s="77"/>
      <c r="B99" s="21"/>
      <c r="C99" s="21"/>
      <c r="D99" s="21"/>
      <c r="E99" s="202" t="s">
        <v>346</v>
      </c>
      <c r="F99" s="53">
        <v>609</v>
      </c>
      <c r="G99" s="93"/>
      <c r="O99" s="80"/>
    </row>
    <row r="100" spans="1:15" s="245" customFormat="1" x14ac:dyDescent="0.2">
      <c r="A100" s="77"/>
      <c r="B100" s="21"/>
      <c r="C100" s="21"/>
      <c r="D100" s="21"/>
      <c r="E100" s="223" t="s">
        <v>354</v>
      </c>
      <c r="F100" s="53">
        <v>2735</v>
      </c>
      <c r="G100" s="93"/>
      <c r="O100" s="80"/>
    </row>
    <row r="101" spans="1:15" x14ac:dyDescent="0.2">
      <c r="A101" s="77"/>
      <c r="B101" s="21">
        <v>4121</v>
      </c>
      <c r="C101" s="21"/>
      <c r="D101" s="21" t="s">
        <v>223</v>
      </c>
      <c r="E101" s="118" t="s">
        <v>207</v>
      </c>
      <c r="F101" s="24">
        <f>40+451.2</f>
        <v>491.2</v>
      </c>
      <c r="G101" s="93"/>
      <c r="I101" s="80"/>
      <c r="J101" s="80"/>
      <c r="K101" s="80"/>
    </row>
    <row r="102" spans="1:15" x14ac:dyDescent="0.2">
      <c r="A102" s="77"/>
      <c r="B102" s="21">
        <v>4121</v>
      </c>
      <c r="C102" s="21">
        <v>321</v>
      </c>
      <c r="D102" s="21">
        <v>321</v>
      </c>
      <c r="E102" s="118" t="s">
        <v>167</v>
      </c>
      <c r="F102" s="53">
        <f>60+65</f>
        <v>125</v>
      </c>
      <c r="G102" s="93" t="s">
        <v>0</v>
      </c>
    </row>
    <row r="103" spans="1:15" x14ac:dyDescent="0.2">
      <c r="A103" s="77"/>
      <c r="B103" s="21">
        <v>4121</v>
      </c>
      <c r="C103" s="21">
        <v>225</v>
      </c>
      <c r="D103" s="21"/>
      <c r="E103" s="118" t="s">
        <v>293</v>
      </c>
      <c r="F103" s="53">
        <v>1132</v>
      </c>
      <c r="G103" s="93" t="s">
        <v>355</v>
      </c>
    </row>
    <row r="104" spans="1:15" x14ac:dyDescent="0.2">
      <c r="A104" s="77"/>
      <c r="B104" s="21">
        <v>4121</v>
      </c>
      <c r="C104" s="21">
        <v>227</v>
      </c>
      <c r="D104" s="21"/>
      <c r="E104" s="118" t="s">
        <v>295</v>
      </c>
      <c r="F104" s="53">
        <v>450</v>
      </c>
      <c r="G104" s="93"/>
    </row>
    <row r="105" spans="1:15" s="245" customFormat="1" x14ac:dyDescent="0.2">
      <c r="A105" s="77"/>
      <c r="B105" s="21">
        <v>4122</v>
      </c>
      <c r="C105" s="21">
        <v>230</v>
      </c>
      <c r="D105" s="21"/>
      <c r="E105" s="118" t="s">
        <v>351</v>
      </c>
      <c r="F105" s="53">
        <v>82</v>
      </c>
      <c r="G105" s="93"/>
    </row>
    <row r="106" spans="1:15" x14ac:dyDescent="0.2">
      <c r="A106" s="77"/>
      <c r="B106" s="21">
        <v>4122</v>
      </c>
      <c r="C106" s="21">
        <v>227</v>
      </c>
      <c r="D106" s="21">
        <v>13305</v>
      </c>
      <c r="E106" s="212" t="s">
        <v>247</v>
      </c>
      <c r="F106" s="53">
        <v>3500</v>
      </c>
      <c r="G106" s="93"/>
      <c r="J106" s="214"/>
    </row>
    <row r="107" spans="1:15" x14ac:dyDescent="0.2">
      <c r="A107" s="66" t="s">
        <v>47</v>
      </c>
      <c r="B107" s="22"/>
      <c r="C107" s="66"/>
      <c r="D107" s="22"/>
      <c r="E107" s="22"/>
      <c r="F107" s="54">
        <f>SUM(F108:F110)</f>
        <v>15539</v>
      </c>
      <c r="G107" s="79"/>
    </row>
    <row r="108" spans="1:15" s="245" customFormat="1" x14ac:dyDescent="0.2">
      <c r="A108" s="66"/>
      <c r="B108" s="23"/>
      <c r="C108" s="23"/>
      <c r="D108" s="23"/>
      <c r="E108" s="223" t="s">
        <v>340</v>
      </c>
      <c r="F108" s="193">
        <v>11170</v>
      </c>
      <c r="G108" s="93"/>
    </row>
    <row r="109" spans="1:15" s="245" customFormat="1" x14ac:dyDescent="0.2">
      <c r="A109" s="66"/>
      <c r="B109" s="23"/>
      <c r="C109" s="23">
        <v>280</v>
      </c>
      <c r="D109" s="23"/>
      <c r="E109" s="223" t="s">
        <v>329</v>
      </c>
      <c r="F109" s="193">
        <v>656</v>
      </c>
      <c r="G109" s="93"/>
    </row>
    <row r="110" spans="1:15" s="245" customFormat="1" ht="13.5" thickBot="1" x14ac:dyDescent="0.25">
      <c r="A110" s="66"/>
      <c r="B110" s="23"/>
      <c r="C110" s="23">
        <v>324</v>
      </c>
      <c r="D110" s="23"/>
      <c r="E110" s="188" t="s">
        <v>331</v>
      </c>
      <c r="F110" s="193">
        <v>3713</v>
      </c>
      <c r="G110" s="93"/>
    </row>
    <row r="111" spans="1:15" ht="14.25" customHeight="1" thickBot="1" x14ac:dyDescent="0.3">
      <c r="A111" s="82" t="s">
        <v>48</v>
      </c>
      <c r="B111" s="85"/>
      <c r="C111" s="86"/>
      <c r="D111" s="85"/>
      <c r="E111" s="85"/>
      <c r="F111" s="88">
        <f>SUM(F93+F107)</f>
        <v>52306</v>
      </c>
      <c r="G111" s="88"/>
    </row>
    <row r="112" spans="1:15" ht="15.75" x14ac:dyDescent="0.25">
      <c r="A112" s="26" t="s">
        <v>7</v>
      </c>
      <c r="B112" s="27"/>
      <c r="C112" s="28"/>
      <c r="D112" s="28"/>
      <c r="E112" s="29"/>
      <c r="F112" s="94">
        <f>SUM(F33+F85+F91+F111)</f>
        <v>172673</v>
      </c>
      <c r="G112" s="142"/>
    </row>
    <row r="113" spans="1:7" ht="24" customHeight="1" thickBot="1" x14ac:dyDescent="0.25">
      <c r="A113" s="76"/>
      <c r="B113" s="16"/>
      <c r="C113" s="76"/>
      <c r="D113" s="16"/>
      <c r="E113" s="16"/>
      <c r="F113" s="107"/>
      <c r="G113" s="130"/>
    </row>
    <row r="114" spans="1:7" ht="13.5" thickBot="1" x14ac:dyDescent="0.25">
      <c r="A114" s="30"/>
      <c r="B114" s="31"/>
      <c r="C114" s="30"/>
      <c r="D114" s="31"/>
      <c r="E114" s="32"/>
      <c r="F114" s="108" t="s">
        <v>328</v>
      </c>
      <c r="G114" s="143"/>
    </row>
    <row r="115" spans="1:7" x14ac:dyDescent="0.2">
      <c r="A115" s="30" t="s">
        <v>49</v>
      </c>
      <c r="B115" s="16"/>
      <c r="C115" s="76"/>
      <c r="D115" s="16"/>
      <c r="E115" s="47" t="s">
        <v>50</v>
      </c>
      <c r="F115" s="186">
        <f>F33</f>
        <v>87644</v>
      </c>
      <c r="G115" s="144"/>
    </row>
    <row r="116" spans="1:7" x14ac:dyDescent="0.2">
      <c r="A116" s="76"/>
      <c r="B116" s="16"/>
      <c r="C116" s="76"/>
      <c r="D116" s="16"/>
      <c r="E116" s="47" t="s">
        <v>51</v>
      </c>
      <c r="F116" s="186">
        <f>F85</f>
        <v>26774</v>
      </c>
      <c r="G116" s="145"/>
    </row>
    <row r="117" spans="1:7" x14ac:dyDescent="0.2">
      <c r="A117" s="76"/>
      <c r="B117" s="16"/>
      <c r="C117" s="76"/>
      <c r="D117" s="16"/>
      <c r="E117" s="47" t="s">
        <v>52</v>
      </c>
      <c r="F117" s="105">
        <f>F93</f>
        <v>36767</v>
      </c>
      <c r="G117" s="181"/>
    </row>
    <row r="118" spans="1:7" x14ac:dyDescent="0.2">
      <c r="A118" s="76"/>
      <c r="B118" s="16"/>
      <c r="C118" s="76"/>
      <c r="D118" s="16"/>
      <c r="E118" s="89" t="s">
        <v>53</v>
      </c>
      <c r="F118" s="114">
        <f>SUM(F115:F117)</f>
        <v>151185</v>
      </c>
      <c r="G118" s="146"/>
    </row>
    <row r="119" spans="1:7" x14ac:dyDescent="0.2">
      <c r="A119" s="76"/>
      <c r="B119" s="16"/>
      <c r="C119" s="76"/>
      <c r="D119" s="16"/>
      <c r="E119" s="47" t="s">
        <v>54</v>
      </c>
      <c r="F119" s="106">
        <f>F91</f>
        <v>5949</v>
      </c>
      <c r="G119" s="144" t="s">
        <v>1</v>
      </c>
    </row>
    <row r="120" spans="1:7" x14ac:dyDescent="0.2">
      <c r="A120" s="76"/>
      <c r="B120" s="16"/>
      <c r="C120" s="76"/>
      <c r="D120" s="16"/>
      <c r="E120" s="47" t="s">
        <v>55</v>
      </c>
      <c r="F120" s="106">
        <f>F107</f>
        <v>15539</v>
      </c>
      <c r="G120" s="144"/>
    </row>
    <row r="121" spans="1:7" ht="13.5" thickBot="1" x14ac:dyDescent="0.25">
      <c r="A121" s="90"/>
      <c r="B121" s="16"/>
      <c r="C121" s="76"/>
      <c r="D121" s="16"/>
      <c r="E121" s="91" t="s">
        <v>56</v>
      </c>
      <c r="F121" s="187">
        <f>SUM(F118:F120)</f>
        <v>172673</v>
      </c>
      <c r="G121" s="147"/>
    </row>
    <row r="122" spans="1:7" x14ac:dyDescent="0.2">
      <c r="G122" s="148"/>
    </row>
    <row r="123" spans="1:7" x14ac:dyDescent="0.2">
      <c r="A123" s="11"/>
      <c r="B123" s="96"/>
      <c r="C123" s="96"/>
      <c r="D123" s="232"/>
      <c r="E123" s="231"/>
      <c r="F123" s="104"/>
      <c r="G123" s="92"/>
    </row>
    <row r="124" spans="1:7" x14ac:dyDescent="0.2">
      <c r="A124" s="96"/>
      <c r="B124" s="96"/>
      <c r="C124" s="96"/>
      <c r="D124" s="178"/>
      <c r="E124" s="248"/>
      <c r="F124" s="104"/>
      <c r="G124" s="92"/>
    </row>
    <row r="125" spans="1:7" x14ac:dyDescent="0.2">
      <c r="A125" s="11"/>
      <c r="B125" s="96"/>
      <c r="C125" s="96"/>
      <c r="D125" s="178"/>
      <c r="E125" s="248"/>
      <c r="F125" s="104"/>
      <c r="G125" s="92"/>
    </row>
    <row r="126" spans="1:7" x14ac:dyDescent="0.2">
      <c r="D126" s="84"/>
      <c r="E126" s="214"/>
      <c r="F126" s="104"/>
      <c r="G126" s="92"/>
    </row>
    <row r="127" spans="1:7" x14ac:dyDescent="0.2">
      <c r="E127" s="214"/>
      <c r="F127" s="179"/>
      <c r="G127" s="92"/>
    </row>
    <row r="128" spans="1:7" x14ac:dyDescent="0.2">
      <c r="E128" s="214"/>
      <c r="G128" s="180"/>
    </row>
    <row r="129" spans="5:7" x14ac:dyDescent="0.2">
      <c r="E129" s="214"/>
      <c r="G129" s="148"/>
    </row>
    <row r="130" spans="5:7" x14ac:dyDescent="0.2">
      <c r="E130" s="214"/>
    </row>
    <row r="131" spans="5:7" x14ac:dyDescent="0.2">
      <c r="E131" s="214"/>
    </row>
    <row r="132" spans="5:7" x14ac:dyDescent="0.2">
      <c r="E132" s="214"/>
      <c r="G132" s="148"/>
    </row>
    <row r="133" spans="5:7" x14ac:dyDescent="0.2">
      <c r="E133" s="84"/>
    </row>
    <row r="134" spans="5:7" x14ac:dyDescent="0.2">
      <c r="E134" s="214"/>
    </row>
    <row r="135" spans="5:7" x14ac:dyDescent="0.2">
      <c r="E135" s="214"/>
    </row>
    <row r="136" spans="5:7" x14ac:dyDescent="0.2">
      <c r="E136" s="214"/>
    </row>
    <row r="137" spans="5:7" x14ac:dyDescent="0.2">
      <c r="E137" s="214"/>
    </row>
    <row r="138" spans="5:7" x14ac:dyDescent="0.2">
      <c r="E138" s="214"/>
    </row>
    <row r="139" spans="5:7" x14ac:dyDescent="0.2">
      <c r="E139" s="84"/>
    </row>
    <row r="140" spans="5:7" x14ac:dyDescent="0.2">
      <c r="E140" s="214"/>
    </row>
    <row r="141" spans="5:7" x14ac:dyDescent="0.2">
      <c r="E141" s="214"/>
    </row>
    <row r="142" spans="5:7" x14ac:dyDescent="0.2">
      <c r="E142" s="214"/>
    </row>
    <row r="143" spans="5:7" x14ac:dyDescent="0.2">
      <c r="E143" s="214"/>
    </row>
    <row r="144" spans="5:7" x14ac:dyDescent="0.2">
      <c r="E144" s="214"/>
    </row>
    <row r="145" spans="5:5" x14ac:dyDescent="0.2">
      <c r="E145" s="214"/>
    </row>
    <row r="146" spans="5:5" x14ac:dyDescent="0.2">
      <c r="E146" s="214"/>
    </row>
    <row r="147" spans="5:5" x14ac:dyDescent="0.2">
      <c r="E147" s="214"/>
    </row>
    <row r="148" spans="5:5" x14ac:dyDescent="0.2">
      <c r="E148" s="214"/>
    </row>
    <row r="149" spans="5:5" x14ac:dyDescent="0.2">
      <c r="E149" s="214"/>
    </row>
    <row r="150" spans="5:5" x14ac:dyDescent="0.2">
      <c r="E150" s="214"/>
    </row>
  </sheetData>
  <sortState ref="A112:AH113">
    <sortCondition ref="C112:C113"/>
  </sortState>
  <phoneticPr fontId="6" type="noConversion"/>
  <pageMargins left="0.15748031496062992" right="0.15748031496062992" top="0.27559055118110237" bottom="0.27559055118110237" header="0.19685039370078741" footer="0.15748031496062992"/>
  <pageSetup paperSize="9" scale="95" fitToWidth="0" fitToHeight="0" orientation="portrait" r:id="rId1"/>
  <headerFooter alignWithMargins="0">
    <oddHeader>&amp;R&amp;P+1.strana</oddHeader>
    <oddFooter xml:space="preserve">&amp;R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FA129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2" sqref="E2:G4"/>
    </sheetView>
  </sheetViews>
  <sheetFormatPr defaultColWidth="7.85546875" defaultRowHeight="12.75" x14ac:dyDescent="0.2"/>
  <cols>
    <col min="1" max="1" width="3.28515625" style="65" customWidth="1"/>
    <col min="2" max="2" width="4.85546875" style="68" customWidth="1"/>
    <col min="3" max="3" width="5.28515625" style="68" bestFit="1" customWidth="1"/>
    <col min="4" max="4" width="27.42578125" style="126" customWidth="1"/>
    <col min="5" max="6" width="9.7109375" style="245" customWidth="1"/>
    <col min="7" max="7" width="9.7109375" style="84" customWidth="1"/>
    <col min="8" max="8" width="23" style="84" customWidth="1"/>
    <col min="9" max="9" width="5.7109375" style="65" customWidth="1"/>
    <col min="10" max="11" width="9" style="65" customWidth="1"/>
    <col min="12" max="16384" width="7.85546875" style="65"/>
  </cols>
  <sheetData>
    <row r="1" spans="1:10" ht="18.75" thickBot="1" x14ac:dyDescent="0.3">
      <c r="A1" s="75" t="s">
        <v>368</v>
      </c>
      <c r="B1" s="152"/>
      <c r="C1" s="152"/>
      <c r="D1" s="151"/>
      <c r="E1" s="151"/>
      <c r="F1" s="151"/>
      <c r="G1" s="152"/>
      <c r="H1" s="225"/>
      <c r="I1" s="16"/>
      <c r="J1" s="84"/>
    </row>
    <row r="2" spans="1:10" x14ac:dyDescent="0.2">
      <c r="A2" s="97"/>
      <c r="B2" s="69"/>
      <c r="C2" s="69"/>
      <c r="D2" s="235"/>
      <c r="E2" s="272"/>
      <c r="F2" s="111" t="s">
        <v>325</v>
      </c>
      <c r="G2" s="111"/>
      <c r="H2" s="240"/>
      <c r="I2" s="206"/>
      <c r="J2" s="153"/>
    </row>
    <row r="3" spans="1:10" x14ac:dyDescent="0.2">
      <c r="A3" s="64"/>
      <c r="B3" s="22"/>
      <c r="C3" s="22"/>
      <c r="D3" s="237"/>
      <c r="E3" s="34">
        <v>2021</v>
      </c>
      <c r="F3" s="35">
        <v>2021</v>
      </c>
      <c r="G3" s="63">
        <v>2021</v>
      </c>
      <c r="H3" s="63"/>
      <c r="I3" s="189" t="s">
        <v>137</v>
      </c>
      <c r="J3" s="207" t="s">
        <v>145</v>
      </c>
    </row>
    <row r="4" spans="1:10" ht="13.5" thickBot="1" x14ac:dyDescent="0.25">
      <c r="A4" s="36" t="s">
        <v>57</v>
      </c>
      <c r="B4" s="19" t="s">
        <v>17</v>
      </c>
      <c r="C4" s="19" t="s">
        <v>18</v>
      </c>
      <c r="D4" s="199" t="s">
        <v>58</v>
      </c>
      <c r="E4" s="36" t="s">
        <v>59</v>
      </c>
      <c r="F4" s="19" t="s">
        <v>60</v>
      </c>
      <c r="G4" s="37" t="s">
        <v>61</v>
      </c>
      <c r="H4" s="37" t="s">
        <v>210</v>
      </c>
      <c r="I4" s="190" t="s">
        <v>136</v>
      </c>
      <c r="J4" s="208" t="s">
        <v>140</v>
      </c>
    </row>
    <row r="5" spans="1:10" x14ac:dyDescent="0.2">
      <c r="A5" s="98">
        <v>10</v>
      </c>
      <c r="B5" s="52"/>
      <c r="C5" s="52"/>
      <c r="D5" s="195" t="s">
        <v>62</v>
      </c>
      <c r="E5" s="38">
        <f>SUM(E6:E6)</f>
        <v>1235</v>
      </c>
      <c r="F5" s="39">
        <f>SUM(F6:F6)</f>
        <v>160</v>
      </c>
      <c r="G5" s="113">
        <f>SUM(G6:G6)</f>
        <v>1395</v>
      </c>
      <c r="H5" s="113"/>
      <c r="I5" s="40"/>
      <c r="J5" s="57"/>
    </row>
    <row r="6" spans="1:10" x14ac:dyDescent="0.2">
      <c r="A6" s="99"/>
      <c r="B6" s="21">
        <v>1031</v>
      </c>
      <c r="C6" s="21">
        <v>201</v>
      </c>
      <c r="D6" s="118" t="s">
        <v>171</v>
      </c>
      <c r="E6" s="33">
        <f>612+623</f>
        <v>1235</v>
      </c>
      <c r="F6" s="227">
        <v>160</v>
      </c>
      <c r="G6" s="42">
        <f>E6+F6</f>
        <v>1395</v>
      </c>
      <c r="H6" s="42"/>
      <c r="I6" s="168" t="s">
        <v>254</v>
      </c>
      <c r="J6" s="155" t="s">
        <v>63</v>
      </c>
    </row>
    <row r="7" spans="1:10" x14ac:dyDescent="0.2">
      <c r="A7" s="100">
        <v>21</v>
      </c>
      <c r="B7" s="17"/>
      <c r="C7" s="17"/>
      <c r="D7" s="200" t="s">
        <v>205</v>
      </c>
      <c r="E7" s="43">
        <f t="shared" ref="E7:G7" si="0">SUM(E8:E12)</f>
        <v>874</v>
      </c>
      <c r="F7" s="44">
        <f t="shared" si="0"/>
        <v>400</v>
      </c>
      <c r="G7" s="45">
        <f t="shared" si="0"/>
        <v>1274</v>
      </c>
      <c r="H7" s="45"/>
      <c r="I7" s="40"/>
      <c r="J7" s="57"/>
    </row>
    <row r="8" spans="1:10" x14ac:dyDescent="0.2">
      <c r="A8" s="47"/>
      <c r="B8" s="21">
        <v>2121</v>
      </c>
      <c r="C8" s="21">
        <v>20</v>
      </c>
      <c r="D8" s="118" t="s">
        <v>84</v>
      </c>
      <c r="E8" s="33"/>
      <c r="F8" s="12">
        <v>100</v>
      </c>
      <c r="G8" s="42">
        <f>E8+F8</f>
        <v>100</v>
      </c>
      <c r="H8" s="42"/>
      <c r="I8" s="168" t="s">
        <v>63</v>
      </c>
      <c r="J8" s="155" t="s">
        <v>105</v>
      </c>
    </row>
    <row r="9" spans="1:10" x14ac:dyDescent="0.2">
      <c r="A9" s="47"/>
      <c r="B9" s="21">
        <v>2121</v>
      </c>
      <c r="C9" s="21">
        <v>237</v>
      </c>
      <c r="D9" s="118" t="s">
        <v>152</v>
      </c>
      <c r="E9" s="33">
        <v>358</v>
      </c>
      <c r="F9" s="12"/>
      <c r="G9" s="42">
        <f>E9+F9</f>
        <v>358</v>
      </c>
      <c r="H9" s="42"/>
      <c r="I9" s="168" t="s">
        <v>63</v>
      </c>
      <c r="J9" s="155" t="s">
        <v>105</v>
      </c>
    </row>
    <row r="10" spans="1:10" x14ac:dyDescent="0.2">
      <c r="A10" s="47"/>
      <c r="B10" s="21">
        <v>2141</v>
      </c>
      <c r="C10" s="21">
        <v>101</v>
      </c>
      <c r="D10" s="118" t="s">
        <v>222</v>
      </c>
      <c r="E10" s="33">
        <v>27</v>
      </c>
      <c r="F10" s="12"/>
      <c r="G10" s="42">
        <f>E10+F10</f>
        <v>27</v>
      </c>
      <c r="H10" s="42"/>
      <c r="I10" s="168" t="s">
        <v>250</v>
      </c>
      <c r="J10" s="155" t="s">
        <v>105</v>
      </c>
    </row>
    <row r="11" spans="1:10" x14ac:dyDescent="0.2">
      <c r="A11" s="47"/>
      <c r="B11" s="21">
        <v>2144</v>
      </c>
      <c r="C11" s="21">
        <v>650</v>
      </c>
      <c r="D11" s="118" t="s">
        <v>148</v>
      </c>
      <c r="E11" s="33">
        <v>230</v>
      </c>
      <c r="F11" s="12"/>
      <c r="G11" s="42">
        <f>E11+F11</f>
        <v>230</v>
      </c>
      <c r="H11" s="42"/>
      <c r="I11" s="165" t="s">
        <v>234</v>
      </c>
      <c r="J11" s="156" t="s">
        <v>387</v>
      </c>
    </row>
    <row r="12" spans="1:10" x14ac:dyDescent="0.2">
      <c r="A12" s="47"/>
      <c r="B12" s="21">
        <v>2199</v>
      </c>
      <c r="C12" s="21">
        <v>912</v>
      </c>
      <c r="D12" s="118" t="s">
        <v>88</v>
      </c>
      <c r="E12" s="33">
        <v>259</v>
      </c>
      <c r="F12" s="12">
        <v>300</v>
      </c>
      <c r="G12" s="42">
        <f>E12+F12</f>
        <v>559</v>
      </c>
      <c r="H12" s="42"/>
      <c r="I12" s="166" t="s">
        <v>320</v>
      </c>
      <c r="J12" s="157" t="s">
        <v>105</v>
      </c>
    </row>
    <row r="13" spans="1:10" x14ac:dyDescent="0.2">
      <c r="A13" s="100">
        <v>22</v>
      </c>
      <c r="B13" s="17"/>
      <c r="C13" s="17"/>
      <c r="D13" s="200" t="s">
        <v>65</v>
      </c>
      <c r="E13" s="43">
        <f t="shared" ref="E13:G13" si="1">SUM(E14:E28)</f>
        <v>9410</v>
      </c>
      <c r="F13" s="44">
        <f t="shared" si="1"/>
        <v>19976</v>
      </c>
      <c r="G13" s="45">
        <f t="shared" si="1"/>
        <v>29386</v>
      </c>
      <c r="H13" s="45"/>
      <c r="I13" s="40"/>
      <c r="J13" s="57"/>
    </row>
    <row r="14" spans="1:10" x14ac:dyDescent="0.2">
      <c r="A14" s="99"/>
      <c r="B14" s="21">
        <v>2212</v>
      </c>
      <c r="C14" s="21">
        <v>203</v>
      </c>
      <c r="D14" s="118" t="s">
        <v>338</v>
      </c>
      <c r="E14" s="33">
        <v>200</v>
      </c>
      <c r="F14" s="12"/>
      <c r="G14" s="42">
        <f>E14+F14</f>
        <v>200</v>
      </c>
      <c r="H14" s="42"/>
      <c r="I14" s="168" t="s">
        <v>142</v>
      </c>
      <c r="J14" s="155" t="s">
        <v>105</v>
      </c>
    </row>
    <row r="15" spans="1:10" x14ac:dyDescent="0.2">
      <c r="A15" s="99"/>
      <c r="B15" s="21">
        <v>2212</v>
      </c>
      <c r="C15" s="21">
        <v>204</v>
      </c>
      <c r="D15" s="118" t="s">
        <v>110</v>
      </c>
      <c r="E15" s="33">
        <v>5768</v>
      </c>
      <c r="F15" s="12"/>
      <c r="G15" s="42">
        <f>E15+F15</f>
        <v>5768</v>
      </c>
      <c r="H15" s="42"/>
      <c r="I15" s="168" t="s">
        <v>177</v>
      </c>
      <c r="J15" s="155" t="s">
        <v>105</v>
      </c>
    </row>
    <row r="16" spans="1:10" x14ac:dyDescent="0.2">
      <c r="A16" s="99"/>
      <c r="B16" s="21">
        <v>2212</v>
      </c>
      <c r="C16" s="21">
        <v>206</v>
      </c>
      <c r="D16" s="118" t="s">
        <v>253</v>
      </c>
      <c r="E16" s="33"/>
      <c r="F16" s="12">
        <v>100</v>
      </c>
      <c r="G16" s="42">
        <f>E16+F16</f>
        <v>100</v>
      </c>
      <c r="H16" s="42" t="s">
        <v>318</v>
      </c>
      <c r="I16" s="168" t="s">
        <v>320</v>
      </c>
      <c r="J16" s="155" t="s">
        <v>105</v>
      </c>
    </row>
    <row r="17" spans="1:10" s="245" customFormat="1" x14ac:dyDescent="0.2">
      <c r="A17" s="99"/>
      <c r="B17" s="21">
        <v>2212</v>
      </c>
      <c r="C17" s="21">
        <v>207</v>
      </c>
      <c r="D17" s="118" t="s">
        <v>337</v>
      </c>
      <c r="E17" s="33">
        <v>2400</v>
      </c>
      <c r="F17" s="12"/>
      <c r="G17" s="42">
        <f>E17+F17</f>
        <v>2400</v>
      </c>
      <c r="H17" s="42" t="s">
        <v>334</v>
      </c>
      <c r="I17" s="168" t="s">
        <v>142</v>
      </c>
      <c r="J17" s="155" t="s">
        <v>105</v>
      </c>
    </row>
    <row r="18" spans="1:10" x14ac:dyDescent="0.2">
      <c r="A18" s="99"/>
      <c r="B18" s="21">
        <v>2212</v>
      </c>
      <c r="C18" s="21">
        <v>217</v>
      </c>
      <c r="D18" s="118" t="s">
        <v>311</v>
      </c>
      <c r="E18" s="33">
        <v>150</v>
      </c>
      <c r="F18" s="12"/>
      <c r="G18" s="42">
        <f>E18+F18</f>
        <v>150</v>
      </c>
      <c r="H18" s="42" t="s">
        <v>330</v>
      </c>
      <c r="I18" s="168" t="s">
        <v>142</v>
      </c>
      <c r="J18" s="155" t="s">
        <v>105</v>
      </c>
    </row>
    <row r="19" spans="1:10" x14ac:dyDescent="0.2">
      <c r="A19" s="99"/>
      <c r="B19" s="21">
        <v>2212</v>
      </c>
      <c r="C19" s="21">
        <v>220</v>
      </c>
      <c r="D19" s="118" t="s">
        <v>303</v>
      </c>
      <c r="E19" s="33">
        <f>122+78</f>
        <v>200</v>
      </c>
      <c r="F19" s="12">
        <f>1800+11834</f>
        <v>13634</v>
      </c>
      <c r="G19" s="42">
        <f>E19+F19</f>
        <v>13834</v>
      </c>
      <c r="H19" s="42" t="s">
        <v>317</v>
      </c>
      <c r="I19" s="168" t="s">
        <v>142</v>
      </c>
      <c r="J19" s="155" t="s">
        <v>105</v>
      </c>
    </row>
    <row r="20" spans="1:10" s="245" customFormat="1" x14ac:dyDescent="0.2">
      <c r="A20" s="99"/>
      <c r="B20" s="21">
        <v>2212</v>
      </c>
      <c r="C20" s="21">
        <v>222</v>
      </c>
      <c r="D20" s="118" t="s">
        <v>333</v>
      </c>
      <c r="E20" s="33"/>
      <c r="F20" s="12">
        <v>1320</v>
      </c>
      <c r="G20" s="42">
        <f>E20+F20</f>
        <v>1320</v>
      </c>
      <c r="H20" s="42"/>
      <c r="I20" s="168" t="s">
        <v>142</v>
      </c>
      <c r="J20" s="155" t="s">
        <v>105</v>
      </c>
    </row>
    <row r="21" spans="1:10" x14ac:dyDescent="0.2">
      <c r="A21" s="99"/>
      <c r="B21" s="21">
        <v>2219</v>
      </c>
      <c r="C21" s="21">
        <v>39</v>
      </c>
      <c r="D21" s="118" t="s">
        <v>350</v>
      </c>
      <c r="E21" s="33"/>
      <c r="F21" s="12">
        <f>600+300</f>
        <v>900</v>
      </c>
      <c r="G21" s="42">
        <f>E21+F21</f>
        <v>900</v>
      </c>
      <c r="H21" s="42"/>
      <c r="I21" s="168" t="s">
        <v>320</v>
      </c>
      <c r="J21" s="155" t="s">
        <v>105</v>
      </c>
    </row>
    <row r="22" spans="1:10" x14ac:dyDescent="0.2">
      <c r="A22" s="99"/>
      <c r="B22" s="21">
        <v>2219</v>
      </c>
      <c r="C22" s="21">
        <v>43</v>
      </c>
      <c r="D22" s="118" t="s">
        <v>108</v>
      </c>
      <c r="E22" s="33">
        <v>31</v>
      </c>
      <c r="F22" s="12"/>
      <c r="G22" s="42">
        <f>E22+F22</f>
        <v>31</v>
      </c>
      <c r="H22" s="42"/>
      <c r="I22" s="173" t="s">
        <v>141</v>
      </c>
      <c r="J22" s="156" t="s">
        <v>234</v>
      </c>
    </row>
    <row r="23" spans="1:10" s="245" customFormat="1" x14ac:dyDescent="0.2">
      <c r="A23" s="99"/>
      <c r="B23" s="21">
        <v>2219</v>
      </c>
      <c r="C23" s="21">
        <v>46</v>
      </c>
      <c r="D23" s="118" t="s">
        <v>243</v>
      </c>
      <c r="E23" s="33"/>
      <c r="F23" s="12">
        <v>200</v>
      </c>
      <c r="G23" s="42">
        <f>E23+F23</f>
        <v>200</v>
      </c>
      <c r="H23" s="42" t="s">
        <v>318</v>
      </c>
      <c r="I23" s="168" t="s">
        <v>320</v>
      </c>
      <c r="J23" s="155" t="s">
        <v>105</v>
      </c>
    </row>
    <row r="24" spans="1:10" x14ac:dyDescent="0.2">
      <c r="A24" s="99"/>
      <c r="B24" s="21">
        <v>2219</v>
      </c>
      <c r="C24" s="21">
        <v>49</v>
      </c>
      <c r="D24" s="118" t="s">
        <v>312</v>
      </c>
      <c r="E24" s="12">
        <v>135</v>
      </c>
      <c r="F24" s="12"/>
      <c r="G24" s="42">
        <f>E24+F24</f>
        <v>135</v>
      </c>
      <c r="H24" s="42" t="s">
        <v>330</v>
      </c>
      <c r="I24" s="168" t="s">
        <v>320</v>
      </c>
      <c r="J24" s="155" t="s">
        <v>105</v>
      </c>
    </row>
    <row r="25" spans="1:10" x14ac:dyDescent="0.2">
      <c r="A25" s="99"/>
      <c r="B25" s="21">
        <v>2292</v>
      </c>
      <c r="C25" s="21">
        <v>204</v>
      </c>
      <c r="D25" s="118" t="s">
        <v>106</v>
      </c>
      <c r="E25" s="33">
        <v>486</v>
      </c>
      <c r="F25" s="12"/>
      <c r="G25" s="42">
        <f t="shared" ref="G14:G28" si="2">E25+F25</f>
        <v>486</v>
      </c>
      <c r="H25" s="42" t="s">
        <v>304</v>
      </c>
      <c r="I25" s="209" t="s">
        <v>178</v>
      </c>
      <c r="J25" s="154" t="s">
        <v>66</v>
      </c>
    </row>
    <row r="26" spans="1:10" x14ac:dyDescent="0.2">
      <c r="A26" s="99"/>
      <c r="B26" s="21">
        <v>2333</v>
      </c>
      <c r="C26" s="21">
        <v>280</v>
      </c>
      <c r="D26" s="223" t="s">
        <v>302</v>
      </c>
      <c r="E26" s="33"/>
      <c r="F26" s="12">
        <v>822</v>
      </c>
      <c r="G26" s="42">
        <f t="shared" si="2"/>
        <v>822</v>
      </c>
      <c r="H26" s="42" t="s">
        <v>390</v>
      </c>
      <c r="I26" s="168" t="s">
        <v>320</v>
      </c>
      <c r="J26" s="155" t="s">
        <v>105</v>
      </c>
    </row>
    <row r="27" spans="1:10" s="245" customFormat="1" x14ac:dyDescent="0.2">
      <c r="A27" s="99"/>
      <c r="B27" s="21">
        <v>2341</v>
      </c>
      <c r="C27" s="21">
        <v>50</v>
      </c>
      <c r="D27" s="223" t="s">
        <v>327</v>
      </c>
      <c r="E27" s="33"/>
      <c r="F27" s="12">
        <v>3000</v>
      </c>
      <c r="G27" s="42">
        <f t="shared" si="2"/>
        <v>3000</v>
      </c>
      <c r="H27" s="42"/>
      <c r="I27" s="168" t="s">
        <v>320</v>
      </c>
      <c r="J27" s="155" t="s">
        <v>105</v>
      </c>
    </row>
    <row r="28" spans="1:10" s="222" customFormat="1" ht="12" x14ac:dyDescent="0.2">
      <c r="A28" s="218"/>
      <c r="B28" s="25">
        <v>2321</v>
      </c>
      <c r="C28" s="219">
        <v>5103</v>
      </c>
      <c r="D28" s="201" t="s">
        <v>251</v>
      </c>
      <c r="E28" s="46">
        <v>40</v>
      </c>
      <c r="F28" s="49"/>
      <c r="G28" s="48">
        <f t="shared" si="2"/>
        <v>40</v>
      </c>
      <c r="H28" s="48"/>
      <c r="I28" s="220" t="s">
        <v>263</v>
      </c>
      <c r="J28" s="221" t="s">
        <v>66</v>
      </c>
    </row>
    <row r="29" spans="1:10" x14ac:dyDescent="0.2">
      <c r="A29" s="64">
        <v>31</v>
      </c>
      <c r="B29" s="22">
        <v>3100</v>
      </c>
      <c r="C29" s="22"/>
      <c r="D29" s="195" t="s">
        <v>324</v>
      </c>
      <c r="E29" s="40">
        <f>SUM(E30:E42)</f>
        <v>17266</v>
      </c>
      <c r="F29" s="14">
        <f>SUM(F30:F42)</f>
        <v>535</v>
      </c>
      <c r="G29" s="41">
        <f>SUM(G30:G42)</f>
        <v>17801</v>
      </c>
      <c r="H29" s="41"/>
      <c r="I29" s="169"/>
      <c r="J29" s="57"/>
    </row>
    <row r="30" spans="1:10" ht="12" customHeight="1" x14ac:dyDescent="0.2">
      <c r="A30" s="99"/>
      <c r="B30" s="21">
        <v>3111</v>
      </c>
      <c r="C30" s="21">
        <v>301</v>
      </c>
      <c r="D30" s="118" t="s">
        <v>186</v>
      </c>
      <c r="E30" s="33">
        <v>1418</v>
      </c>
      <c r="F30" s="12"/>
      <c r="G30" s="42">
        <f t="shared" ref="G30:G42" si="3">E30+F30</f>
        <v>1418</v>
      </c>
      <c r="H30" s="42"/>
      <c r="I30" s="167" t="s">
        <v>179</v>
      </c>
      <c r="J30" s="154" t="s">
        <v>66</v>
      </c>
    </row>
    <row r="31" spans="1:10" ht="12" customHeight="1" x14ac:dyDescent="0.2">
      <c r="A31" s="99"/>
      <c r="B31" s="21">
        <v>3111</v>
      </c>
      <c r="C31" s="21">
        <v>301</v>
      </c>
      <c r="D31" s="118" t="s">
        <v>199</v>
      </c>
      <c r="E31" s="33">
        <v>231</v>
      </c>
      <c r="F31" s="12"/>
      <c r="G31" s="42">
        <f t="shared" si="3"/>
        <v>231</v>
      </c>
      <c r="H31" s="42"/>
      <c r="I31" s="167" t="s">
        <v>179</v>
      </c>
      <c r="J31" s="154" t="s">
        <v>66</v>
      </c>
    </row>
    <row r="32" spans="1:10" ht="12" customHeight="1" x14ac:dyDescent="0.2">
      <c r="A32" s="99"/>
      <c r="B32" s="21">
        <v>3111</v>
      </c>
      <c r="C32" s="21" t="s">
        <v>290</v>
      </c>
      <c r="D32" s="118" t="s">
        <v>281</v>
      </c>
      <c r="E32" s="33">
        <f>5200</f>
        <v>5200</v>
      </c>
      <c r="F32" s="12"/>
      <c r="G32" s="42">
        <f t="shared" si="3"/>
        <v>5200</v>
      </c>
      <c r="H32" s="42"/>
      <c r="I32" s="168" t="s">
        <v>142</v>
      </c>
      <c r="J32" s="155" t="s">
        <v>105</v>
      </c>
    </row>
    <row r="33" spans="1:10" x14ac:dyDescent="0.2">
      <c r="A33" s="99"/>
      <c r="B33" s="21">
        <v>3113</v>
      </c>
      <c r="C33" s="21">
        <v>300</v>
      </c>
      <c r="D33" s="118" t="s">
        <v>180</v>
      </c>
      <c r="E33" s="33">
        <f>2260+140+250+1000</f>
        <v>3650</v>
      </c>
      <c r="F33" s="12"/>
      <c r="G33" s="42">
        <f t="shared" si="3"/>
        <v>3650</v>
      </c>
      <c r="H33" s="42" t="s">
        <v>341</v>
      </c>
      <c r="I33" s="168" t="s">
        <v>142</v>
      </c>
      <c r="J33" s="155" t="s">
        <v>105</v>
      </c>
    </row>
    <row r="34" spans="1:10" ht="12.75" customHeight="1" x14ac:dyDescent="0.2">
      <c r="A34" s="99"/>
      <c r="B34" s="21">
        <v>3113</v>
      </c>
      <c r="C34" s="21">
        <v>303</v>
      </c>
      <c r="D34" s="118" t="s">
        <v>187</v>
      </c>
      <c r="E34" s="33">
        <v>2055</v>
      </c>
      <c r="F34" s="12"/>
      <c r="G34" s="42">
        <f t="shared" si="3"/>
        <v>2055</v>
      </c>
      <c r="H34" s="42" t="s">
        <v>305</v>
      </c>
      <c r="I34" s="167" t="s">
        <v>179</v>
      </c>
      <c r="J34" s="154" t="s">
        <v>66</v>
      </c>
    </row>
    <row r="35" spans="1:10" x14ac:dyDescent="0.2">
      <c r="A35" s="99"/>
      <c r="B35" s="21">
        <v>3113</v>
      </c>
      <c r="C35" s="21">
        <v>303.30399999999997</v>
      </c>
      <c r="D35" s="118" t="s">
        <v>200</v>
      </c>
      <c r="E35" s="33">
        <f>661+540</f>
        <v>1201</v>
      </c>
      <c r="F35" s="12"/>
      <c r="G35" s="42">
        <f t="shared" si="3"/>
        <v>1201</v>
      </c>
      <c r="H35" s="42"/>
      <c r="I35" s="167" t="s">
        <v>179</v>
      </c>
      <c r="J35" s="154" t="s">
        <v>66</v>
      </c>
    </row>
    <row r="36" spans="1:10" x14ac:dyDescent="0.2">
      <c r="A36" s="99"/>
      <c r="B36" s="21">
        <v>3113</v>
      </c>
      <c r="C36" s="21">
        <v>304</v>
      </c>
      <c r="D36" s="118" t="s">
        <v>188</v>
      </c>
      <c r="E36" s="33">
        <v>1355</v>
      </c>
      <c r="F36" s="12"/>
      <c r="G36" s="42">
        <f t="shared" si="3"/>
        <v>1355</v>
      </c>
      <c r="H36" s="42" t="s">
        <v>319</v>
      </c>
      <c r="I36" s="167" t="s">
        <v>179</v>
      </c>
      <c r="J36" s="154" t="s">
        <v>66</v>
      </c>
    </row>
    <row r="37" spans="1:10" x14ac:dyDescent="0.2">
      <c r="A37" s="99"/>
      <c r="B37" s="21">
        <v>3113</v>
      </c>
      <c r="C37" s="21">
        <v>4169</v>
      </c>
      <c r="D37" s="223" t="s">
        <v>267</v>
      </c>
      <c r="E37" s="33">
        <v>109</v>
      </c>
      <c r="F37" s="12"/>
      <c r="G37" s="42">
        <f t="shared" si="3"/>
        <v>109</v>
      </c>
      <c r="H37" s="42" t="s">
        <v>342</v>
      </c>
      <c r="I37" s="168" t="s">
        <v>320</v>
      </c>
      <c r="J37" s="155" t="s">
        <v>105</v>
      </c>
    </row>
    <row r="38" spans="1:10" x14ac:dyDescent="0.2">
      <c r="A38" s="99"/>
      <c r="B38" s="21">
        <v>3113</v>
      </c>
      <c r="C38" s="21">
        <v>319</v>
      </c>
      <c r="D38" s="118" t="s">
        <v>313</v>
      </c>
      <c r="E38" s="33"/>
      <c r="F38" s="12">
        <v>400</v>
      </c>
      <c r="G38" s="42">
        <f t="shared" si="3"/>
        <v>400</v>
      </c>
      <c r="H38" s="42" t="s">
        <v>332</v>
      </c>
      <c r="I38" s="168" t="s">
        <v>320</v>
      </c>
      <c r="J38" s="155" t="s">
        <v>105</v>
      </c>
    </row>
    <row r="39" spans="1:10" x14ac:dyDescent="0.2">
      <c r="A39" s="99"/>
      <c r="B39" s="21">
        <v>3119</v>
      </c>
      <c r="C39" s="21">
        <v>1112</v>
      </c>
      <c r="D39" s="118" t="s">
        <v>211</v>
      </c>
      <c r="E39" s="33">
        <v>145</v>
      </c>
      <c r="F39" s="12"/>
      <c r="G39" s="42">
        <f t="shared" si="3"/>
        <v>145</v>
      </c>
      <c r="H39" s="42" t="s">
        <v>361</v>
      </c>
      <c r="I39" s="167" t="s">
        <v>179</v>
      </c>
      <c r="J39" s="154" t="s">
        <v>66</v>
      </c>
    </row>
    <row r="40" spans="1:10" x14ac:dyDescent="0.2">
      <c r="A40" s="99"/>
      <c r="B40" s="21">
        <v>3141</v>
      </c>
      <c r="C40" s="21">
        <v>309</v>
      </c>
      <c r="D40" s="118" t="s">
        <v>218</v>
      </c>
      <c r="E40" s="33">
        <v>1589</v>
      </c>
      <c r="F40" s="12">
        <v>135</v>
      </c>
      <c r="G40" s="42">
        <f t="shared" si="3"/>
        <v>1724</v>
      </c>
      <c r="H40" s="42" t="s">
        <v>345</v>
      </c>
      <c r="I40" s="167" t="s">
        <v>179</v>
      </c>
      <c r="J40" s="159" t="s">
        <v>240</v>
      </c>
    </row>
    <row r="41" spans="1:10" x14ac:dyDescent="0.2">
      <c r="A41" s="99"/>
      <c r="B41" s="21">
        <v>3231</v>
      </c>
      <c r="C41" s="21">
        <v>310</v>
      </c>
      <c r="D41" s="118" t="s">
        <v>264</v>
      </c>
      <c r="E41" s="33">
        <v>247</v>
      </c>
      <c r="F41" s="12"/>
      <c r="G41" s="42">
        <f t="shared" si="3"/>
        <v>247</v>
      </c>
      <c r="H41" s="42"/>
      <c r="I41" s="167" t="s">
        <v>179</v>
      </c>
      <c r="J41" s="154" t="s">
        <v>66</v>
      </c>
    </row>
    <row r="42" spans="1:10" x14ac:dyDescent="0.2">
      <c r="A42" s="101"/>
      <c r="B42" s="25">
        <v>3231</v>
      </c>
      <c r="C42" s="25">
        <v>310</v>
      </c>
      <c r="D42" s="201" t="s">
        <v>201</v>
      </c>
      <c r="E42" s="46">
        <v>66</v>
      </c>
      <c r="F42" s="49"/>
      <c r="G42" s="48">
        <f t="shared" si="3"/>
        <v>66</v>
      </c>
      <c r="H42" s="48"/>
      <c r="I42" s="210" t="s">
        <v>179</v>
      </c>
      <c r="J42" s="158" t="s">
        <v>66</v>
      </c>
    </row>
    <row r="43" spans="1:10" x14ac:dyDescent="0.2">
      <c r="A43" s="64">
        <v>33</v>
      </c>
      <c r="B43" s="22">
        <v>3300</v>
      </c>
      <c r="C43" s="22"/>
      <c r="D43" s="195" t="s">
        <v>67</v>
      </c>
      <c r="E43" s="40">
        <f t="shared" ref="E43:G43" si="4">SUM(E44:E53)</f>
        <v>10968</v>
      </c>
      <c r="F43" s="14">
        <f t="shared" si="4"/>
        <v>0</v>
      </c>
      <c r="G43" s="41">
        <f t="shared" si="4"/>
        <v>10968</v>
      </c>
      <c r="H43" s="41"/>
      <c r="I43" s="169"/>
      <c r="J43" s="57"/>
    </row>
    <row r="44" spans="1:10" x14ac:dyDescent="0.2">
      <c r="A44" s="99"/>
      <c r="B44" s="21">
        <v>3314</v>
      </c>
      <c r="C44" s="21">
        <v>504</v>
      </c>
      <c r="D44" s="118" t="s">
        <v>104</v>
      </c>
      <c r="E44" s="33">
        <f>342+1376</f>
        <v>1718</v>
      </c>
      <c r="F44" s="12"/>
      <c r="G44" s="42">
        <f>E44+F44</f>
        <v>1718</v>
      </c>
      <c r="H44" s="42"/>
      <c r="I44" s="47" t="s">
        <v>221</v>
      </c>
      <c r="J44" s="42" t="s">
        <v>115</v>
      </c>
    </row>
    <row r="45" spans="1:10" x14ac:dyDescent="0.2">
      <c r="A45" s="99"/>
      <c r="B45" s="21">
        <v>3315</v>
      </c>
      <c r="C45" s="21">
        <v>505</v>
      </c>
      <c r="D45" s="118" t="s">
        <v>209</v>
      </c>
      <c r="E45" s="33">
        <v>1285</v>
      </c>
      <c r="F45" s="12"/>
      <c r="G45" s="42">
        <f t="shared" ref="G45:G52" si="5">E45+F45</f>
        <v>1285</v>
      </c>
      <c r="H45" s="42" t="s">
        <v>314</v>
      </c>
      <c r="I45" s="167" t="s">
        <v>179</v>
      </c>
      <c r="J45" s="154" t="s">
        <v>66</v>
      </c>
    </row>
    <row r="46" spans="1:10" ht="12.75" customHeight="1" x14ac:dyDescent="0.2">
      <c r="A46" s="99"/>
      <c r="B46" s="21">
        <v>3319</v>
      </c>
      <c r="C46" s="21">
        <v>106</v>
      </c>
      <c r="D46" s="118" t="s">
        <v>286</v>
      </c>
      <c r="E46" s="33">
        <v>40</v>
      </c>
      <c r="F46" s="12"/>
      <c r="G46" s="42">
        <f t="shared" si="5"/>
        <v>40</v>
      </c>
      <c r="H46" s="42" t="s">
        <v>306</v>
      </c>
      <c r="I46" s="167" t="s">
        <v>179</v>
      </c>
      <c r="J46" s="154" t="s">
        <v>66</v>
      </c>
    </row>
    <row r="47" spans="1:10" ht="12.75" customHeight="1" x14ac:dyDescent="0.2">
      <c r="A47" s="99"/>
      <c r="B47" s="21">
        <v>3319</v>
      </c>
      <c r="C47" s="21">
        <v>112</v>
      </c>
      <c r="D47" s="118" t="s">
        <v>285</v>
      </c>
      <c r="E47" s="33">
        <v>241</v>
      </c>
      <c r="F47" s="12"/>
      <c r="G47" s="42">
        <f t="shared" si="5"/>
        <v>241</v>
      </c>
      <c r="H47" s="42"/>
      <c r="I47" s="167" t="s">
        <v>283</v>
      </c>
      <c r="J47" s="154" t="s">
        <v>66</v>
      </c>
    </row>
    <row r="48" spans="1:10" x14ac:dyDescent="0.2">
      <c r="A48" s="99"/>
      <c r="B48" s="21">
        <v>3322.3326000000002</v>
      </c>
      <c r="C48" s="21" t="s">
        <v>204</v>
      </c>
      <c r="D48" s="118" t="s">
        <v>127</v>
      </c>
      <c r="E48" s="33">
        <f>2450+30+270+200</f>
        <v>2950</v>
      </c>
      <c r="F48" s="12"/>
      <c r="G48" s="42">
        <f t="shared" si="5"/>
        <v>2950</v>
      </c>
      <c r="H48" s="42"/>
      <c r="I48" s="170" t="s">
        <v>269</v>
      </c>
      <c r="J48" s="155" t="s">
        <v>105</v>
      </c>
    </row>
    <row r="49" spans="1:157" x14ac:dyDescent="0.2">
      <c r="A49" s="99"/>
      <c r="B49" s="21">
        <v>3326</v>
      </c>
      <c r="C49" s="21">
        <v>103</v>
      </c>
      <c r="D49" s="118" t="s">
        <v>191</v>
      </c>
      <c r="E49" s="33">
        <v>50</v>
      </c>
      <c r="F49" s="12"/>
      <c r="G49" s="42">
        <f t="shared" si="5"/>
        <v>50</v>
      </c>
      <c r="H49" s="42"/>
      <c r="I49" s="170" t="s">
        <v>269</v>
      </c>
      <c r="J49" s="155" t="s">
        <v>105</v>
      </c>
    </row>
    <row r="50" spans="1:157" x14ac:dyDescent="0.2">
      <c r="A50" s="99"/>
      <c r="B50" s="21">
        <v>3349</v>
      </c>
      <c r="C50" s="21">
        <v>42</v>
      </c>
      <c r="D50" s="118" t="s">
        <v>68</v>
      </c>
      <c r="E50" s="33">
        <v>341</v>
      </c>
      <c r="F50" s="12"/>
      <c r="G50" s="42">
        <f t="shared" si="5"/>
        <v>341</v>
      </c>
      <c r="H50" s="42"/>
      <c r="I50" s="197" t="s">
        <v>310</v>
      </c>
      <c r="J50" s="196" t="s">
        <v>64</v>
      </c>
      <c r="FA50" s="80">
        <f>SUM(H50:EZ50)</f>
        <v>0</v>
      </c>
    </row>
    <row r="51" spans="1:157" x14ac:dyDescent="0.2">
      <c r="A51" s="99"/>
      <c r="B51" s="21">
        <v>3392</v>
      </c>
      <c r="C51" s="21">
        <v>312</v>
      </c>
      <c r="D51" s="118" t="s">
        <v>208</v>
      </c>
      <c r="E51" s="33">
        <v>3553</v>
      </c>
      <c r="F51" s="12"/>
      <c r="G51" s="42">
        <f t="shared" si="5"/>
        <v>3553</v>
      </c>
      <c r="H51" s="42" t="s">
        <v>232</v>
      </c>
      <c r="I51" s="167" t="s">
        <v>179</v>
      </c>
      <c r="J51" s="154" t="s">
        <v>66</v>
      </c>
    </row>
    <row r="52" spans="1:157" x14ac:dyDescent="0.2">
      <c r="A52" s="99"/>
      <c r="B52" s="21">
        <v>3392</v>
      </c>
      <c r="C52" s="21" t="s">
        <v>203</v>
      </c>
      <c r="D52" s="118" t="s">
        <v>202</v>
      </c>
      <c r="E52" s="33">
        <f>355+300</f>
        <v>655</v>
      </c>
      <c r="F52" s="12"/>
      <c r="G52" s="42">
        <f t="shared" si="5"/>
        <v>655</v>
      </c>
      <c r="H52" s="42"/>
      <c r="I52" s="167" t="s">
        <v>179</v>
      </c>
      <c r="J52" s="154" t="s">
        <v>66</v>
      </c>
    </row>
    <row r="53" spans="1:157" x14ac:dyDescent="0.2">
      <c r="A53" s="99"/>
      <c r="B53" s="21">
        <v>3399</v>
      </c>
      <c r="C53" s="21">
        <v>313</v>
      </c>
      <c r="D53" s="118" t="s">
        <v>90</v>
      </c>
      <c r="E53" s="33">
        <v>135</v>
      </c>
      <c r="F53" s="12"/>
      <c r="G53" s="42">
        <f>E53+F53</f>
        <v>135</v>
      </c>
      <c r="H53" s="42" t="s">
        <v>233</v>
      </c>
      <c r="I53" s="197" t="s">
        <v>220</v>
      </c>
      <c r="J53" s="205" t="s">
        <v>387</v>
      </c>
    </row>
    <row r="54" spans="1:157" x14ac:dyDescent="0.2">
      <c r="A54" s="100">
        <v>34</v>
      </c>
      <c r="B54" s="17">
        <v>3400</v>
      </c>
      <c r="C54" s="17"/>
      <c r="D54" s="200" t="s">
        <v>69</v>
      </c>
      <c r="E54" s="43">
        <f t="shared" ref="E54:G54" si="6">SUM(E55:E60)</f>
        <v>5520</v>
      </c>
      <c r="F54" s="44">
        <f t="shared" si="6"/>
        <v>9050</v>
      </c>
      <c r="G54" s="45">
        <f t="shared" si="6"/>
        <v>14570</v>
      </c>
      <c r="H54" s="45"/>
      <c r="I54" s="169"/>
      <c r="J54" s="57"/>
    </row>
    <row r="55" spans="1:157" ht="13.5" customHeight="1" x14ac:dyDescent="0.2">
      <c r="A55" s="99"/>
      <c r="B55" s="21">
        <v>3412</v>
      </c>
      <c r="C55" s="21">
        <v>506</v>
      </c>
      <c r="D55" s="118" t="s">
        <v>266</v>
      </c>
      <c r="E55" s="33">
        <v>4320</v>
      </c>
      <c r="F55" s="12"/>
      <c r="G55" s="42">
        <f t="shared" ref="G55:G60" si="7">E55+F55</f>
        <v>4320</v>
      </c>
      <c r="H55" s="42" t="s">
        <v>268</v>
      </c>
      <c r="I55" s="167" t="s">
        <v>179</v>
      </c>
      <c r="J55" s="154" t="s">
        <v>66</v>
      </c>
    </row>
    <row r="56" spans="1:157" ht="13.5" customHeight="1" x14ac:dyDescent="0.2">
      <c r="A56" s="99"/>
      <c r="B56" s="21">
        <v>3412</v>
      </c>
      <c r="C56" s="21">
        <v>506</v>
      </c>
      <c r="D56" s="118" t="s">
        <v>272</v>
      </c>
      <c r="E56" s="33"/>
      <c r="F56" s="12">
        <f>7500+1550</f>
        <v>9050</v>
      </c>
      <c r="G56" s="42">
        <f t="shared" si="7"/>
        <v>9050</v>
      </c>
      <c r="H56" s="42" t="s">
        <v>363</v>
      </c>
      <c r="I56" s="167" t="s">
        <v>179</v>
      </c>
      <c r="J56" s="154" t="s">
        <v>66</v>
      </c>
    </row>
    <row r="57" spans="1:157" ht="13.5" customHeight="1" x14ac:dyDescent="0.2">
      <c r="A57" s="99"/>
      <c r="B57" s="21">
        <v>3412</v>
      </c>
      <c r="C57" s="21">
        <v>216</v>
      </c>
      <c r="D57" s="118" t="s">
        <v>271</v>
      </c>
      <c r="E57" s="33">
        <v>200</v>
      </c>
      <c r="F57" s="12"/>
      <c r="G57" s="42">
        <f t="shared" si="7"/>
        <v>200</v>
      </c>
      <c r="H57" s="42"/>
      <c r="I57" s="168" t="s">
        <v>252</v>
      </c>
      <c r="J57" s="236" t="s">
        <v>63</v>
      </c>
    </row>
    <row r="58" spans="1:157" ht="13.5" customHeight="1" x14ac:dyDescent="0.2">
      <c r="A58" s="99"/>
      <c r="B58" s="21">
        <v>3419</v>
      </c>
      <c r="C58" s="21">
        <v>105</v>
      </c>
      <c r="D58" s="118" t="s">
        <v>287</v>
      </c>
      <c r="E58" s="33">
        <v>45</v>
      </c>
      <c r="F58" s="12"/>
      <c r="G58" s="42">
        <f t="shared" si="7"/>
        <v>45</v>
      </c>
      <c r="H58" s="42" t="s">
        <v>362</v>
      </c>
      <c r="I58" s="167" t="s">
        <v>283</v>
      </c>
      <c r="J58" s="154" t="s">
        <v>66</v>
      </c>
    </row>
    <row r="59" spans="1:157" ht="13.5" customHeight="1" x14ac:dyDescent="0.2">
      <c r="A59" s="99"/>
      <c r="B59" s="21">
        <v>3419</v>
      </c>
      <c r="C59" s="21">
        <v>104</v>
      </c>
      <c r="D59" s="118" t="s">
        <v>279</v>
      </c>
      <c r="E59" s="33">
        <v>100</v>
      </c>
      <c r="F59" s="12"/>
      <c r="G59" s="42">
        <f t="shared" si="7"/>
        <v>100</v>
      </c>
      <c r="H59" s="42"/>
      <c r="I59" s="167" t="s">
        <v>283</v>
      </c>
      <c r="J59" s="154" t="s">
        <v>66</v>
      </c>
    </row>
    <row r="60" spans="1:157" ht="12.75" customHeight="1" x14ac:dyDescent="0.2">
      <c r="A60" s="99"/>
      <c r="B60" s="21">
        <v>3421</v>
      </c>
      <c r="C60" s="21">
        <v>105</v>
      </c>
      <c r="D60" s="118" t="s">
        <v>277</v>
      </c>
      <c r="E60" s="33">
        <v>855</v>
      </c>
      <c r="F60" s="12"/>
      <c r="G60" s="42">
        <f t="shared" si="7"/>
        <v>855</v>
      </c>
      <c r="H60" s="42"/>
      <c r="I60" s="167" t="s">
        <v>283</v>
      </c>
      <c r="J60" s="154" t="s">
        <v>66</v>
      </c>
    </row>
    <row r="61" spans="1:157" x14ac:dyDescent="0.2">
      <c r="A61" s="100">
        <v>35</v>
      </c>
      <c r="B61" s="17">
        <v>3500</v>
      </c>
      <c r="C61" s="17"/>
      <c r="D61" s="200" t="s">
        <v>102</v>
      </c>
      <c r="E61" s="43">
        <f t="shared" ref="E61:G61" si="8">SUM(E62:E62)</f>
        <v>130</v>
      </c>
      <c r="F61" s="44">
        <f t="shared" si="8"/>
        <v>792</v>
      </c>
      <c r="G61" s="45">
        <f t="shared" si="8"/>
        <v>922</v>
      </c>
      <c r="H61" s="45"/>
      <c r="I61" s="43"/>
      <c r="J61" s="160"/>
    </row>
    <row r="62" spans="1:157" x14ac:dyDescent="0.2">
      <c r="A62" s="64"/>
      <c r="B62" s="22">
        <v>3522</v>
      </c>
      <c r="C62" s="22">
        <v>233</v>
      </c>
      <c r="D62" s="188" t="s">
        <v>249</v>
      </c>
      <c r="E62" s="117">
        <v>130</v>
      </c>
      <c r="F62" s="12">
        <v>792</v>
      </c>
      <c r="G62" s="217">
        <f>E62+F62</f>
        <v>922</v>
      </c>
      <c r="H62" s="217" t="s">
        <v>294</v>
      </c>
      <c r="I62" s="167" t="s">
        <v>179</v>
      </c>
      <c r="J62" s="154" t="s">
        <v>66</v>
      </c>
    </row>
    <row r="63" spans="1:157" x14ac:dyDescent="0.2">
      <c r="A63" s="100">
        <v>36</v>
      </c>
      <c r="B63" s="17">
        <v>3600</v>
      </c>
      <c r="C63" s="17"/>
      <c r="D63" s="200" t="s">
        <v>70</v>
      </c>
      <c r="E63" s="43">
        <f t="shared" ref="E63:G63" si="9">SUM(E64:E83)</f>
        <v>13512</v>
      </c>
      <c r="F63" s="44">
        <f t="shared" si="9"/>
        <v>12897</v>
      </c>
      <c r="G63" s="45">
        <f t="shared" si="9"/>
        <v>26409</v>
      </c>
      <c r="H63" s="45"/>
      <c r="I63" s="43"/>
      <c r="J63" s="160"/>
    </row>
    <row r="64" spans="1:157" ht="12" customHeight="1" x14ac:dyDescent="0.2">
      <c r="A64" s="99"/>
      <c r="B64" s="21">
        <v>3612</v>
      </c>
      <c r="C64" s="21" t="s">
        <v>236</v>
      </c>
      <c r="D64" s="118" t="s">
        <v>111</v>
      </c>
      <c r="E64" s="33">
        <v>6559</v>
      </c>
      <c r="F64" s="12"/>
      <c r="G64" s="42">
        <f t="shared" ref="G64:G83" si="10">E64+F64</f>
        <v>6559</v>
      </c>
      <c r="H64" s="42" t="s">
        <v>364</v>
      </c>
      <c r="I64" s="164" t="s">
        <v>270</v>
      </c>
      <c r="J64" s="161" t="s">
        <v>235</v>
      </c>
    </row>
    <row r="65" spans="1:10" x14ac:dyDescent="0.2">
      <c r="A65" s="99"/>
      <c r="B65" s="21">
        <v>3612</v>
      </c>
      <c r="C65" s="21" t="s">
        <v>236</v>
      </c>
      <c r="D65" s="118" t="s">
        <v>112</v>
      </c>
      <c r="E65" s="33">
        <v>1960</v>
      </c>
      <c r="F65" s="12"/>
      <c r="G65" s="42">
        <f t="shared" si="10"/>
        <v>1960</v>
      </c>
      <c r="H65" s="42" t="s">
        <v>241</v>
      </c>
      <c r="I65" s="164" t="s">
        <v>270</v>
      </c>
      <c r="J65" s="161" t="s">
        <v>235</v>
      </c>
    </row>
    <row r="66" spans="1:10" x14ac:dyDescent="0.2">
      <c r="A66" s="99"/>
      <c r="B66" s="21">
        <v>3612</v>
      </c>
      <c r="C66" s="21">
        <v>324</v>
      </c>
      <c r="D66" s="202" t="s">
        <v>278</v>
      </c>
      <c r="E66" s="33"/>
      <c r="F66" s="12">
        <v>927</v>
      </c>
      <c r="G66" s="42">
        <f t="shared" si="10"/>
        <v>927</v>
      </c>
      <c r="H66" s="251" t="s">
        <v>297</v>
      </c>
      <c r="I66" s="168" t="s">
        <v>320</v>
      </c>
      <c r="J66" s="155" t="s">
        <v>105</v>
      </c>
    </row>
    <row r="67" spans="1:10" x14ac:dyDescent="0.2">
      <c r="A67" s="99"/>
      <c r="B67" s="21">
        <v>3612</v>
      </c>
      <c r="C67" s="21">
        <v>326</v>
      </c>
      <c r="D67" s="118" t="s">
        <v>284</v>
      </c>
      <c r="E67" s="33"/>
      <c r="F67" s="12">
        <f>11150-750</f>
        <v>10400</v>
      </c>
      <c r="G67" s="42">
        <f t="shared" si="10"/>
        <v>10400</v>
      </c>
      <c r="H67" s="42" t="s">
        <v>365</v>
      </c>
      <c r="I67" s="168" t="s">
        <v>320</v>
      </c>
      <c r="J67" s="155" t="s">
        <v>105</v>
      </c>
    </row>
    <row r="68" spans="1:10" x14ac:dyDescent="0.2">
      <c r="A68" s="99"/>
      <c r="B68" s="21">
        <v>3612</v>
      </c>
      <c r="C68" s="21">
        <v>327</v>
      </c>
      <c r="D68" s="118" t="s">
        <v>316</v>
      </c>
      <c r="E68" s="33"/>
      <c r="F68" s="12">
        <v>600</v>
      </c>
      <c r="G68" s="42">
        <f t="shared" si="10"/>
        <v>600</v>
      </c>
      <c r="H68" s="42"/>
      <c r="I68" s="168" t="s">
        <v>320</v>
      </c>
      <c r="J68" s="155" t="s">
        <v>105</v>
      </c>
    </row>
    <row r="69" spans="1:10" x14ac:dyDescent="0.2">
      <c r="A69" s="99"/>
      <c r="B69" s="21">
        <v>3613</v>
      </c>
      <c r="C69" s="21">
        <v>305</v>
      </c>
      <c r="D69" s="202" t="s">
        <v>353</v>
      </c>
      <c r="E69" s="33">
        <f>207+146+62</f>
        <v>415</v>
      </c>
      <c r="F69" s="12"/>
      <c r="G69" s="42">
        <f t="shared" si="10"/>
        <v>415</v>
      </c>
      <c r="H69" s="42" t="s">
        <v>265</v>
      </c>
      <c r="I69" s="168" t="s">
        <v>252</v>
      </c>
      <c r="J69" s="155" t="s">
        <v>105</v>
      </c>
    </row>
    <row r="70" spans="1:10" x14ac:dyDescent="0.2">
      <c r="A70" s="99"/>
      <c r="B70" s="21">
        <v>3613</v>
      </c>
      <c r="C70" s="21">
        <v>316</v>
      </c>
      <c r="D70" s="118" t="s">
        <v>258</v>
      </c>
      <c r="E70" s="33">
        <v>287</v>
      </c>
      <c r="F70" s="12"/>
      <c r="G70" s="42">
        <f t="shared" si="10"/>
        <v>287</v>
      </c>
      <c r="H70" s="42"/>
      <c r="I70" s="168" t="s">
        <v>250</v>
      </c>
      <c r="J70" s="155" t="s">
        <v>63</v>
      </c>
    </row>
    <row r="71" spans="1:10" x14ac:dyDescent="0.2">
      <c r="A71" s="99"/>
      <c r="B71" s="21">
        <v>3613</v>
      </c>
      <c r="C71" s="21">
        <v>317</v>
      </c>
      <c r="D71" s="118" t="s">
        <v>181</v>
      </c>
      <c r="E71" s="33">
        <v>150</v>
      </c>
      <c r="F71" s="12"/>
      <c r="G71" s="42">
        <f t="shared" si="10"/>
        <v>150</v>
      </c>
      <c r="H71" s="42"/>
      <c r="I71" s="170" t="s">
        <v>250</v>
      </c>
      <c r="J71" s="155" t="s">
        <v>63</v>
      </c>
    </row>
    <row r="72" spans="1:10" x14ac:dyDescent="0.2">
      <c r="A72" s="99"/>
      <c r="B72" s="21">
        <v>3613</v>
      </c>
      <c r="C72" s="21">
        <v>703</v>
      </c>
      <c r="D72" s="118" t="s">
        <v>113</v>
      </c>
      <c r="E72" s="33">
        <v>309</v>
      </c>
      <c r="F72" s="12"/>
      <c r="G72" s="42">
        <f t="shared" si="10"/>
        <v>309</v>
      </c>
      <c r="H72" s="42" t="s">
        <v>366</v>
      </c>
      <c r="I72" s="164" t="s">
        <v>270</v>
      </c>
      <c r="J72" s="161" t="s">
        <v>235</v>
      </c>
    </row>
    <row r="73" spans="1:10" x14ac:dyDescent="0.2">
      <c r="A73" s="99"/>
      <c r="B73" s="21">
        <v>3613</v>
      </c>
      <c r="C73" s="21">
        <v>703</v>
      </c>
      <c r="D73" s="118" t="s">
        <v>114</v>
      </c>
      <c r="E73" s="33">
        <v>300</v>
      </c>
      <c r="F73" s="12"/>
      <c r="G73" s="42">
        <f t="shared" si="10"/>
        <v>300</v>
      </c>
      <c r="H73" s="42" t="s">
        <v>241</v>
      </c>
      <c r="I73" s="164" t="s">
        <v>270</v>
      </c>
      <c r="J73" s="161" t="s">
        <v>235</v>
      </c>
    </row>
    <row r="74" spans="1:10" x14ac:dyDescent="0.2">
      <c r="A74" s="99"/>
      <c r="B74" s="21">
        <v>3631</v>
      </c>
      <c r="C74" s="21">
        <v>107</v>
      </c>
      <c r="D74" s="118" t="s">
        <v>71</v>
      </c>
      <c r="E74" s="33">
        <v>1520</v>
      </c>
      <c r="F74" s="12"/>
      <c r="G74" s="42">
        <f t="shared" si="10"/>
        <v>1520</v>
      </c>
      <c r="H74" s="42"/>
      <c r="I74" s="168" t="s">
        <v>177</v>
      </c>
      <c r="J74" s="155" t="s">
        <v>105</v>
      </c>
    </row>
    <row r="75" spans="1:10" x14ac:dyDescent="0.2">
      <c r="A75" s="99"/>
      <c r="B75" s="21">
        <v>3632</v>
      </c>
      <c r="C75" s="21">
        <v>232</v>
      </c>
      <c r="D75" s="118" t="s">
        <v>315</v>
      </c>
      <c r="E75" s="33"/>
      <c r="F75" s="12">
        <v>950</v>
      </c>
      <c r="G75" s="42">
        <f t="shared" si="10"/>
        <v>950</v>
      </c>
      <c r="H75" s="42"/>
      <c r="I75" s="168" t="s">
        <v>320</v>
      </c>
      <c r="J75" s="155" t="s">
        <v>105</v>
      </c>
    </row>
    <row r="76" spans="1:10" x14ac:dyDescent="0.2">
      <c r="A76" s="99"/>
      <c r="B76" s="21">
        <v>3632</v>
      </c>
      <c r="C76" s="21">
        <v>238</v>
      </c>
      <c r="D76" s="118" t="s">
        <v>33</v>
      </c>
      <c r="E76" s="33">
        <v>351</v>
      </c>
      <c r="F76" s="12">
        <v>20</v>
      </c>
      <c r="G76" s="42">
        <f t="shared" si="10"/>
        <v>371</v>
      </c>
      <c r="H76" s="42"/>
      <c r="I76" s="170" t="s">
        <v>250</v>
      </c>
      <c r="J76" s="155" t="s">
        <v>63</v>
      </c>
    </row>
    <row r="77" spans="1:10" x14ac:dyDescent="0.2">
      <c r="A77" s="99"/>
      <c r="B77" s="21">
        <v>3635</v>
      </c>
      <c r="C77" s="21">
        <v>248</v>
      </c>
      <c r="D77" s="118" t="s">
        <v>184</v>
      </c>
      <c r="E77" s="33">
        <v>90</v>
      </c>
      <c r="F77" s="12"/>
      <c r="G77" s="42">
        <f t="shared" si="10"/>
        <v>90</v>
      </c>
      <c r="H77" s="42" t="s">
        <v>367</v>
      </c>
      <c r="I77" s="171" t="s">
        <v>183</v>
      </c>
      <c r="J77" s="162" t="s">
        <v>182</v>
      </c>
    </row>
    <row r="78" spans="1:10" x14ac:dyDescent="0.2">
      <c r="A78" s="99"/>
      <c r="B78" s="21">
        <v>3636</v>
      </c>
      <c r="C78" s="21">
        <v>249</v>
      </c>
      <c r="D78" s="118" t="s">
        <v>206</v>
      </c>
      <c r="E78" s="33">
        <v>82</v>
      </c>
      <c r="F78" s="12"/>
      <c r="G78" s="42">
        <f t="shared" si="10"/>
        <v>82</v>
      </c>
      <c r="H78" s="12"/>
      <c r="I78" s="242" t="s">
        <v>310</v>
      </c>
      <c r="J78" s="155" t="s">
        <v>105</v>
      </c>
    </row>
    <row r="79" spans="1:10" x14ac:dyDescent="0.2">
      <c r="A79" s="99"/>
      <c r="B79" s="21">
        <v>3639</v>
      </c>
      <c r="C79" s="21">
        <v>108</v>
      </c>
      <c r="D79" s="118" t="s">
        <v>87</v>
      </c>
      <c r="E79" s="33">
        <v>330</v>
      </c>
      <c r="F79" s="12"/>
      <c r="G79" s="42">
        <f t="shared" si="10"/>
        <v>330</v>
      </c>
      <c r="H79" s="42"/>
      <c r="I79" s="168" t="s">
        <v>142</v>
      </c>
      <c r="J79" s="155" t="s">
        <v>63</v>
      </c>
    </row>
    <row r="80" spans="1:10" x14ac:dyDescent="0.2">
      <c r="A80" s="99"/>
      <c r="B80" s="21">
        <v>3639</v>
      </c>
      <c r="C80" s="21">
        <v>239</v>
      </c>
      <c r="D80" s="118" t="s">
        <v>168</v>
      </c>
      <c r="E80" s="33">
        <v>436</v>
      </c>
      <c r="F80" s="12"/>
      <c r="G80" s="42">
        <f t="shared" si="10"/>
        <v>436</v>
      </c>
      <c r="H80" s="42"/>
      <c r="I80" s="168" t="s">
        <v>177</v>
      </c>
      <c r="J80" s="155" t="s">
        <v>105</v>
      </c>
    </row>
    <row r="81" spans="1:10" x14ac:dyDescent="0.2">
      <c r="A81" s="99"/>
      <c r="B81" s="21">
        <v>3639</v>
      </c>
      <c r="C81" s="21">
        <v>243</v>
      </c>
      <c r="D81" s="118" t="s">
        <v>138</v>
      </c>
      <c r="E81" s="33">
        <f>61+308</f>
        <v>369</v>
      </c>
      <c r="F81" s="12"/>
      <c r="G81" s="42">
        <f t="shared" si="10"/>
        <v>369</v>
      </c>
      <c r="H81" s="42"/>
      <c r="I81" s="170" t="s">
        <v>63</v>
      </c>
      <c r="J81" s="155" t="s">
        <v>245</v>
      </c>
    </row>
    <row r="82" spans="1:10" x14ac:dyDescent="0.2">
      <c r="A82" s="99"/>
      <c r="B82" s="21">
        <v>3639</v>
      </c>
      <c r="C82" s="21">
        <v>319</v>
      </c>
      <c r="D82" s="118" t="s">
        <v>216</v>
      </c>
      <c r="E82" s="33">
        <v>227</v>
      </c>
      <c r="F82" s="12"/>
      <c r="G82" s="42">
        <f t="shared" si="10"/>
        <v>227</v>
      </c>
      <c r="H82" s="42" t="s">
        <v>244</v>
      </c>
      <c r="I82" s="170" t="s">
        <v>250</v>
      </c>
      <c r="J82" s="155" t="s">
        <v>63</v>
      </c>
    </row>
    <row r="83" spans="1:10" x14ac:dyDescent="0.2">
      <c r="A83" s="101"/>
      <c r="B83" s="25">
        <v>3639</v>
      </c>
      <c r="C83" s="25">
        <v>319.20999999999998</v>
      </c>
      <c r="D83" s="201" t="s">
        <v>214</v>
      </c>
      <c r="E83" s="53">
        <f>36+91</f>
        <v>127</v>
      </c>
      <c r="F83" s="12"/>
      <c r="G83" s="42">
        <f t="shared" si="10"/>
        <v>127</v>
      </c>
      <c r="H83" s="48" t="s">
        <v>296</v>
      </c>
      <c r="I83" s="204" t="s">
        <v>250</v>
      </c>
      <c r="J83" s="157" t="s">
        <v>63</v>
      </c>
    </row>
    <row r="84" spans="1:10" x14ac:dyDescent="0.2">
      <c r="A84" s="100">
        <v>37</v>
      </c>
      <c r="B84" s="17"/>
      <c r="C84" s="17"/>
      <c r="D84" s="200" t="s">
        <v>103</v>
      </c>
      <c r="E84" s="43">
        <f>SUM(E85:E93)</f>
        <v>14441</v>
      </c>
      <c r="F84" s="44">
        <f>SUM(F85:F93)</f>
        <v>2307</v>
      </c>
      <c r="G84" s="45">
        <f>SUM(G85:G93)</f>
        <v>16748</v>
      </c>
      <c r="H84" s="45"/>
      <c r="I84" s="40"/>
      <c r="J84" s="57"/>
    </row>
    <row r="85" spans="1:10" x14ac:dyDescent="0.2">
      <c r="A85" s="99"/>
      <c r="B85" s="21">
        <v>3722</v>
      </c>
      <c r="C85" s="21">
        <v>240</v>
      </c>
      <c r="D85" s="118" t="s">
        <v>72</v>
      </c>
      <c r="E85" s="33">
        <f>6786+455</f>
        <v>7241</v>
      </c>
      <c r="F85" s="12"/>
      <c r="G85" s="42">
        <f>E85+F85</f>
        <v>7241</v>
      </c>
      <c r="H85" s="42"/>
      <c r="I85" s="168" t="s">
        <v>252</v>
      </c>
      <c r="J85" s="155" t="s">
        <v>177</v>
      </c>
    </row>
    <row r="86" spans="1:10" x14ac:dyDescent="0.2">
      <c r="A86" s="99"/>
      <c r="B86" s="21">
        <v>3722</v>
      </c>
      <c r="C86" s="21">
        <v>5110</v>
      </c>
      <c r="D86" s="118" t="s">
        <v>225</v>
      </c>
      <c r="E86" s="33">
        <f>259+135+541</f>
        <v>935</v>
      </c>
      <c r="F86" s="12">
        <v>177</v>
      </c>
      <c r="G86" s="42">
        <f t="shared" ref="G86:G91" si="11">E86+F86</f>
        <v>1112</v>
      </c>
      <c r="H86" s="42"/>
      <c r="I86" s="168" t="s">
        <v>252</v>
      </c>
      <c r="J86" s="155" t="s">
        <v>177</v>
      </c>
    </row>
    <row r="87" spans="1:10" s="245" customFormat="1" x14ac:dyDescent="0.2">
      <c r="A87" s="99"/>
      <c r="B87" s="21">
        <v>3722</v>
      </c>
      <c r="C87" s="21"/>
      <c r="D87" s="118" t="s">
        <v>347</v>
      </c>
      <c r="E87" s="33"/>
      <c r="F87" s="12">
        <v>1830</v>
      </c>
      <c r="G87" s="42">
        <f t="shared" si="11"/>
        <v>1830</v>
      </c>
      <c r="H87" s="42" t="s">
        <v>348</v>
      </c>
      <c r="I87" s="168" t="s">
        <v>252</v>
      </c>
      <c r="J87" s="155" t="s">
        <v>105</v>
      </c>
    </row>
    <row r="88" spans="1:10" s="245" customFormat="1" x14ac:dyDescent="0.2">
      <c r="A88" s="99"/>
      <c r="B88" s="21">
        <v>3722</v>
      </c>
      <c r="C88" s="21"/>
      <c r="D88" s="118" t="s">
        <v>358</v>
      </c>
      <c r="E88" s="33">
        <v>994</v>
      </c>
      <c r="F88" s="12"/>
      <c r="G88" s="42">
        <f t="shared" si="11"/>
        <v>994</v>
      </c>
      <c r="H88" s="42"/>
      <c r="I88" s="167" t="s">
        <v>179</v>
      </c>
      <c r="J88" s="154" t="s">
        <v>66</v>
      </c>
    </row>
    <row r="89" spans="1:10" s="245" customFormat="1" x14ac:dyDescent="0.2">
      <c r="A89" s="99"/>
      <c r="B89" s="21">
        <v>3722</v>
      </c>
      <c r="C89" s="243">
        <v>250</v>
      </c>
      <c r="D89" s="202" t="s">
        <v>335</v>
      </c>
      <c r="E89" s="33">
        <v>515</v>
      </c>
      <c r="F89" s="12">
        <f>239+61</f>
        <v>300</v>
      </c>
      <c r="G89" s="42">
        <f t="shared" si="11"/>
        <v>815</v>
      </c>
      <c r="H89" s="42" t="s">
        <v>336</v>
      </c>
      <c r="I89" s="168" t="s">
        <v>252</v>
      </c>
      <c r="J89" s="168" t="s">
        <v>320</v>
      </c>
    </row>
    <row r="90" spans="1:10" x14ac:dyDescent="0.2">
      <c r="A90" s="99"/>
      <c r="B90" s="21">
        <v>3745</v>
      </c>
      <c r="C90" s="21">
        <v>241</v>
      </c>
      <c r="D90" s="118" t="s">
        <v>73</v>
      </c>
      <c r="E90" s="33">
        <f>1885+2316-200</f>
        <v>4001</v>
      </c>
      <c r="F90" s="12"/>
      <c r="G90" s="42">
        <f t="shared" si="11"/>
        <v>4001</v>
      </c>
      <c r="H90" s="42"/>
      <c r="I90" s="168" t="s">
        <v>228</v>
      </c>
      <c r="J90" s="155" t="s">
        <v>177</v>
      </c>
    </row>
    <row r="91" spans="1:10" x14ac:dyDescent="0.2">
      <c r="A91" s="99"/>
      <c r="B91" s="21">
        <v>3745</v>
      </c>
      <c r="C91" s="21">
        <v>242</v>
      </c>
      <c r="D91" s="118" t="s">
        <v>194</v>
      </c>
      <c r="E91" s="33">
        <v>405</v>
      </c>
      <c r="F91" s="12"/>
      <c r="G91" s="42">
        <f t="shared" si="11"/>
        <v>405</v>
      </c>
      <c r="H91" s="42"/>
      <c r="I91" s="168" t="s">
        <v>228</v>
      </c>
      <c r="J91" s="155" t="s">
        <v>177</v>
      </c>
    </row>
    <row r="92" spans="1:10" x14ac:dyDescent="0.2">
      <c r="A92" s="99"/>
      <c r="B92" s="21">
        <v>3745</v>
      </c>
      <c r="C92" s="21">
        <v>246</v>
      </c>
      <c r="D92" s="118" t="s">
        <v>226</v>
      </c>
      <c r="E92" s="33">
        <f>36+100+14+200</f>
        <v>350</v>
      </c>
      <c r="F92" s="12"/>
      <c r="G92" s="42">
        <f>E92+F92</f>
        <v>350</v>
      </c>
      <c r="H92" s="42"/>
      <c r="I92" s="170" t="s">
        <v>269</v>
      </c>
      <c r="J92" s="155" t="s">
        <v>105</v>
      </c>
    </row>
    <row r="93" spans="1:10" x14ac:dyDescent="0.2">
      <c r="A93" s="101"/>
      <c r="B93" s="25">
        <v>3745</v>
      </c>
      <c r="C93" s="25">
        <v>1544</v>
      </c>
      <c r="D93" s="201" t="s">
        <v>231</v>
      </c>
      <c r="E93" s="46"/>
      <c r="F93" s="49"/>
      <c r="G93" s="48">
        <f>E93+F93</f>
        <v>0</v>
      </c>
      <c r="H93" s="226"/>
      <c r="I93" s="47"/>
      <c r="J93" s="42"/>
    </row>
    <row r="94" spans="1:10" x14ac:dyDescent="0.2">
      <c r="A94" s="64">
        <v>43</v>
      </c>
      <c r="B94" s="22">
        <v>4300</v>
      </c>
      <c r="C94" s="22"/>
      <c r="D94" s="195" t="s">
        <v>74</v>
      </c>
      <c r="E94" s="40">
        <f>SUM(E95:E99)</f>
        <v>9465</v>
      </c>
      <c r="F94" s="14">
        <f>SUM(F95:F99)</f>
        <v>0</v>
      </c>
      <c r="G94" s="41">
        <f>SUM(G95:G99)</f>
        <v>9465</v>
      </c>
      <c r="H94" s="41"/>
      <c r="I94" s="43"/>
      <c r="J94" s="160"/>
    </row>
    <row r="95" spans="1:10" x14ac:dyDescent="0.2">
      <c r="A95" s="99"/>
      <c r="B95" s="21">
        <v>4349</v>
      </c>
      <c r="C95" s="243">
        <v>225</v>
      </c>
      <c r="D95" s="202" t="s">
        <v>291</v>
      </c>
      <c r="E95" s="33">
        <v>1970</v>
      </c>
      <c r="F95" s="12"/>
      <c r="G95" s="42">
        <f t="shared" ref="G95:G98" si="12">E95+F95</f>
        <v>1970</v>
      </c>
      <c r="H95" s="42" t="s">
        <v>389</v>
      </c>
      <c r="I95" s="47" t="s">
        <v>227</v>
      </c>
      <c r="J95" s="42" t="s">
        <v>238</v>
      </c>
    </row>
    <row r="96" spans="1:10" x14ac:dyDescent="0.2">
      <c r="A96" s="99"/>
      <c r="B96" s="21">
        <v>4349</v>
      </c>
      <c r="C96" s="21">
        <v>228</v>
      </c>
      <c r="D96" s="118" t="s">
        <v>185</v>
      </c>
      <c r="E96" s="33">
        <v>44</v>
      </c>
      <c r="F96" s="12"/>
      <c r="G96" s="42">
        <f t="shared" si="12"/>
        <v>44</v>
      </c>
      <c r="H96" s="42"/>
      <c r="I96" s="47" t="s">
        <v>227</v>
      </c>
      <c r="J96" s="42" t="s">
        <v>238</v>
      </c>
    </row>
    <row r="97" spans="1:10" x14ac:dyDescent="0.2">
      <c r="A97" s="99"/>
      <c r="B97" s="21">
        <v>4349</v>
      </c>
      <c r="C97" s="21">
        <v>254</v>
      </c>
      <c r="D97" s="118" t="s">
        <v>308</v>
      </c>
      <c r="E97" s="33">
        <v>100</v>
      </c>
      <c r="F97" s="12"/>
      <c r="G97" s="42">
        <f t="shared" si="12"/>
        <v>100</v>
      </c>
      <c r="H97" s="42" t="s">
        <v>321</v>
      </c>
      <c r="I97" s="47" t="s">
        <v>227</v>
      </c>
      <c r="J97" s="42" t="s">
        <v>238</v>
      </c>
    </row>
    <row r="98" spans="1:10" x14ac:dyDescent="0.2">
      <c r="A98" s="99"/>
      <c r="B98" s="21">
        <v>4351</v>
      </c>
      <c r="C98" s="21">
        <v>227</v>
      </c>
      <c r="D98" s="118" t="s">
        <v>34</v>
      </c>
      <c r="E98" s="33">
        <f>594+5447</f>
        <v>6041</v>
      </c>
      <c r="F98" s="12"/>
      <c r="G98" s="42">
        <f t="shared" si="12"/>
        <v>6041</v>
      </c>
      <c r="H98" s="42"/>
      <c r="I98" s="172" t="s">
        <v>323</v>
      </c>
      <c r="J98" s="116" t="s">
        <v>322</v>
      </c>
    </row>
    <row r="99" spans="1:10" x14ac:dyDescent="0.2">
      <c r="A99" s="99"/>
      <c r="B99" s="21">
        <v>4355</v>
      </c>
      <c r="C99" s="21">
        <v>307</v>
      </c>
      <c r="D99" s="118" t="s">
        <v>195</v>
      </c>
      <c r="E99" s="33">
        <f>377+933</f>
        <v>1310</v>
      </c>
      <c r="F99" s="12"/>
      <c r="G99" s="42">
        <f>E99+F99</f>
        <v>1310</v>
      </c>
      <c r="H99" s="42" t="s">
        <v>307</v>
      </c>
      <c r="I99" s="167" t="s">
        <v>179</v>
      </c>
      <c r="J99" s="154" t="s">
        <v>66</v>
      </c>
    </row>
    <row r="100" spans="1:10" x14ac:dyDescent="0.2">
      <c r="A100" s="100">
        <v>53</v>
      </c>
      <c r="B100" s="17">
        <v>5300</v>
      </c>
      <c r="C100" s="17"/>
      <c r="D100" s="200" t="s">
        <v>92</v>
      </c>
      <c r="E100" s="43">
        <f t="shared" ref="E100:G100" si="13">SUM(E101:E104)</f>
        <v>4687</v>
      </c>
      <c r="F100" s="44">
        <f t="shared" si="13"/>
        <v>0</v>
      </c>
      <c r="G100" s="45">
        <f t="shared" si="13"/>
        <v>4687</v>
      </c>
      <c r="H100" s="45"/>
      <c r="I100" s="43"/>
      <c r="J100" s="57"/>
    </row>
    <row r="101" spans="1:10" x14ac:dyDescent="0.2">
      <c r="A101" s="64"/>
      <c r="B101" s="21">
        <v>5213</v>
      </c>
      <c r="C101" s="23">
        <v>320</v>
      </c>
      <c r="D101" s="118" t="s">
        <v>125</v>
      </c>
      <c r="E101" s="33">
        <f>138+100+688</f>
        <v>926</v>
      </c>
      <c r="F101" s="12"/>
      <c r="G101" s="42">
        <f>E101+F101</f>
        <v>926</v>
      </c>
      <c r="H101" s="42"/>
      <c r="I101" s="242" t="s">
        <v>310</v>
      </c>
      <c r="J101" s="156" t="s">
        <v>387</v>
      </c>
    </row>
    <row r="102" spans="1:10" s="245" customFormat="1" x14ac:dyDescent="0.2">
      <c r="A102" s="64"/>
      <c r="B102" s="21">
        <v>5269</v>
      </c>
      <c r="C102" s="23">
        <v>2020</v>
      </c>
      <c r="D102" s="118" t="s">
        <v>349</v>
      </c>
      <c r="E102" s="33">
        <v>1000</v>
      </c>
      <c r="F102" s="12"/>
      <c r="G102" s="42">
        <f>E102+F102</f>
        <v>1000</v>
      </c>
      <c r="H102" s="42"/>
      <c r="I102" s="242" t="s">
        <v>388</v>
      </c>
      <c r="J102" s="156" t="s">
        <v>387</v>
      </c>
    </row>
    <row r="103" spans="1:10" ht="13.5" customHeight="1" x14ac:dyDescent="0.2">
      <c r="A103" s="99"/>
      <c r="B103" s="21">
        <v>5311</v>
      </c>
      <c r="C103" s="21">
        <v>321</v>
      </c>
      <c r="D103" s="118" t="s">
        <v>75</v>
      </c>
      <c r="E103" s="33">
        <f>353+1970</f>
        <v>2323</v>
      </c>
      <c r="F103" s="12"/>
      <c r="G103" s="42">
        <f>E103+F103</f>
        <v>2323</v>
      </c>
      <c r="H103" s="42"/>
      <c r="I103" s="173" t="s">
        <v>141</v>
      </c>
      <c r="J103" s="156" t="s">
        <v>234</v>
      </c>
    </row>
    <row r="104" spans="1:10" x14ac:dyDescent="0.2">
      <c r="A104" s="99"/>
      <c r="B104" s="21">
        <v>5512</v>
      </c>
      <c r="C104" s="21">
        <v>223</v>
      </c>
      <c r="D104" s="118" t="s">
        <v>172</v>
      </c>
      <c r="E104" s="33">
        <f>338+50+50</f>
        <v>438</v>
      </c>
      <c r="F104" s="12"/>
      <c r="G104" s="42">
        <f>E104+F104</f>
        <v>438</v>
      </c>
      <c r="H104" s="42"/>
      <c r="I104" s="50" t="s">
        <v>143</v>
      </c>
      <c r="J104" s="205" t="s">
        <v>234</v>
      </c>
    </row>
    <row r="105" spans="1:10" x14ac:dyDescent="0.2">
      <c r="A105" s="100">
        <v>61</v>
      </c>
      <c r="B105" s="17">
        <v>6100</v>
      </c>
      <c r="C105" s="17"/>
      <c r="D105" s="200" t="s">
        <v>76</v>
      </c>
      <c r="E105" s="43">
        <f t="shared" ref="E105:G105" si="14">SUM(E106:E110)</f>
        <v>60995</v>
      </c>
      <c r="F105" s="44">
        <f t="shared" si="14"/>
        <v>100</v>
      </c>
      <c r="G105" s="45">
        <f t="shared" si="14"/>
        <v>61095</v>
      </c>
      <c r="H105" s="45"/>
      <c r="I105" s="169"/>
      <c r="J105" s="57"/>
    </row>
    <row r="106" spans="1:10" x14ac:dyDescent="0.2">
      <c r="A106" s="99"/>
      <c r="B106" s="21">
        <v>6112</v>
      </c>
      <c r="C106" s="21">
        <v>314</v>
      </c>
      <c r="D106" s="118" t="s">
        <v>77</v>
      </c>
      <c r="E106" s="33">
        <f>3225+60</f>
        <v>3285</v>
      </c>
      <c r="F106" s="12"/>
      <c r="G106" s="42">
        <f>E106+F106</f>
        <v>3285</v>
      </c>
      <c r="H106" s="42"/>
      <c r="I106" s="165" t="s">
        <v>234</v>
      </c>
      <c r="J106" s="156" t="s">
        <v>282</v>
      </c>
    </row>
    <row r="107" spans="1:10" x14ac:dyDescent="0.2">
      <c r="A107" s="99"/>
      <c r="B107" s="21">
        <v>6171</v>
      </c>
      <c r="C107" s="21">
        <v>314</v>
      </c>
      <c r="D107" s="118" t="s">
        <v>89</v>
      </c>
      <c r="E107" s="33">
        <v>56828</v>
      </c>
      <c r="F107" s="12">
        <v>100</v>
      </c>
      <c r="G107" s="42">
        <f t="shared" ref="G107:G109" si="15">E107+F107</f>
        <v>56928</v>
      </c>
      <c r="H107" s="42"/>
      <c r="I107" s="174" t="s">
        <v>165</v>
      </c>
      <c r="J107" s="57"/>
    </row>
    <row r="108" spans="1:10" s="245" customFormat="1" x14ac:dyDescent="0.2">
      <c r="A108" s="99"/>
      <c r="B108" s="21">
        <v>6171</v>
      </c>
      <c r="C108" s="243">
        <v>230</v>
      </c>
      <c r="D108" s="223" t="s">
        <v>352</v>
      </c>
      <c r="E108" s="33">
        <v>82</v>
      </c>
      <c r="F108" s="12"/>
      <c r="G108" s="42">
        <f t="shared" si="15"/>
        <v>82</v>
      </c>
      <c r="H108" s="42"/>
      <c r="I108" s="47" t="s">
        <v>227</v>
      </c>
      <c r="J108" s="42" t="s">
        <v>238</v>
      </c>
    </row>
    <row r="109" spans="1:10" x14ac:dyDescent="0.2">
      <c r="A109" s="99"/>
      <c r="B109" s="21">
        <v>6171</v>
      </c>
      <c r="C109" s="243">
        <v>15479</v>
      </c>
      <c r="D109" s="202" t="s">
        <v>292</v>
      </c>
      <c r="E109" s="33">
        <v>400</v>
      </c>
      <c r="F109" s="12"/>
      <c r="G109" s="42">
        <f t="shared" si="15"/>
        <v>400</v>
      </c>
      <c r="H109" s="251"/>
      <c r="I109" s="47" t="s">
        <v>227</v>
      </c>
      <c r="J109" s="42" t="s">
        <v>238</v>
      </c>
    </row>
    <row r="110" spans="1:10" x14ac:dyDescent="0.2">
      <c r="A110" s="99"/>
      <c r="B110" s="21">
        <v>6171</v>
      </c>
      <c r="C110" s="21">
        <v>318</v>
      </c>
      <c r="D110" s="118" t="s">
        <v>192</v>
      </c>
      <c r="E110" s="33">
        <v>400</v>
      </c>
      <c r="F110" s="12"/>
      <c r="G110" s="42">
        <f>E110+F110</f>
        <v>400</v>
      </c>
      <c r="H110" s="42"/>
      <c r="I110" s="166" t="s">
        <v>142</v>
      </c>
      <c r="J110" s="157" t="s">
        <v>105</v>
      </c>
    </row>
    <row r="111" spans="1:10" x14ac:dyDescent="0.2">
      <c r="A111" s="100" t="s">
        <v>78</v>
      </c>
      <c r="B111" s="17">
        <v>6300</v>
      </c>
      <c r="C111" s="17"/>
      <c r="D111" s="200" t="s">
        <v>79</v>
      </c>
      <c r="E111" s="43">
        <f t="shared" ref="E111:G111" si="16">SUM(E112:E119)</f>
        <v>6226</v>
      </c>
      <c r="F111" s="44">
        <f t="shared" si="16"/>
        <v>1000</v>
      </c>
      <c r="G111" s="45">
        <f t="shared" si="16"/>
        <v>7226</v>
      </c>
      <c r="H111" s="45"/>
      <c r="I111" s="169"/>
      <c r="J111" s="57"/>
    </row>
    <row r="112" spans="1:10" x14ac:dyDescent="0.2">
      <c r="A112" s="99"/>
      <c r="B112" s="21">
        <v>6320</v>
      </c>
      <c r="C112" s="21">
        <v>314</v>
      </c>
      <c r="D112" s="118" t="s">
        <v>173</v>
      </c>
      <c r="E112" s="33">
        <v>160</v>
      </c>
      <c r="F112" s="12"/>
      <c r="G112" s="42">
        <f t="shared" ref="G112:G119" si="17">E112+F112</f>
        <v>160</v>
      </c>
      <c r="H112" s="42"/>
      <c r="I112" s="170" t="s">
        <v>250</v>
      </c>
      <c r="J112" s="155" t="s">
        <v>63</v>
      </c>
    </row>
    <row r="113" spans="1:13" x14ac:dyDescent="0.2">
      <c r="A113" s="99"/>
      <c r="B113" s="21">
        <v>6399</v>
      </c>
      <c r="C113" s="21">
        <v>314</v>
      </c>
      <c r="D113" s="118" t="s">
        <v>193</v>
      </c>
      <c r="E113" s="33">
        <f>61+54</f>
        <v>115</v>
      </c>
      <c r="F113" s="12"/>
      <c r="G113" s="42">
        <f t="shared" si="17"/>
        <v>115</v>
      </c>
      <c r="H113" s="42"/>
      <c r="I113" s="175" t="s">
        <v>66</v>
      </c>
      <c r="J113" s="156" t="s">
        <v>387</v>
      </c>
    </row>
    <row r="114" spans="1:13" x14ac:dyDescent="0.2">
      <c r="A114" s="99"/>
      <c r="B114" s="21">
        <v>6399</v>
      </c>
      <c r="C114" s="21">
        <v>315</v>
      </c>
      <c r="D114" s="118" t="s">
        <v>80</v>
      </c>
      <c r="E114" s="33">
        <v>3024</v>
      </c>
      <c r="F114" s="12"/>
      <c r="G114" s="42">
        <f t="shared" si="17"/>
        <v>3024</v>
      </c>
      <c r="H114" s="42" t="s">
        <v>174</v>
      </c>
      <c r="I114" s="167" t="s">
        <v>179</v>
      </c>
      <c r="J114" s="154" t="s">
        <v>66</v>
      </c>
    </row>
    <row r="115" spans="1:13" x14ac:dyDescent="0.2">
      <c r="A115" s="99"/>
      <c r="B115" s="21">
        <v>6399</v>
      </c>
      <c r="C115" s="21">
        <v>665</v>
      </c>
      <c r="D115" s="118" t="s">
        <v>196</v>
      </c>
      <c r="E115" s="33">
        <v>820</v>
      </c>
      <c r="F115" s="12"/>
      <c r="G115" s="42">
        <f t="shared" si="17"/>
        <v>820</v>
      </c>
      <c r="H115" s="42"/>
      <c r="I115" s="167" t="s">
        <v>179</v>
      </c>
      <c r="J115" s="154" t="s">
        <v>66</v>
      </c>
    </row>
    <row r="116" spans="1:13" x14ac:dyDescent="0.2">
      <c r="A116" s="99"/>
      <c r="B116" s="21">
        <v>6402</v>
      </c>
      <c r="C116" s="21">
        <v>2018</v>
      </c>
      <c r="D116" s="118" t="s">
        <v>255</v>
      </c>
      <c r="E116" s="33">
        <v>202</v>
      </c>
      <c r="F116" s="12"/>
      <c r="G116" s="42">
        <f t="shared" si="17"/>
        <v>202</v>
      </c>
      <c r="H116" s="42"/>
      <c r="I116" s="167" t="s">
        <v>179</v>
      </c>
      <c r="J116" s="154" t="s">
        <v>66</v>
      </c>
    </row>
    <row r="117" spans="1:13" x14ac:dyDescent="0.2">
      <c r="A117" s="99"/>
      <c r="B117" s="21">
        <v>6409</v>
      </c>
      <c r="C117" s="21">
        <v>100</v>
      </c>
      <c r="D117" s="118" t="s">
        <v>144</v>
      </c>
      <c r="E117" s="33">
        <v>533</v>
      </c>
      <c r="F117" s="12"/>
      <c r="G117" s="42">
        <f t="shared" si="17"/>
        <v>533</v>
      </c>
      <c r="H117" s="42"/>
      <c r="I117" s="167" t="s">
        <v>179</v>
      </c>
      <c r="J117" s="156" t="s">
        <v>234</v>
      </c>
    </row>
    <row r="118" spans="1:13" s="245" customFormat="1" x14ac:dyDescent="0.2">
      <c r="A118" s="99"/>
      <c r="B118" s="21"/>
      <c r="C118" s="21"/>
      <c r="D118" s="118" t="s">
        <v>357</v>
      </c>
      <c r="E118" s="33">
        <f>1098</f>
        <v>1098</v>
      </c>
      <c r="F118" s="12"/>
      <c r="G118" s="42">
        <f t="shared" si="17"/>
        <v>1098</v>
      </c>
      <c r="H118" s="42"/>
      <c r="I118" s="167"/>
      <c r="J118" s="156"/>
    </row>
    <row r="119" spans="1:13" x14ac:dyDescent="0.2">
      <c r="A119" s="99"/>
      <c r="B119" s="21">
        <v>6409</v>
      </c>
      <c r="C119" s="21"/>
      <c r="D119" s="203" t="s">
        <v>128</v>
      </c>
      <c r="E119" s="33">
        <v>274</v>
      </c>
      <c r="F119" s="12">
        <v>1000</v>
      </c>
      <c r="G119" s="42">
        <f t="shared" si="17"/>
        <v>1274</v>
      </c>
      <c r="H119" s="42"/>
      <c r="I119" s="176" t="s">
        <v>66</v>
      </c>
      <c r="J119" s="154" t="s">
        <v>239</v>
      </c>
    </row>
    <row r="120" spans="1:13" ht="13.5" thickBot="1" x14ac:dyDescent="0.25">
      <c r="A120" s="102"/>
      <c r="B120" s="70"/>
      <c r="C120" s="70"/>
      <c r="D120" s="71" t="s">
        <v>81</v>
      </c>
      <c r="E120" s="115">
        <f t="shared" ref="E120:G120" si="18">SUM(E5+E7+E13+E29+E43+E54+E61+E63+E84+E94+E100+E105+E111)</f>
        <v>154729</v>
      </c>
      <c r="F120" s="185">
        <f t="shared" si="18"/>
        <v>47217</v>
      </c>
      <c r="G120" s="185">
        <f t="shared" si="18"/>
        <v>201946</v>
      </c>
      <c r="H120" s="185"/>
      <c r="I120" s="115"/>
      <c r="J120" s="163"/>
    </row>
    <row r="121" spans="1:13" ht="13.5" thickBot="1" x14ac:dyDescent="0.25">
      <c r="A121" s="69"/>
      <c r="B121" s="233"/>
      <c r="C121" s="233"/>
      <c r="D121" s="233"/>
      <c r="E121" s="234" t="s">
        <v>82</v>
      </c>
      <c r="F121" s="25"/>
      <c r="G121" s="48">
        <f>SUM(E120:F120)</f>
        <v>201946</v>
      </c>
      <c r="H121" s="48"/>
      <c r="I121" s="211"/>
      <c r="J121" s="62"/>
    </row>
    <row r="122" spans="1:13" x14ac:dyDescent="0.2">
      <c r="A122" s="31"/>
      <c r="B122" s="16"/>
      <c r="C122" s="16"/>
      <c r="D122" s="224"/>
      <c r="E122" s="16"/>
      <c r="F122" s="16"/>
      <c r="G122" s="103"/>
      <c r="H122" s="103"/>
      <c r="I122" s="16"/>
    </row>
    <row r="123" spans="1:13" x14ac:dyDescent="0.2">
      <c r="D123" s="127"/>
      <c r="E123" s="84"/>
      <c r="F123" s="84"/>
      <c r="H123" s="103"/>
      <c r="I123" s="96"/>
      <c r="J123" s="96"/>
      <c r="K123" s="96"/>
      <c r="L123" s="96"/>
      <c r="M123" s="96"/>
    </row>
    <row r="124" spans="1:13" x14ac:dyDescent="0.2">
      <c r="D124" s="127"/>
      <c r="E124" s="249"/>
      <c r="H124" s="103"/>
      <c r="I124" s="96"/>
      <c r="J124" s="96"/>
      <c r="K124" s="96"/>
      <c r="L124" s="96"/>
      <c r="M124" s="96"/>
    </row>
    <row r="125" spans="1:13" x14ac:dyDescent="0.2">
      <c r="D125" s="127"/>
      <c r="H125" s="231"/>
      <c r="I125" s="96"/>
      <c r="J125" s="96"/>
      <c r="K125" s="96"/>
      <c r="L125" s="96"/>
      <c r="M125" s="96"/>
    </row>
    <row r="126" spans="1:13" x14ac:dyDescent="0.2">
      <c r="D126" s="128"/>
      <c r="H126" s="178"/>
      <c r="I126" s="96"/>
      <c r="J126" s="96"/>
      <c r="K126" s="96"/>
      <c r="L126" s="96"/>
      <c r="M126" s="96"/>
    </row>
    <row r="127" spans="1:13" x14ac:dyDescent="0.2">
      <c r="D127" s="128"/>
    </row>
    <row r="128" spans="1:13" x14ac:dyDescent="0.2">
      <c r="D128" s="128"/>
    </row>
    <row r="129" spans="4:4" x14ac:dyDescent="0.2">
      <c r="D129" s="128"/>
    </row>
  </sheetData>
  <sortState ref="A14:FF24">
    <sortCondition ref="B14:B24"/>
    <sortCondition ref="C14:C24"/>
  </sortState>
  <phoneticPr fontId="6" type="noConversion"/>
  <pageMargins left="0.15748031496062992" right="0.19685039370078741" top="0.23622047244094491" bottom="0.23622047244094491" header="0.15748031496062992" footer="0.23622047244094491"/>
  <pageSetup paperSize="9" scale="90" orientation="portrait" r:id="rId1"/>
  <headerFooter alignWithMargins="0">
    <oddHeader xml:space="preserve">&amp;R&amp;P+3 . strana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66" sqref="C66"/>
    </sheetView>
  </sheetViews>
  <sheetFormatPr defaultRowHeight="12.75" x14ac:dyDescent="0.2"/>
  <cols>
    <col min="2" max="2" width="34.7109375" customWidth="1"/>
    <col min="3" max="3" width="14.140625" customWidth="1"/>
  </cols>
  <sheetData>
    <row r="1" spans="1:4" x14ac:dyDescent="0.2">
      <c r="A1" s="244"/>
      <c r="B1" s="244"/>
      <c r="C1" s="244"/>
      <c r="D1" s="244"/>
    </row>
    <row r="2" spans="1:4" x14ac:dyDescent="0.2">
      <c r="A2" s="244"/>
      <c r="B2" s="252" t="s">
        <v>369</v>
      </c>
      <c r="C2" s="244"/>
      <c r="D2" s="244"/>
    </row>
    <row r="3" spans="1:4" x14ac:dyDescent="0.2">
      <c r="A3" s="244"/>
      <c r="B3" s="252" t="s">
        <v>370</v>
      </c>
      <c r="C3" s="244"/>
      <c r="D3" s="244"/>
    </row>
    <row r="4" spans="1:4" x14ac:dyDescent="0.2">
      <c r="A4" s="253"/>
      <c r="B4" s="254" t="s">
        <v>3</v>
      </c>
      <c r="C4" s="255">
        <f>příjmy!F33</f>
        <v>87644</v>
      </c>
      <c r="D4" s="244"/>
    </row>
    <row r="5" spans="1:4" x14ac:dyDescent="0.2">
      <c r="A5" s="253"/>
      <c r="B5" s="254" t="s">
        <v>4</v>
      </c>
      <c r="C5" s="255">
        <f>příjmy!F85</f>
        <v>26774</v>
      </c>
      <c r="D5" s="244"/>
    </row>
    <row r="6" spans="1:4" x14ac:dyDescent="0.2">
      <c r="A6" s="253"/>
      <c r="B6" s="254" t="s">
        <v>5</v>
      </c>
      <c r="C6" s="255">
        <f>příjmy!F91</f>
        <v>5949</v>
      </c>
      <c r="D6" s="244"/>
    </row>
    <row r="7" spans="1:4" x14ac:dyDescent="0.2">
      <c r="A7" s="253"/>
      <c r="B7" s="254" t="s">
        <v>6</v>
      </c>
      <c r="C7" s="255">
        <f>příjmy!F111</f>
        <v>52306</v>
      </c>
      <c r="D7" s="244"/>
    </row>
    <row r="8" spans="1:4" x14ac:dyDescent="0.2">
      <c r="A8" s="253"/>
      <c r="B8" s="256" t="s">
        <v>7</v>
      </c>
      <c r="C8" s="257">
        <f>SUM(C4:C7)</f>
        <v>172673</v>
      </c>
      <c r="D8" s="244"/>
    </row>
    <row r="9" spans="1:4" x14ac:dyDescent="0.2">
      <c r="A9" s="244"/>
      <c r="B9" s="244"/>
      <c r="C9" s="244"/>
      <c r="D9" s="244"/>
    </row>
    <row r="10" spans="1:4" x14ac:dyDescent="0.2">
      <c r="A10" s="244" t="s">
        <v>371</v>
      </c>
      <c r="B10" s="252" t="s">
        <v>372</v>
      </c>
      <c r="C10" s="244"/>
      <c r="D10" s="244"/>
    </row>
    <row r="11" spans="1:4" x14ac:dyDescent="0.2">
      <c r="A11" s="253">
        <v>10</v>
      </c>
      <c r="B11" s="258" t="s">
        <v>62</v>
      </c>
      <c r="C11" s="259">
        <f>výdaje!G5</f>
        <v>1395</v>
      </c>
      <c r="D11" s="244"/>
    </row>
    <row r="12" spans="1:4" x14ac:dyDescent="0.2">
      <c r="A12" s="253">
        <v>21</v>
      </c>
      <c r="B12" s="258" t="s">
        <v>205</v>
      </c>
      <c r="C12" s="259">
        <f>výdaje!G7</f>
        <v>1274</v>
      </c>
      <c r="D12" s="244"/>
    </row>
    <row r="13" spans="1:4" x14ac:dyDescent="0.2">
      <c r="A13" s="253">
        <v>22</v>
      </c>
      <c r="B13" s="258" t="s">
        <v>65</v>
      </c>
      <c r="C13" s="259">
        <f>výdaje!G13</f>
        <v>29386</v>
      </c>
      <c r="D13" s="244"/>
    </row>
    <row r="14" spans="1:4" x14ac:dyDescent="0.2">
      <c r="A14" s="260">
        <v>31</v>
      </c>
      <c r="B14" s="258" t="s">
        <v>324</v>
      </c>
      <c r="C14" s="259">
        <f>výdaje!G29</f>
        <v>17801</v>
      </c>
      <c r="D14" s="244"/>
    </row>
    <row r="15" spans="1:4" x14ac:dyDescent="0.2">
      <c r="A15" s="260">
        <v>33</v>
      </c>
      <c r="B15" s="258" t="s">
        <v>67</v>
      </c>
      <c r="C15" s="259">
        <f>výdaje!G43</f>
        <v>10968</v>
      </c>
      <c r="D15" s="244"/>
    </row>
    <row r="16" spans="1:4" x14ac:dyDescent="0.2">
      <c r="A16" s="260">
        <v>34</v>
      </c>
      <c r="B16" s="258" t="s">
        <v>69</v>
      </c>
      <c r="C16" s="259">
        <f>výdaje!G54</f>
        <v>14570</v>
      </c>
      <c r="D16" s="244"/>
    </row>
    <row r="17" spans="1:4" x14ac:dyDescent="0.2">
      <c r="A17" s="260">
        <v>35</v>
      </c>
      <c r="B17" s="258" t="s">
        <v>102</v>
      </c>
      <c r="C17" s="259">
        <f>výdaje!G61</f>
        <v>922</v>
      </c>
      <c r="D17" s="244"/>
    </row>
    <row r="18" spans="1:4" x14ac:dyDescent="0.2">
      <c r="A18" s="260">
        <v>36</v>
      </c>
      <c r="B18" s="258" t="s">
        <v>70</v>
      </c>
      <c r="C18" s="259">
        <f>výdaje!G63</f>
        <v>26409</v>
      </c>
      <c r="D18" s="244"/>
    </row>
    <row r="19" spans="1:4" x14ac:dyDescent="0.2">
      <c r="A19" s="260">
        <v>37</v>
      </c>
      <c r="B19" s="258" t="s">
        <v>103</v>
      </c>
      <c r="C19" s="259">
        <f>výdaje!G84</f>
        <v>16748</v>
      </c>
      <c r="D19" s="244"/>
    </row>
    <row r="20" spans="1:4" x14ac:dyDescent="0.2">
      <c r="A20" s="260">
        <v>43</v>
      </c>
      <c r="B20" s="258" t="s">
        <v>74</v>
      </c>
      <c r="C20" s="259">
        <f>výdaje!G94</f>
        <v>9465</v>
      </c>
      <c r="D20" s="244"/>
    </row>
    <row r="21" spans="1:4" x14ac:dyDescent="0.2">
      <c r="A21" s="260">
        <v>53</v>
      </c>
      <c r="B21" s="258" t="s">
        <v>92</v>
      </c>
      <c r="C21" s="259">
        <f>výdaje!G100</f>
        <v>4687</v>
      </c>
      <c r="D21" s="244"/>
    </row>
    <row r="22" spans="1:4" x14ac:dyDescent="0.2">
      <c r="A22" s="260">
        <v>61</v>
      </c>
      <c r="B22" s="258" t="s">
        <v>76</v>
      </c>
      <c r="C22" s="259">
        <f>výdaje!G105</f>
        <v>61095</v>
      </c>
      <c r="D22" s="244"/>
    </row>
    <row r="23" spans="1:4" x14ac:dyDescent="0.2">
      <c r="A23" s="260">
        <v>63</v>
      </c>
      <c r="B23" s="258" t="s">
        <v>79</v>
      </c>
      <c r="C23" s="259">
        <f>výdaje!G111</f>
        <v>7226</v>
      </c>
      <c r="D23" s="244"/>
    </row>
    <row r="24" spans="1:4" x14ac:dyDescent="0.2">
      <c r="A24" s="253"/>
      <c r="B24" s="261" t="s">
        <v>81</v>
      </c>
      <c r="C24" s="257">
        <f>SUM(C11:C23)</f>
        <v>201946</v>
      </c>
      <c r="D24" s="244"/>
    </row>
    <row r="25" spans="1:4" x14ac:dyDescent="0.2">
      <c r="A25" s="244"/>
      <c r="B25" s="252" t="s">
        <v>373</v>
      </c>
      <c r="C25" s="262">
        <f>C8-C24</f>
        <v>-29273</v>
      </c>
      <c r="D25" s="244"/>
    </row>
    <row r="26" spans="1:4" x14ac:dyDescent="0.2">
      <c r="A26" s="244"/>
      <c r="B26" s="244"/>
      <c r="C26" s="215"/>
      <c r="D26" s="244"/>
    </row>
    <row r="27" spans="1:4" x14ac:dyDescent="0.2">
      <c r="A27" s="244"/>
      <c r="B27" s="252" t="s">
        <v>374</v>
      </c>
      <c r="C27" s="244"/>
      <c r="D27" s="244"/>
    </row>
    <row r="28" spans="1:4" x14ac:dyDescent="0.2">
      <c r="A28" s="253"/>
      <c r="B28" s="254" t="s">
        <v>274</v>
      </c>
      <c r="C28" s="255">
        <f>sumář!C21</f>
        <v>-4255</v>
      </c>
      <c r="D28" s="244"/>
    </row>
    <row r="29" spans="1:4" x14ac:dyDescent="0.2">
      <c r="A29" s="253"/>
      <c r="B29" s="254" t="s">
        <v>289</v>
      </c>
      <c r="C29" s="255">
        <v>0</v>
      </c>
      <c r="D29" s="244"/>
    </row>
    <row r="30" spans="1:4" x14ac:dyDescent="0.2">
      <c r="A30" s="253"/>
      <c r="B30" s="254" t="s">
        <v>375</v>
      </c>
      <c r="C30" s="255">
        <f>sumář!C26+sumář!C25</f>
        <v>33528</v>
      </c>
      <c r="D30" s="244"/>
    </row>
    <row r="31" spans="1:4" x14ac:dyDescent="0.2">
      <c r="A31" s="253"/>
      <c r="B31" s="263" t="s">
        <v>14</v>
      </c>
      <c r="C31" s="257">
        <f>SUM(C28:C30)</f>
        <v>29273</v>
      </c>
      <c r="D31" s="24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sumář</vt:lpstr>
      <vt:lpstr>příjmy</vt:lpstr>
      <vt:lpstr>výdaje</vt:lpstr>
      <vt:lpstr>Závazné ukazatele rozpočtu</vt:lpstr>
      <vt:lpstr>příjmy!Názvy_tisku</vt:lpstr>
      <vt:lpstr>výdaje!Názvy_tisku</vt:lpstr>
      <vt:lpstr>výdaje!Oblast_tisku</vt:lpstr>
    </vt:vector>
  </TitlesOfParts>
  <Company>Jilemnice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Jilemnice</dc:creator>
  <cp:lastModifiedBy>Kynčlová Miroslava, Ing.</cp:lastModifiedBy>
  <cp:lastPrinted>2021-03-01T08:14:35Z</cp:lastPrinted>
  <dcterms:created xsi:type="dcterms:W3CDTF">1999-02-03T10:11:29Z</dcterms:created>
  <dcterms:modified xsi:type="dcterms:W3CDTF">2021-03-01T08:14:56Z</dcterms:modified>
</cp:coreProperties>
</file>