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4505" yWindow="7110" windowWidth="14310" windowHeight="7140"/>
  </bookViews>
  <sheets>
    <sheet name="sumář" sheetId="1" r:id="rId1"/>
    <sheet name="příjmy" sheetId="2" r:id="rId2"/>
    <sheet name="výdaje" sheetId="3" r:id="rId3"/>
    <sheet name="Příspěvkové organizace" sheetId="15" r:id="rId4"/>
    <sheet name="Obchodní organizace" sheetId="20" r:id="rId5"/>
  </sheets>
  <definedNames>
    <definedName name="_xlnm.Print_Titles" localSheetId="1">příjmy!$A:$E,příjmy!$1:$3</definedName>
    <definedName name="_xlnm.Print_Titles" localSheetId="2">výdaje!$A:$D,výdaje!$1:$4</definedName>
    <definedName name="_xlnm.Print_Area" localSheetId="1">příjmy!$A$1:$L$155</definedName>
    <definedName name="_xlnm.Print_Area" localSheetId="3">'Příspěvkové organizace'!$A$2:$O$33</definedName>
    <definedName name="_xlnm.Print_Area" localSheetId="2">výdaje!$A$1:$R$121</definedName>
  </definedNames>
  <calcPr calcId="145621"/>
</workbook>
</file>

<file path=xl/calcChain.xml><?xml version="1.0" encoding="utf-8"?>
<calcChain xmlns="http://schemas.openxmlformats.org/spreadsheetml/2006/main">
  <c r="N7" i="15" l="1"/>
  <c r="G7" i="15"/>
  <c r="D7" i="15"/>
  <c r="L9" i="15"/>
  <c r="H7" i="15" l="1"/>
  <c r="M7" i="15"/>
  <c r="D34" i="20"/>
  <c r="C34" i="20"/>
  <c r="B34" i="20"/>
  <c r="N8" i="15" l="1"/>
  <c r="N9" i="15"/>
  <c r="N10" i="15"/>
  <c r="N11" i="15"/>
  <c r="N12" i="15"/>
  <c r="E21" i="15"/>
  <c r="G21" i="15" s="1"/>
  <c r="I21" i="15" s="1"/>
  <c r="K21" i="15" s="1"/>
  <c r="M21" i="15" s="1"/>
  <c r="M94" i="3" l="1"/>
  <c r="M110" i="3" l="1"/>
  <c r="M107" i="3" l="1"/>
  <c r="M97" i="3"/>
  <c r="M6" i="3"/>
  <c r="H107" i="3" l="1"/>
  <c r="H116" i="3"/>
  <c r="J40" i="3" l="1"/>
  <c r="O66" i="3" l="1"/>
  <c r="N40" i="3"/>
  <c r="I46" i="3"/>
  <c r="H46" i="3"/>
  <c r="I70" i="3"/>
  <c r="I67" i="2"/>
  <c r="I47" i="2"/>
  <c r="I66" i="2"/>
  <c r="I20" i="2" l="1"/>
  <c r="N108" i="3"/>
  <c r="M108" i="3" s="1"/>
  <c r="N104" i="3"/>
  <c r="M104" i="3" s="1"/>
  <c r="M98" i="3"/>
  <c r="M93" i="3"/>
  <c r="H87" i="3"/>
  <c r="M87" i="3"/>
  <c r="O78" i="3"/>
  <c r="M83" i="3"/>
  <c r="M76" i="3"/>
  <c r="N70" i="3"/>
  <c r="M70" i="3"/>
  <c r="N57" i="3"/>
  <c r="O57" i="3" s="1"/>
  <c r="M60" i="3"/>
  <c r="M59" i="3"/>
  <c r="N50" i="3"/>
  <c r="M50" i="3"/>
  <c r="N46" i="3"/>
  <c r="M46" i="3"/>
  <c r="M40" i="3"/>
  <c r="M34" i="3"/>
  <c r="M33" i="3"/>
  <c r="M32" i="3"/>
  <c r="M29" i="3"/>
  <c r="N23" i="3"/>
  <c r="O23" i="3" s="1"/>
  <c r="M17" i="3"/>
  <c r="O22" i="3"/>
  <c r="J23" i="3"/>
  <c r="I124" i="2" l="1"/>
  <c r="I123" i="2" s="1"/>
  <c r="I74" i="2"/>
  <c r="I55" i="2"/>
  <c r="I110" i="2"/>
  <c r="I51" i="2"/>
  <c r="I77" i="2"/>
  <c r="I57" i="2"/>
  <c r="I87" i="2"/>
  <c r="I94" i="2"/>
  <c r="I60" i="2"/>
  <c r="I50" i="2"/>
  <c r="I63" i="2"/>
  <c r="I92" i="2"/>
  <c r="I54" i="2"/>
  <c r="I107" i="2"/>
  <c r="I80" i="2"/>
  <c r="I22" i="2"/>
  <c r="I33" i="2"/>
  <c r="I28" i="2" s="1"/>
  <c r="I17" i="2"/>
  <c r="I15" i="2"/>
  <c r="I93" i="3"/>
  <c r="I73" i="2" l="1"/>
  <c r="H104" i="3"/>
  <c r="H94" i="2"/>
  <c r="J94" i="2" s="1"/>
  <c r="I22" i="3"/>
  <c r="H22" i="3"/>
  <c r="J22" i="3" s="1"/>
  <c r="H78" i="3"/>
  <c r="G125" i="2"/>
  <c r="H143" i="2"/>
  <c r="G113" i="2"/>
  <c r="G117" i="2"/>
  <c r="H134" i="2"/>
  <c r="H6" i="3"/>
  <c r="H122" i="2"/>
  <c r="J122" i="2" s="1"/>
  <c r="K143" i="2" l="1"/>
  <c r="K134" i="2"/>
  <c r="J143" i="2"/>
  <c r="J134" i="2"/>
  <c r="K138" i="2" l="1"/>
  <c r="K122" i="2"/>
  <c r="K94" i="2"/>
  <c r="K75" i="2"/>
  <c r="K59" i="2"/>
  <c r="I17" i="3" l="1"/>
  <c r="H111" i="3" l="1"/>
  <c r="H119" i="3"/>
  <c r="H74" i="3"/>
  <c r="H117" i="3" l="1"/>
  <c r="H91" i="2"/>
  <c r="H93" i="2"/>
  <c r="G121" i="2"/>
  <c r="H108" i="3"/>
  <c r="H97" i="3"/>
  <c r="J93" i="2" l="1"/>
  <c r="K93" i="2"/>
  <c r="J91" i="2"/>
  <c r="K91" i="2"/>
  <c r="H140" i="2" l="1"/>
  <c r="D23" i="1"/>
  <c r="K140" i="2" l="1"/>
  <c r="J140" i="2"/>
  <c r="H50" i="3" l="1"/>
  <c r="H133" i="2"/>
  <c r="G87" i="2"/>
  <c r="H32" i="3"/>
  <c r="H120" i="2"/>
  <c r="K133" i="2" l="1"/>
  <c r="J133" i="2"/>
  <c r="K120" i="2"/>
  <c r="J120" i="2"/>
  <c r="H139" i="2" l="1"/>
  <c r="K139" i="2" l="1"/>
  <c r="J139" i="2"/>
  <c r="H126" i="2" l="1"/>
  <c r="K126" i="2" l="1"/>
  <c r="J126" i="2"/>
  <c r="H132" i="2" l="1"/>
  <c r="H29" i="3"/>
  <c r="G116" i="2"/>
  <c r="K132" i="2" l="1"/>
  <c r="J132" i="2"/>
  <c r="I12" i="3"/>
  <c r="H18" i="3"/>
  <c r="H121" i="2" l="1"/>
  <c r="H98" i="3"/>
  <c r="G130" i="2"/>
  <c r="K121" i="2" l="1"/>
  <c r="J121" i="2"/>
  <c r="H36" i="3" l="1"/>
  <c r="H119" i="2"/>
  <c r="K119" i="2" l="1"/>
  <c r="J119" i="2"/>
  <c r="D12" i="15"/>
  <c r="D13" i="15"/>
  <c r="H34" i="3" l="1"/>
  <c r="H88" i="2" l="1"/>
  <c r="H118" i="2"/>
  <c r="K118" i="2" l="1"/>
  <c r="J118" i="2"/>
  <c r="J88" i="2"/>
  <c r="K88" i="2"/>
  <c r="I50" i="3"/>
  <c r="K50" i="3" s="1"/>
  <c r="H49" i="2"/>
  <c r="J49" i="2" l="1"/>
  <c r="K49" i="2"/>
  <c r="H117" i="2"/>
  <c r="K117" i="2" l="1"/>
  <c r="J117" i="2"/>
  <c r="H127" i="2" l="1"/>
  <c r="G92" i="2"/>
  <c r="H92" i="2" s="1"/>
  <c r="J92" i="2" l="1"/>
  <c r="K92" i="2"/>
  <c r="K127" i="2"/>
  <c r="J127" i="2"/>
  <c r="H90" i="2" l="1"/>
  <c r="H142" i="2"/>
  <c r="H116" i="2"/>
  <c r="H125" i="2"/>
  <c r="K116" i="2" l="1"/>
  <c r="J116" i="2"/>
  <c r="K142" i="2"/>
  <c r="J142" i="2"/>
  <c r="J90" i="2"/>
  <c r="K90" i="2"/>
  <c r="K125" i="2"/>
  <c r="J125" i="2"/>
  <c r="F93" i="3"/>
  <c r="E93" i="3"/>
  <c r="F119" i="3"/>
  <c r="E119" i="3"/>
  <c r="K22" i="3" l="1"/>
  <c r="F23" i="3"/>
  <c r="G22" i="3"/>
  <c r="J57" i="3"/>
  <c r="K57" i="3"/>
  <c r="G57" i="3"/>
  <c r="H58" i="2"/>
  <c r="K58" i="2" s="1"/>
  <c r="L22" i="3" l="1"/>
  <c r="P22" i="3" s="1"/>
  <c r="L57" i="3"/>
  <c r="J58" i="2"/>
  <c r="K93" i="3"/>
  <c r="J88" i="3"/>
  <c r="L88" i="3" s="1"/>
  <c r="J90" i="3"/>
  <c r="J91" i="3"/>
  <c r="L91" i="3" s="1"/>
  <c r="J92" i="3"/>
  <c r="L92" i="3" s="1"/>
  <c r="J70" i="3"/>
  <c r="J71" i="3"/>
  <c r="J72" i="3"/>
  <c r="J73" i="3"/>
  <c r="J56" i="3"/>
  <c r="K56" i="3"/>
  <c r="J58" i="3"/>
  <c r="J59" i="3"/>
  <c r="K59" i="3"/>
  <c r="J60" i="3"/>
  <c r="K60" i="3"/>
  <c r="K46" i="3"/>
  <c r="J47" i="3"/>
  <c r="J48" i="3"/>
  <c r="J50" i="3"/>
  <c r="J51" i="3"/>
  <c r="J52" i="3"/>
  <c r="K39" i="3"/>
  <c r="K40" i="3"/>
  <c r="L40" i="3" s="1"/>
  <c r="K41" i="3"/>
  <c r="K35" i="3"/>
  <c r="K34" i="3"/>
  <c r="J35" i="3"/>
  <c r="K12" i="3"/>
  <c r="K7" i="3"/>
  <c r="L7" i="3" s="1"/>
  <c r="O119" i="3"/>
  <c r="O118" i="3"/>
  <c r="O117" i="3"/>
  <c r="O116" i="3"/>
  <c r="O115" i="3"/>
  <c r="O114" i="3"/>
  <c r="O113" i="3"/>
  <c r="N112" i="3"/>
  <c r="M112" i="3"/>
  <c r="O111" i="3"/>
  <c r="O110" i="3"/>
  <c r="O109" i="3"/>
  <c r="O108" i="3"/>
  <c r="O107" i="3"/>
  <c r="O106" i="3"/>
  <c r="N105" i="3"/>
  <c r="M105" i="3"/>
  <c r="O104" i="3"/>
  <c r="O103" i="3"/>
  <c r="O102" i="3"/>
  <c r="O101" i="3"/>
  <c r="N100" i="3"/>
  <c r="M100" i="3"/>
  <c r="O99" i="3"/>
  <c r="O98" i="3"/>
  <c r="O97" i="3"/>
  <c r="O96" i="3"/>
  <c r="N95" i="3"/>
  <c r="M95" i="3"/>
  <c r="O94" i="3"/>
  <c r="O93" i="3"/>
  <c r="O92" i="3"/>
  <c r="O91" i="3"/>
  <c r="O90" i="3"/>
  <c r="O89" i="3"/>
  <c r="O88" i="3"/>
  <c r="O87" i="3"/>
  <c r="O86" i="3"/>
  <c r="O85" i="3"/>
  <c r="N84" i="3"/>
  <c r="M84" i="3"/>
  <c r="O83" i="3"/>
  <c r="O82" i="3"/>
  <c r="O81" i="3"/>
  <c r="O80" i="3"/>
  <c r="O79" i="3"/>
  <c r="O77" i="3"/>
  <c r="O76" i="3"/>
  <c r="O75" i="3"/>
  <c r="O74" i="3"/>
  <c r="O73" i="3"/>
  <c r="O72" i="3"/>
  <c r="O71" i="3"/>
  <c r="O70" i="3"/>
  <c r="O69" i="3"/>
  <c r="O68" i="3"/>
  <c r="O67" i="3"/>
  <c r="N65" i="3"/>
  <c r="M65" i="3"/>
  <c r="O64" i="3"/>
  <c r="N63" i="3"/>
  <c r="M63" i="3"/>
  <c r="O62" i="3"/>
  <c r="O61" i="3"/>
  <c r="O60" i="3"/>
  <c r="O59" i="3"/>
  <c r="O58" i="3"/>
  <c r="O56" i="3"/>
  <c r="N55" i="3"/>
  <c r="M55" i="3"/>
  <c r="O54" i="3"/>
  <c r="O53" i="3"/>
  <c r="O52" i="3"/>
  <c r="O51" i="3"/>
  <c r="O50" i="3"/>
  <c r="O49" i="3"/>
  <c r="O48" i="3"/>
  <c r="O47" i="3"/>
  <c r="O46" i="3"/>
  <c r="O45" i="3"/>
  <c r="O44" i="3"/>
  <c r="O43" i="3"/>
  <c r="N42" i="3"/>
  <c r="M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N28" i="3"/>
  <c r="M28" i="3"/>
  <c r="O27" i="3"/>
  <c r="O26" i="3"/>
  <c r="O25" i="3"/>
  <c r="O24" i="3"/>
  <c r="O21" i="3"/>
  <c r="O20" i="3"/>
  <c r="O19" i="3"/>
  <c r="O18" i="3"/>
  <c r="O17" i="3"/>
  <c r="N16" i="3"/>
  <c r="M16" i="3"/>
  <c r="O15" i="3"/>
  <c r="O14" i="3"/>
  <c r="O13" i="3"/>
  <c r="O12" i="3"/>
  <c r="O11" i="3"/>
  <c r="N10" i="3"/>
  <c r="M10" i="3"/>
  <c r="O9" i="3"/>
  <c r="O8" i="3"/>
  <c r="O7" i="3"/>
  <c r="O6" i="3"/>
  <c r="N5" i="3"/>
  <c r="M5" i="3"/>
  <c r="G119" i="3"/>
  <c r="G118" i="3"/>
  <c r="G117" i="3"/>
  <c r="G116" i="3"/>
  <c r="G115" i="3"/>
  <c r="G114" i="3"/>
  <c r="G113" i="3"/>
  <c r="F112" i="3"/>
  <c r="G111" i="3"/>
  <c r="G110" i="3"/>
  <c r="G109" i="3"/>
  <c r="G107" i="3"/>
  <c r="E106" i="3"/>
  <c r="G106" i="3" s="1"/>
  <c r="F104" i="3"/>
  <c r="G104" i="3" s="1"/>
  <c r="G103" i="3"/>
  <c r="E102" i="3"/>
  <c r="G102" i="3" s="1"/>
  <c r="E101" i="3"/>
  <c r="G101" i="3" s="1"/>
  <c r="G99" i="3"/>
  <c r="F98" i="3"/>
  <c r="K98" i="3" s="1"/>
  <c r="E98" i="3"/>
  <c r="F97" i="3"/>
  <c r="K97" i="3" s="1"/>
  <c r="E97" i="3"/>
  <c r="E96" i="3"/>
  <c r="G96" i="3" s="1"/>
  <c r="G94" i="3"/>
  <c r="G93" i="3"/>
  <c r="G92" i="3"/>
  <c r="G91" i="3"/>
  <c r="G90" i="3"/>
  <c r="E89" i="3"/>
  <c r="G89" i="3" s="1"/>
  <c r="G88" i="3"/>
  <c r="G87" i="3"/>
  <c r="E86" i="3"/>
  <c r="G86" i="3" s="1"/>
  <c r="G85" i="3"/>
  <c r="F84" i="3"/>
  <c r="E83" i="3"/>
  <c r="G83" i="3" s="1"/>
  <c r="G82" i="3"/>
  <c r="E81" i="3"/>
  <c r="G81" i="3" s="1"/>
  <c r="G80" i="3"/>
  <c r="G79" i="3"/>
  <c r="G78" i="3"/>
  <c r="G77" i="3"/>
  <c r="G76" i="3"/>
  <c r="G75" i="3"/>
  <c r="E74" i="3"/>
  <c r="J74" i="3" s="1"/>
  <c r="G73" i="3"/>
  <c r="G72" i="3"/>
  <c r="G71" i="3"/>
  <c r="F70" i="3"/>
  <c r="G70" i="3" s="1"/>
  <c r="G69" i="3"/>
  <c r="G68" i="3"/>
  <c r="G67" i="3"/>
  <c r="G66" i="3"/>
  <c r="G64" i="3"/>
  <c r="F63" i="3"/>
  <c r="E63" i="3"/>
  <c r="G62" i="3"/>
  <c r="E61" i="3"/>
  <c r="G61" i="3" s="1"/>
  <c r="G60" i="3"/>
  <c r="G59" i="3"/>
  <c r="F58" i="3"/>
  <c r="F55" i="3" s="1"/>
  <c r="G56" i="3"/>
  <c r="G54" i="3"/>
  <c r="G53" i="3"/>
  <c r="G52" i="3"/>
  <c r="G51" i="3"/>
  <c r="G50" i="3"/>
  <c r="E49" i="3"/>
  <c r="G49" i="3" s="1"/>
  <c r="G48" i="3"/>
  <c r="G47" i="3"/>
  <c r="G46" i="3"/>
  <c r="E45" i="3"/>
  <c r="G45" i="3" s="1"/>
  <c r="G44" i="3"/>
  <c r="E43" i="3"/>
  <c r="G43" i="3" s="1"/>
  <c r="F42" i="3"/>
  <c r="G41" i="3"/>
  <c r="G40" i="3"/>
  <c r="G39" i="3"/>
  <c r="G38" i="3"/>
  <c r="G37" i="3"/>
  <c r="G36" i="3"/>
  <c r="G35" i="3"/>
  <c r="G34" i="3"/>
  <c r="E33" i="3"/>
  <c r="G33" i="3" s="1"/>
  <c r="G32" i="3"/>
  <c r="E31" i="3"/>
  <c r="G30" i="3"/>
  <c r="G29" i="3"/>
  <c r="F28" i="3"/>
  <c r="G27" i="3"/>
  <c r="G26" i="3"/>
  <c r="G25" i="3"/>
  <c r="G24" i="3"/>
  <c r="G23" i="3"/>
  <c r="G21" i="3"/>
  <c r="F20" i="3"/>
  <c r="G19" i="3"/>
  <c r="E18" i="3"/>
  <c r="E16" i="3" s="1"/>
  <c r="F17" i="3"/>
  <c r="G17" i="3" s="1"/>
  <c r="G15" i="3"/>
  <c r="G14" i="3"/>
  <c r="E13" i="3"/>
  <c r="G13" i="3" s="1"/>
  <c r="E12" i="3"/>
  <c r="G12" i="3" s="1"/>
  <c r="G11" i="3"/>
  <c r="F10" i="3"/>
  <c r="G9" i="3"/>
  <c r="G8" i="3"/>
  <c r="G7" i="3"/>
  <c r="E6" i="3"/>
  <c r="G6" i="3" s="1"/>
  <c r="F5" i="3"/>
  <c r="H26" i="2"/>
  <c r="K26" i="2" s="1"/>
  <c r="H109" i="2"/>
  <c r="H111" i="2"/>
  <c r="H112" i="2"/>
  <c r="H113" i="2"/>
  <c r="H114" i="2"/>
  <c r="H115" i="2"/>
  <c r="H128" i="2"/>
  <c r="H129" i="2"/>
  <c r="H130" i="2"/>
  <c r="H131" i="2"/>
  <c r="H135" i="2"/>
  <c r="H108" i="2"/>
  <c r="G148" i="2"/>
  <c r="G136" i="2"/>
  <c r="G154" i="2" s="1"/>
  <c r="G105" i="2"/>
  <c r="G151" i="2" s="1"/>
  <c r="G103" i="2"/>
  <c r="G153" i="2" s="1"/>
  <c r="G86" i="2"/>
  <c r="G78" i="2"/>
  <c r="G61" i="2"/>
  <c r="G39" i="2"/>
  <c r="G34" i="2"/>
  <c r="G25" i="2"/>
  <c r="G14" i="2"/>
  <c r="G5" i="2"/>
  <c r="H100" i="2"/>
  <c r="H101" i="2"/>
  <c r="H64" i="2"/>
  <c r="H65" i="2"/>
  <c r="H66" i="2"/>
  <c r="H42" i="2"/>
  <c r="H43" i="2"/>
  <c r="I148" i="2"/>
  <c r="I136" i="2"/>
  <c r="I154" i="2" s="1"/>
  <c r="I105" i="2"/>
  <c r="I151" i="2" s="1"/>
  <c r="I103" i="2"/>
  <c r="I153" i="2" s="1"/>
  <c r="G11" i="1" s="1"/>
  <c r="I86" i="2"/>
  <c r="I78" i="2"/>
  <c r="I61" i="2"/>
  <c r="I39" i="2"/>
  <c r="I95" i="2" s="1"/>
  <c r="I34" i="2"/>
  <c r="I25" i="2"/>
  <c r="I14" i="2"/>
  <c r="I5" i="2"/>
  <c r="F136" i="2"/>
  <c r="F154" i="2" s="1"/>
  <c r="F124" i="2"/>
  <c r="H124" i="2" s="1"/>
  <c r="F123" i="2"/>
  <c r="H123" i="2" s="1"/>
  <c r="F110" i="2"/>
  <c r="H110" i="2" s="1"/>
  <c r="F99" i="2"/>
  <c r="F103" i="2" s="1"/>
  <c r="F153" i="2" s="1"/>
  <c r="F86" i="2"/>
  <c r="F80" i="2"/>
  <c r="F78" i="2" s="1"/>
  <c r="F73" i="2"/>
  <c r="F69" i="2"/>
  <c r="F63" i="2"/>
  <c r="F60" i="2"/>
  <c r="F55" i="2"/>
  <c r="F54" i="2"/>
  <c r="F51" i="2"/>
  <c r="F34" i="2"/>
  <c r="F28" i="2"/>
  <c r="F25" i="2"/>
  <c r="F22" i="2"/>
  <c r="F17" i="2"/>
  <c r="F9" i="2"/>
  <c r="F7" i="2"/>
  <c r="F6" i="2"/>
  <c r="Q7" i="3" l="1"/>
  <c r="P7" i="3"/>
  <c r="Q91" i="3"/>
  <c r="G95" i="2"/>
  <c r="K124" i="2"/>
  <c r="J124" i="2"/>
  <c r="J43" i="2"/>
  <c r="K43" i="2"/>
  <c r="J64" i="2"/>
  <c r="K64" i="2"/>
  <c r="K108" i="2"/>
  <c r="J108" i="2"/>
  <c r="K129" i="2"/>
  <c r="J42" i="2"/>
  <c r="K42" i="2"/>
  <c r="K101" i="2"/>
  <c r="K135" i="2"/>
  <c r="K112" i="2"/>
  <c r="J112" i="2"/>
  <c r="K110" i="2"/>
  <c r="J110" i="2"/>
  <c r="J66" i="2"/>
  <c r="K66" i="2"/>
  <c r="J100" i="2"/>
  <c r="K100" i="2"/>
  <c r="K131" i="2"/>
  <c r="J131" i="2"/>
  <c r="K115" i="2"/>
  <c r="J115" i="2"/>
  <c r="K111" i="2"/>
  <c r="J111" i="2"/>
  <c r="K123" i="2"/>
  <c r="J123" i="2"/>
  <c r="K65" i="2"/>
  <c r="K130" i="2"/>
  <c r="J130" i="2"/>
  <c r="K114" i="2"/>
  <c r="J114" i="2"/>
  <c r="K109" i="2"/>
  <c r="J109" i="2"/>
  <c r="Q57" i="3"/>
  <c r="P57" i="3"/>
  <c r="Q88" i="3"/>
  <c r="P88" i="3"/>
  <c r="Q92" i="3"/>
  <c r="P92" i="3"/>
  <c r="Q40" i="3"/>
  <c r="P40" i="3"/>
  <c r="Q22" i="3"/>
  <c r="K128" i="2"/>
  <c r="K113" i="2"/>
  <c r="J113" i="2"/>
  <c r="L73" i="3"/>
  <c r="P73" i="3" s="1"/>
  <c r="L72" i="3"/>
  <c r="Q72" i="3" s="1"/>
  <c r="L71" i="3"/>
  <c r="L90" i="3"/>
  <c r="L51" i="3"/>
  <c r="P51" i="3" s="1"/>
  <c r="L48" i="3"/>
  <c r="L52" i="3"/>
  <c r="L47" i="3"/>
  <c r="L50" i="3"/>
  <c r="G12" i="1"/>
  <c r="L74" i="3"/>
  <c r="F105" i="3"/>
  <c r="E112" i="3"/>
  <c r="E28" i="3"/>
  <c r="J89" i="3"/>
  <c r="L60" i="3"/>
  <c r="L56" i="3"/>
  <c r="Q56" i="3" s="1"/>
  <c r="L35" i="3"/>
  <c r="Q35" i="3" s="1"/>
  <c r="K70" i="3"/>
  <c r="L70" i="3" s="1"/>
  <c r="L59" i="3"/>
  <c r="Q59" i="3" s="1"/>
  <c r="O55" i="3"/>
  <c r="F65" i="3"/>
  <c r="G98" i="3"/>
  <c r="O112" i="3"/>
  <c r="J49" i="3"/>
  <c r="G97" i="3"/>
  <c r="N120" i="3"/>
  <c r="O16" i="3"/>
  <c r="K58" i="3"/>
  <c r="L58" i="3" s="1"/>
  <c r="F16" i="3"/>
  <c r="G63" i="3"/>
  <c r="E65" i="3"/>
  <c r="O10" i="3"/>
  <c r="O42" i="3"/>
  <c r="O105" i="3"/>
  <c r="F95" i="3"/>
  <c r="G100" i="3"/>
  <c r="O63" i="3"/>
  <c r="O84" i="3"/>
  <c r="E55" i="3"/>
  <c r="G58" i="3"/>
  <c r="E84" i="3"/>
  <c r="M120" i="3"/>
  <c r="G14" i="1" s="1"/>
  <c r="O95" i="3"/>
  <c r="G112" i="3"/>
  <c r="O65" i="3"/>
  <c r="G20" i="3"/>
  <c r="G84" i="3"/>
  <c r="G5" i="3"/>
  <c r="G10" i="3"/>
  <c r="O5" i="3"/>
  <c r="O28" i="3"/>
  <c r="O100" i="3"/>
  <c r="K23" i="3"/>
  <c r="G42" i="3"/>
  <c r="E5" i="3"/>
  <c r="G31" i="3"/>
  <c r="G28" i="3" s="1"/>
  <c r="E42" i="3"/>
  <c r="G74" i="3"/>
  <c r="G65" i="3" s="1"/>
  <c r="E95" i="3"/>
  <c r="E100" i="3"/>
  <c r="E10" i="3"/>
  <c r="G18" i="3"/>
  <c r="F100" i="3"/>
  <c r="F39" i="2"/>
  <c r="G36" i="2"/>
  <c r="G149" i="2" s="1"/>
  <c r="G150" i="2"/>
  <c r="H99" i="2"/>
  <c r="G145" i="2"/>
  <c r="I36" i="2"/>
  <c r="I149" i="2" s="1"/>
  <c r="G9" i="1" s="1"/>
  <c r="I150" i="2"/>
  <c r="G10" i="1" s="1"/>
  <c r="I145" i="2"/>
  <c r="F105" i="2"/>
  <c r="F145" i="2" s="1"/>
  <c r="F14" i="2"/>
  <c r="F5" i="2"/>
  <c r="F61" i="2"/>
  <c r="P35" i="3" l="1"/>
  <c r="F95" i="2"/>
  <c r="J99" i="2"/>
  <c r="K99" i="2"/>
  <c r="P72" i="3"/>
  <c r="P50" i="3"/>
  <c r="P47" i="3"/>
  <c r="P56" i="3"/>
  <c r="Q50" i="3"/>
  <c r="Q47" i="3"/>
  <c r="P70" i="3"/>
  <c r="Q48" i="3"/>
  <c r="Q51" i="3"/>
  <c r="Q70" i="3"/>
  <c r="Q74" i="3"/>
  <c r="Q58" i="3"/>
  <c r="Q90" i="3"/>
  <c r="G15" i="1"/>
  <c r="Q52" i="3"/>
  <c r="Q71" i="3"/>
  <c r="Q73" i="3"/>
  <c r="P60" i="3"/>
  <c r="P52" i="3"/>
  <c r="P71" i="3"/>
  <c r="Q60" i="3"/>
  <c r="P48" i="3"/>
  <c r="P74" i="3"/>
  <c r="P58" i="3"/>
  <c r="G55" i="3"/>
  <c r="L23" i="3"/>
  <c r="L49" i="3"/>
  <c r="L89" i="3"/>
  <c r="G13" i="1"/>
  <c r="F151" i="2"/>
  <c r="G152" i="2"/>
  <c r="G155" i="2" s="1"/>
  <c r="G95" i="3"/>
  <c r="O121" i="3"/>
  <c r="F120" i="3"/>
  <c r="O120" i="3"/>
  <c r="G16" i="3"/>
  <c r="F150" i="2"/>
  <c r="G146" i="2"/>
  <c r="I146" i="2"/>
  <c r="I152" i="2"/>
  <c r="I155" i="2" s="1"/>
  <c r="F36" i="2"/>
  <c r="Q89" i="3" l="1"/>
  <c r="P89" i="3"/>
  <c r="P49" i="3"/>
  <c r="Q49" i="3"/>
  <c r="Q23" i="3"/>
  <c r="P23" i="3"/>
  <c r="F146" i="2"/>
  <c r="G108" i="3"/>
  <c r="G105" i="3" s="1"/>
  <c r="G120" i="3" s="1"/>
  <c r="E105" i="3"/>
  <c r="E120" i="3" s="1"/>
  <c r="G121" i="3" s="1"/>
  <c r="F149" i="2"/>
  <c r="F152" i="2" s="1"/>
  <c r="F155" i="2" s="1"/>
  <c r="K87" i="3" l="1"/>
  <c r="J107" i="3" l="1"/>
  <c r="H107" i="2"/>
  <c r="K107" i="2" l="1"/>
  <c r="J107" i="2"/>
  <c r="L107" i="3"/>
  <c r="Q107" i="3" s="1"/>
  <c r="P107" i="3" l="1"/>
  <c r="J87" i="3" l="1"/>
  <c r="L87" i="3" s="1"/>
  <c r="Q87" i="3" s="1"/>
  <c r="P87" i="3" l="1"/>
  <c r="H89" i="2" l="1"/>
  <c r="H87" i="2"/>
  <c r="J87" i="2" l="1"/>
  <c r="K87" i="2"/>
  <c r="J89" i="2"/>
  <c r="K89" i="2"/>
  <c r="H86" i="2"/>
  <c r="J86" i="2" s="1"/>
  <c r="D11" i="15" l="1"/>
  <c r="N13" i="15"/>
  <c r="G13" i="15"/>
  <c r="M12" i="15"/>
  <c r="G12" i="15"/>
  <c r="M11" i="15"/>
  <c r="G11" i="15"/>
  <c r="M10" i="15"/>
  <c r="G10" i="15"/>
  <c r="D10" i="15"/>
  <c r="M9" i="15"/>
  <c r="G9" i="15"/>
  <c r="D9" i="15"/>
  <c r="M8" i="15"/>
  <c r="G8" i="15"/>
  <c r="D8" i="15"/>
  <c r="H10" i="15" l="1"/>
  <c r="H13" i="15"/>
  <c r="H8" i="15"/>
  <c r="H11" i="15"/>
  <c r="H12" i="15"/>
  <c r="H9" i="15"/>
  <c r="J119" i="3" l="1"/>
  <c r="J53" i="3" l="1"/>
  <c r="L53" i="3" l="1"/>
  <c r="Q53" i="3" l="1"/>
  <c r="P53" i="3"/>
  <c r="J117" i="3" l="1"/>
  <c r="L117" i="3" l="1"/>
  <c r="Q117" i="3" s="1"/>
  <c r="S112" i="3"/>
  <c r="S105" i="3"/>
  <c r="S100" i="3"/>
  <c r="S95" i="3"/>
  <c r="S84" i="3"/>
  <c r="S65" i="3"/>
  <c r="S63" i="3"/>
  <c r="S55" i="3"/>
  <c r="S42" i="3"/>
  <c r="S28" i="3"/>
  <c r="S16" i="3"/>
  <c r="S10" i="3"/>
  <c r="S5" i="3"/>
  <c r="J46" i="3"/>
  <c r="J8" i="3"/>
  <c r="K8" i="3"/>
  <c r="J19" i="3"/>
  <c r="K19" i="3"/>
  <c r="J21" i="3"/>
  <c r="K21" i="3"/>
  <c r="J24" i="3"/>
  <c r="K24" i="3"/>
  <c r="J109" i="3"/>
  <c r="J110" i="3"/>
  <c r="J99" i="3"/>
  <c r="K99" i="3"/>
  <c r="P117" i="3" l="1"/>
  <c r="L46" i="3"/>
  <c r="Q46" i="3" s="1"/>
  <c r="L8" i="3"/>
  <c r="S120" i="3"/>
  <c r="L24" i="3"/>
  <c r="L99" i="3"/>
  <c r="Q99" i="3" s="1"/>
  <c r="L21" i="3"/>
  <c r="Q21" i="3" s="1"/>
  <c r="L110" i="3"/>
  <c r="Q110" i="3" s="1"/>
  <c r="L19" i="3"/>
  <c r="Q19" i="3" s="1"/>
  <c r="L109" i="3"/>
  <c r="Q109" i="3" s="1"/>
  <c r="Q8" i="3" l="1"/>
  <c r="P8" i="3"/>
  <c r="Q24" i="3"/>
  <c r="P46" i="3"/>
  <c r="P110" i="3"/>
  <c r="P24" i="3"/>
  <c r="P99" i="3"/>
  <c r="P21" i="3"/>
  <c r="P109" i="3"/>
  <c r="P19" i="3"/>
  <c r="G16" i="1" l="1"/>
  <c r="G18" i="1" s="1"/>
  <c r="H5" i="3"/>
  <c r="I5" i="3"/>
  <c r="H10" i="3"/>
  <c r="I10" i="3"/>
  <c r="H16" i="3"/>
  <c r="I16" i="3"/>
  <c r="I28" i="3"/>
  <c r="H28" i="3"/>
  <c r="H42" i="3"/>
  <c r="I42" i="3"/>
  <c r="H55" i="3"/>
  <c r="I55" i="3"/>
  <c r="I63" i="3"/>
  <c r="H63" i="3"/>
  <c r="H65" i="3"/>
  <c r="I65" i="3"/>
  <c r="I84" i="3"/>
  <c r="H84" i="3"/>
  <c r="I95" i="3"/>
  <c r="H95" i="3"/>
  <c r="I100" i="3"/>
  <c r="H100" i="3"/>
  <c r="I105" i="3"/>
  <c r="H105" i="3"/>
  <c r="I112" i="3"/>
  <c r="H112" i="3"/>
  <c r="H141" i="2"/>
  <c r="K141" i="2" l="1"/>
  <c r="J141" i="2"/>
  <c r="G29" i="1"/>
  <c r="J101" i="2"/>
  <c r="I120" i="3"/>
  <c r="D15" i="1" s="1"/>
  <c r="H120" i="3"/>
  <c r="D14" i="1" s="1"/>
  <c r="D9" i="1"/>
  <c r="D10" i="1"/>
  <c r="K64" i="3"/>
  <c r="L64" i="3" s="1"/>
  <c r="Q64" i="3" s="1"/>
  <c r="H144" i="2"/>
  <c r="D15" i="15"/>
  <c r="B15" i="15"/>
  <c r="C15" i="15"/>
  <c r="E15" i="15"/>
  <c r="F15" i="15"/>
  <c r="I15" i="15"/>
  <c r="J15" i="15"/>
  <c r="K15" i="15"/>
  <c r="L15" i="15"/>
  <c r="M15" i="15" s="1"/>
  <c r="J6" i="3"/>
  <c r="K6" i="3"/>
  <c r="J9" i="3"/>
  <c r="K9" i="3"/>
  <c r="J11" i="3"/>
  <c r="K11" i="3"/>
  <c r="J13" i="3"/>
  <c r="K13" i="3"/>
  <c r="J14" i="3"/>
  <c r="J15" i="3"/>
  <c r="K15" i="3"/>
  <c r="K17" i="3"/>
  <c r="J17" i="3"/>
  <c r="K20" i="3"/>
  <c r="J20" i="3"/>
  <c r="J18" i="3"/>
  <c r="K18" i="3"/>
  <c r="J25" i="3"/>
  <c r="K25" i="3"/>
  <c r="J26" i="3"/>
  <c r="K26" i="3"/>
  <c r="J27" i="3"/>
  <c r="K27" i="3"/>
  <c r="J30" i="3"/>
  <c r="J31" i="3"/>
  <c r="J32" i="3"/>
  <c r="J33" i="3"/>
  <c r="J34" i="3"/>
  <c r="J36" i="3"/>
  <c r="J37" i="3"/>
  <c r="J38" i="3"/>
  <c r="K38" i="3"/>
  <c r="J39" i="3"/>
  <c r="J41" i="3"/>
  <c r="K42" i="3"/>
  <c r="J43" i="3"/>
  <c r="J44" i="3"/>
  <c r="J45" i="3"/>
  <c r="J54" i="3"/>
  <c r="J61" i="3"/>
  <c r="J62" i="3"/>
  <c r="J66" i="3"/>
  <c r="J67" i="3"/>
  <c r="J68" i="3"/>
  <c r="J69" i="3"/>
  <c r="K69" i="3"/>
  <c r="J75" i="3"/>
  <c r="J76" i="3"/>
  <c r="K76" i="3"/>
  <c r="J77" i="3"/>
  <c r="J78" i="3"/>
  <c r="J79" i="3"/>
  <c r="J80" i="3"/>
  <c r="J81" i="3"/>
  <c r="J82" i="3"/>
  <c r="J83" i="3"/>
  <c r="J94" i="3"/>
  <c r="J93" i="3"/>
  <c r="L93" i="3" s="1"/>
  <c r="Q93" i="3" s="1"/>
  <c r="J96" i="3"/>
  <c r="K95" i="3"/>
  <c r="J98" i="3"/>
  <c r="J101" i="3"/>
  <c r="K101" i="3"/>
  <c r="J102" i="3"/>
  <c r="K102" i="3"/>
  <c r="J103" i="3"/>
  <c r="J104" i="3"/>
  <c r="J106" i="3"/>
  <c r="J111" i="3"/>
  <c r="K111" i="3"/>
  <c r="J113" i="3"/>
  <c r="J114" i="3"/>
  <c r="J115" i="3"/>
  <c r="J116" i="3"/>
  <c r="J118" i="3"/>
  <c r="H6" i="2"/>
  <c r="K6" i="2" s="1"/>
  <c r="H7" i="2"/>
  <c r="K7" i="2" s="1"/>
  <c r="H8" i="2"/>
  <c r="K8" i="2" s="1"/>
  <c r="H9" i="2"/>
  <c r="K9" i="2" s="1"/>
  <c r="H10" i="2"/>
  <c r="K10" i="2" s="1"/>
  <c r="H11" i="2"/>
  <c r="K11" i="2" s="1"/>
  <c r="H12" i="2"/>
  <c r="K12" i="2" s="1"/>
  <c r="H15" i="2"/>
  <c r="K15" i="2" s="1"/>
  <c r="H16" i="2"/>
  <c r="K16" i="2" s="1"/>
  <c r="H17" i="2"/>
  <c r="K17" i="2" s="1"/>
  <c r="H18" i="2"/>
  <c r="K18" i="2" s="1"/>
  <c r="H19" i="2"/>
  <c r="K19" i="2" s="1"/>
  <c r="H20" i="2"/>
  <c r="K20" i="2" s="1"/>
  <c r="H21" i="2"/>
  <c r="K21" i="2" s="1"/>
  <c r="H22" i="2"/>
  <c r="K22" i="2" s="1"/>
  <c r="H23" i="2"/>
  <c r="K23" i="2" s="1"/>
  <c r="H24" i="2"/>
  <c r="K24" i="2" s="1"/>
  <c r="H27" i="2"/>
  <c r="K27" i="2" s="1"/>
  <c r="H29" i="2"/>
  <c r="K29" i="2" s="1"/>
  <c r="H30" i="2"/>
  <c r="K30" i="2" s="1"/>
  <c r="H31" i="2"/>
  <c r="K31" i="2" s="1"/>
  <c r="H32" i="2"/>
  <c r="K32" i="2" s="1"/>
  <c r="H33" i="2"/>
  <c r="K33" i="2" s="1"/>
  <c r="H35" i="2"/>
  <c r="K35" i="2" s="1"/>
  <c r="H40" i="2"/>
  <c r="K40" i="2" s="1"/>
  <c r="H41" i="2"/>
  <c r="K41" i="2" s="1"/>
  <c r="H44" i="2"/>
  <c r="H45" i="2"/>
  <c r="K45" i="2" s="1"/>
  <c r="H46" i="2"/>
  <c r="K46" i="2" s="1"/>
  <c r="H47" i="2"/>
  <c r="K47" i="2" s="1"/>
  <c r="H48" i="2"/>
  <c r="K48" i="2" s="1"/>
  <c r="H50" i="2"/>
  <c r="K50" i="2" s="1"/>
  <c r="H51" i="2"/>
  <c r="K51" i="2" s="1"/>
  <c r="H52" i="2"/>
  <c r="K52" i="2" s="1"/>
  <c r="H53" i="2"/>
  <c r="K53" i="2" s="1"/>
  <c r="H54" i="2"/>
  <c r="K54" i="2" s="1"/>
  <c r="H55" i="2"/>
  <c r="K55" i="2" s="1"/>
  <c r="H56" i="2"/>
  <c r="K56" i="2" s="1"/>
  <c r="H57" i="2"/>
  <c r="K57" i="2" s="1"/>
  <c r="H60" i="2"/>
  <c r="K60" i="2" s="1"/>
  <c r="H62" i="2"/>
  <c r="K62" i="2" s="1"/>
  <c r="H63" i="2"/>
  <c r="K63" i="2" s="1"/>
  <c r="H67" i="2"/>
  <c r="K67" i="2" s="1"/>
  <c r="H68" i="2"/>
  <c r="K68" i="2" s="1"/>
  <c r="H70" i="2"/>
  <c r="K70" i="2" s="1"/>
  <c r="H71" i="2"/>
  <c r="K71" i="2" s="1"/>
  <c r="H72" i="2"/>
  <c r="K72" i="2" s="1"/>
  <c r="H74" i="2"/>
  <c r="K74" i="2" s="1"/>
  <c r="H76" i="2"/>
  <c r="K76" i="2" s="1"/>
  <c r="H77" i="2"/>
  <c r="K77" i="2" s="1"/>
  <c r="H79" i="2"/>
  <c r="K79" i="2" s="1"/>
  <c r="H80" i="2"/>
  <c r="K80" i="2" s="1"/>
  <c r="H81" i="2"/>
  <c r="K81" i="2" s="1"/>
  <c r="H82" i="2"/>
  <c r="K82" i="2" s="1"/>
  <c r="H83" i="2"/>
  <c r="K83" i="2" s="1"/>
  <c r="H84" i="2"/>
  <c r="K84" i="2" s="1"/>
  <c r="H85" i="2"/>
  <c r="K85" i="2" s="1"/>
  <c r="H98" i="2"/>
  <c r="K98" i="2" s="1"/>
  <c r="H102" i="2"/>
  <c r="K102" i="2" s="1"/>
  <c r="H106" i="2"/>
  <c r="K106" i="2" s="1"/>
  <c r="H137" i="2"/>
  <c r="K137" i="2" s="1"/>
  <c r="C11" i="1"/>
  <c r="D11" i="1"/>
  <c r="E21" i="1"/>
  <c r="E23" i="1"/>
  <c r="E25" i="1"/>
  <c r="J29" i="3"/>
  <c r="J12" i="3"/>
  <c r="D12" i="1"/>
  <c r="C12" i="1"/>
  <c r="N15" i="15"/>
  <c r="H69" i="2"/>
  <c r="K69" i="2" s="1"/>
  <c r="J68" i="2"/>
  <c r="K84" i="3"/>
  <c r="G15" i="15"/>
  <c r="J86" i="3"/>
  <c r="J85" i="3"/>
  <c r="K104" i="3"/>
  <c r="K144" i="2" l="1"/>
  <c r="K44" i="2"/>
  <c r="K28" i="3"/>
  <c r="L41" i="3"/>
  <c r="Q41" i="3" s="1"/>
  <c r="L94" i="3"/>
  <c r="Q94" i="3" s="1"/>
  <c r="L39" i="3"/>
  <c r="Q39" i="3" s="1"/>
  <c r="H21" i="1"/>
  <c r="K73" i="2"/>
  <c r="J137" i="2"/>
  <c r="J144" i="2"/>
  <c r="J22" i="2"/>
  <c r="J85" i="2"/>
  <c r="L12" i="3"/>
  <c r="Q12" i="3" s="1"/>
  <c r="L118" i="3"/>
  <c r="Q118" i="3" s="1"/>
  <c r="L114" i="3"/>
  <c r="Q114" i="3" s="1"/>
  <c r="K100" i="3"/>
  <c r="L106" i="3"/>
  <c r="Q106" i="3" s="1"/>
  <c r="L113" i="3"/>
  <c r="Q113" i="3" s="1"/>
  <c r="L96" i="3"/>
  <c r="Q96" i="3" s="1"/>
  <c r="J63" i="3"/>
  <c r="L116" i="3"/>
  <c r="Q116" i="3" s="1"/>
  <c r="L62" i="3"/>
  <c r="Q62" i="3" s="1"/>
  <c r="L115" i="3"/>
  <c r="Q115" i="3" s="1"/>
  <c r="J10" i="2"/>
  <c r="L26" i="3"/>
  <c r="Q26" i="3" s="1"/>
  <c r="L98" i="3"/>
  <c r="Q98" i="3" s="1"/>
  <c r="L14" i="3"/>
  <c r="Q14" i="3" s="1"/>
  <c r="L61" i="3"/>
  <c r="Q61" i="3" s="1"/>
  <c r="L86" i="3"/>
  <c r="Q86" i="3" s="1"/>
  <c r="L29" i="3"/>
  <c r="Q29" i="3" s="1"/>
  <c r="T90" i="3"/>
  <c r="L82" i="3"/>
  <c r="Q82" i="3" s="1"/>
  <c r="T71" i="3"/>
  <c r="L54" i="3"/>
  <c r="Q54" i="3" s="1"/>
  <c r="L37" i="3"/>
  <c r="Q37" i="3" s="1"/>
  <c r="L33" i="3"/>
  <c r="Q33" i="3" s="1"/>
  <c r="L30" i="3"/>
  <c r="Q30" i="3" s="1"/>
  <c r="L83" i="3"/>
  <c r="Q83" i="3" s="1"/>
  <c r="L75" i="3"/>
  <c r="L68" i="3"/>
  <c r="Q68" i="3" s="1"/>
  <c r="L67" i="3"/>
  <c r="Q67" i="3" s="1"/>
  <c r="L81" i="3"/>
  <c r="Q81" i="3" s="1"/>
  <c r="L77" i="3"/>
  <c r="Q77" i="3" s="1"/>
  <c r="L66" i="3"/>
  <c r="Q66" i="3" s="1"/>
  <c r="L43" i="3"/>
  <c r="Q43" i="3" s="1"/>
  <c r="L79" i="3"/>
  <c r="Q79" i="3" s="1"/>
  <c r="L78" i="3"/>
  <c r="Q78" i="3" s="1"/>
  <c r="L44" i="3"/>
  <c r="Q44" i="3" s="1"/>
  <c r="L36" i="3"/>
  <c r="Q36" i="3" s="1"/>
  <c r="L80" i="3"/>
  <c r="Q80" i="3" s="1"/>
  <c r="L32" i="3"/>
  <c r="Q32" i="3" s="1"/>
  <c r="L31" i="3"/>
  <c r="Q31" i="3" s="1"/>
  <c r="L34" i="3"/>
  <c r="Q34" i="3" s="1"/>
  <c r="L45" i="3"/>
  <c r="Q45" i="3" s="1"/>
  <c r="L25" i="3"/>
  <c r="Q25" i="3" s="1"/>
  <c r="L15" i="3"/>
  <c r="Q15" i="3" s="1"/>
  <c r="K10" i="3"/>
  <c r="J54" i="2"/>
  <c r="J16" i="2"/>
  <c r="E11" i="1"/>
  <c r="I11" i="1" s="1"/>
  <c r="K108" i="3"/>
  <c r="J9" i="2"/>
  <c r="J69" i="2"/>
  <c r="J77" i="2"/>
  <c r="H34" i="2"/>
  <c r="J83" i="2"/>
  <c r="K25" i="2"/>
  <c r="J5" i="3"/>
  <c r="J6" i="2"/>
  <c r="E12" i="1"/>
  <c r="I12" i="1" s="1"/>
  <c r="J21" i="2"/>
  <c r="J51" i="2"/>
  <c r="H73" i="2"/>
  <c r="J24" i="2"/>
  <c r="J56" i="2"/>
  <c r="P93" i="3"/>
  <c r="L27" i="3"/>
  <c r="Q27" i="3" s="1"/>
  <c r="H15" i="15"/>
  <c r="L13" i="3"/>
  <c r="Q13" i="3" s="1"/>
  <c r="L11" i="3"/>
  <c r="Q11" i="3" s="1"/>
  <c r="L20" i="3"/>
  <c r="Q20" i="3" s="1"/>
  <c r="D16" i="1"/>
  <c r="K5" i="3"/>
  <c r="J100" i="3"/>
  <c r="J16" i="3"/>
  <c r="K16" i="3"/>
  <c r="K63" i="3"/>
  <c r="L17" i="3"/>
  <c r="Q17" i="3" s="1"/>
  <c r="L38" i="3"/>
  <c r="Q38" i="3" s="1"/>
  <c r="J112" i="3"/>
  <c r="J28" i="3"/>
  <c r="L111" i="3"/>
  <c r="Q111" i="3" s="1"/>
  <c r="L69" i="3"/>
  <c r="Q69" i="3" s="1"/>
  <c r="L104" i="3"/>
  <c r="Q104" i="3" s="1"/>
  <c r="J84" i="3"/>
  <c r="J10" i="3"/>
  <c r="L102" i="3"/>
  <c r="Q102" i="3" s="1"/>
  <c r="L76" i="3"/>
  <c r="Q76" i="3" s="1"/>
  <c r="L6" i="3"/>
  <c r="Q6" i="3" s="1"/>
  <c r="L103" i="3"/>
  <c r="Q103" i="3" s="1"/>
  <c r="L18" i="3"/>
  <c r="Q18" i="3" s="1"/>
  <c r="J55" i="3"/>
  <c r="J108" i="3"/>
  <c r="J42" i="3"/>
  <c r="L101" i="3"/>
  <c r="Q101" i="3" s="1"/>
  <c r="L85" i="3"/>
  <c r="Q85" i="3" s="1"/>
  <c r="T93" i="3"/>
  <c r="K119" i="3"/>
  <c r="K65" i="3"/>
  <c r="K55" i="3"/>
  <c r="L9" i="3"/>
  <c r="J50" i="2"/>
  <c r="J19" i="2"/>
  <c r="J44" i="2"/>
  <c r="H103" i="2"/>
  <c r="H153" i="2" s="1"/>
  <c r="J98" i="2"/>
  <c r="J53" i="2"/>
  <c r="J47" i="2"/>
  <c r="D13" i="1"/>
  <c r="J46" i="2"/>
  <c r="J62" i="2"/>
  <c r="J15" i="2"/>
  <c r="J74" i="2"/>
  <c r="J106" i="2"/>
  <c r="J57" i="2"/>
  <c r="K86" i="2"/>
  <c r="H78" i="2"/>
  <c r="H39" i="2"/>
  <c r="H95" i="2" s="1"/>
  <c r="J17" i="2"/>
  <c r="H14" i="2"/>
  <c r="J12" i="2"/>
  <c r="J82" i="2"/>
  <c r="J72" i="2"/>
  <c r="J60" i="2"/>
  <c r="J45" i="2"/>
  <c r="J27" i="2"/>
  <c r="H105" i="2"/>
  <c r="J105" i="2" s="1"/>
  <c r="J70" i="2"/>
  <c r="J31" i="2"/>
  <c r="H5" i="2"/>
  <c r="J7" i="2"/>
  <c r="J41" i="2"/>
  <c r="J48" i="2"/>
  <c r="H61" i="2"/>
  <c r="J23" i="2"/>
  <c r="J8" i="2"/>
  <c r="J18" i="2"/>
  <c r="C9" i="1"/>
  <c r="J102" i="2"/>
  <c r="J67" i="2"/>
  <c r="J81" i="2"/>
  <c r="J80" i="2"/>
  <c r="J79" i="2"/>
  <c r="J33" i="2"/>
  <c r="J30" i="2"/>
  <c r="H28" i="2"/>
  <c r="K28" i="2" s="1"/>
  <c r="J11" i="2"/>
  <c r="J71" i="2"/>
  <c r="J52" i="2"/>
  <c r="J40" i="2"/>
  <c r="J29" i="2"/>
  <c r="H136" i="2"/>
  <c r="J35" i="2"/>
  <c r="H25" i="2"/>
  <c r="J55" i="2"/>
  <c r="J20" i="2"/>
  <c r="J76" i="2"/>
  <c r="K34" i="2"/>
  <c r="J63" i="2"/>
  <c r="J97" i="3"/>
  <c r="J65" i="3"/>
  <c r="Q9" i="3" l="1"/>
  <c r="Q5" i="3" s="1"/>
  <c r="P9" i="3"/>
  <c r="T94" i="3"/>
  <c r="T118" i="3"/>
  <c r="P118" i="3"/>
  <c r="Q75" i="3"/>
  <c r="P75" i="3"/>
  <c r="K112" i="3"/>
  <c r="W116" i="3"/>
  <c r="P12" i="3"/>
  <c r="T12" i="3"/>
  <c r="K105" i="3"/>
  <c r="H25" i="1"/>
  <c r="G27" i="1"/>
  <c r="H11" i="1"/>
  <c r="H12" i="1"/>
  <c r="P115" i="3"/>
  <c r="T96" i="3"/>
  <c r="T86" i="3"/>
  <c r="T61" i="3"/>
  <c r="T116" i="3"/>
  <c r="P116" i="3"/>
  <c r="P14" i="3"/>
  <c r="T115" i="3"/>
  <c r="P106" i="3"/>
  <c r="K103" i="2"/>
  <c r="K153" i="2" s="1"/>
  <c r="T15" i="3"/>
  <c r="T78" i="3"/>
  <c r="T106" i="3"/>
  <c r="P15" i="3"/>
  <c r="P26" i="3"/>
  <c r="P62" i="3"/>
  <c r="P90" i="3"/>
  <c r="P114" i="3"/>
  <c r="P29" i="3"/>
  <c r="T113" i="3"/>
  <c r="T68" i="3"/>
  <c r="T98" i="3"/>
  <c r="P98" i="3"/>
  <c r="T32" i="3"/>
  <c r="T33" i="3"/>
  <c r="T30" i="3"/>
  <c r="T31" i="3"/>
  <c r="P78" i="3"/>
  <c r="P86" i="3"/>
  <c r="T29" i="3"/>
  <c r="P30" i="3"/>
  <c r="T36" i="3"/>
  <c r="T62" i="3"/>
  <c r="P113" i="3"/>
  <c r="P44" i="3"/>
  <c r="P43" i="3"/>
  <c r="P96" i="3"/>
  <c r="T114" i="3"/>
  <c r="T26" i="3"/>
  <c r="T49" i="3"/>
  <c r="P39" i="3"/>
  <c r="P61" i="3"/>
  <c r="P36" i="3"/>
  <c r="T14" i="3"/>
  <c r="T41" i="3"/>
  <c r="T81" i="3"/>
  <c r="P41" i="3"/>
  <c r="P54" i="3"/>
  <c r="P82" i="3"/>
  <c r="T82" i="3"/>
  <c r="T51" i="3"/>
  <c r="T37" i="3"/>
  <c r="T54" i="3"/>
  <c r="P81" i="3"/>
  <c r="T67" i="3"/>
  <c r="T34" i="3"/>
  <c r="T73" i="3"/>
  <c r="P67" i="3"/>
  <c r="P37" i="3"/>
  <c r="T45" i="3"/>
  <c r="T75" i="3"/>
  <c r="P34" i="3"/>
  <c r="P32" i="3"/>
  <c r="T77" i="3"/>
  <c r="T48" i="3"/>
  <c r="T83" i="3"/>
  <c r="P33" i="3"/>
  <c r="P66" i="3"/>
  <c r="T50" i="3"/>
  <c r="T43" i="3"/>
  <c r="L42" i="3"/>
  <c r="T25" i="3"/>
  <c r="P68" i="3"/>
  <c r="P83" i="3"/>
  <c r="P80" i="3"/>
  <c r="P77" i="3"/>
  <c r="T79" i="3"/>
  <c r="T66" i="3"/>
  <c r="T80" i="3"/>
  <c r="T44" i="3"/>
  <c r="P25" i="3"/>
  <c r="P45" i="3"/>
  <c r="P79" i="3"/>
  <c r="P31" i="3"/>
  <c r="T39" i="3"/>
  <c r="T89" i="3"/>
  <c r="J105" i="3"/>
  <c r="T11" i="3"/>
  <c r="T17" i="3"/>
  <c r="H150" i="2"/>
  <c r="J103" i="2"/>
  <c r="J73" i="2"/>
  <c r="J34" i="2"/>
  <c r="D18" i="1"/>
  <c r="P6" i="3"/>
  <c r="P69" i="3"/>
  <c r="P13" i="3"/>
  <c r="P76" i="3"/>
  <c r="L10" i="3"/>
  <c r="P111" i="3"/>
  <c r="P91" i="3"/>
  <c r="P101" i="3"/>
  <c r="P18" i="3"/>
  <c r="P102" i="3"/>
  <c r="L55" i="3"/>
  <c r="L28" i="3"/>
  <c r="P38" i="3"/>
  <c r="T13" i="3"/>
  <c r="P20" i="3"/>
  <c r="P85" i="3"/>
  <c r="P103" i="3"/>
  <c r="P104" i="3"/>
  <c r="P17" i="3"/>
  <c r="P59" i="3"/>
  <c r="P11" i="3"/>
  <c r="P27" i="3"/>
  <c r="T27" i="3"/>
  <c r="T59" i="3"/>
  <c r="T20" i="3"/>
  <c r="T103" i="3"/>
  <c r="L63" i="3"/>
  <c r="Q63" i="3"/>
  <c r="T69" i="3"/>
  <c r="T111" i="3"/>
  <c r="T24" i="3"/>
  <c r="L84" i="3"/>
  <c r="T104" i="3"/>
  <c r="L108" i="3"/>
  <c r="Q108" i="3" s="1"/>
  <c r="T6" i="3"/>
  <c r="T18" i="3"/>
  <c r="L16" i="3"/>
  <c r="T76" i="3"/>
  <c r="C15" i="1"/>
  <c r="L5" i="3"/>
  <c r="T91" i="3"/>
  <c r="L119" i="3"/>
  <c r="Q119" i="3" s="1"/>
  <c r="T101" i="3"/>
  <c r="L100" i="3"/>
  <c r="K78" i="2"/>
  <c r="K5" i="2"/>
  <c r="J61" i="2"/>
  <c r="E9" i="1"/>
  <c r="I9" i="1" s="1"/>
  <c r="C10" i="1"/>
  <c r="C13" i="1" s="1"/>
  <c r="J78" i="2"/>
  <c r="J14" i="2"/>
  <c r="H151" i="2"/>
  <c r="J39" i="2"/>
  <c r="J5" i="2"/>
  <c r="J153" i="2"/>
  <c r="K136" i="2"/>
  <c r="K154" i="2" s="1"/>
  <c r="K14" i="2"/>
  <c r="J28" i="2"/>
  <c r="K61" i="2"/>
  <c r="J25" i="2"/>
  <c r="H36" i="2"/>
  <c r="K39" i="2"/>
  <c r="H154" i="2"/>
  <c r="J136" i="2"/>
  <c r="H145" i="2"/>
  <c r="K105" i="2"/>
  <c r="C14" i="1"/>
  <c r="L65" i="3"/>
  <c r="L97" i="3"/>
  <c r="Q97" i="3" s="1"/>
  <c r="J95" i="3"/>
  <c r="K95" i="2" l="1"/>
  <c r="K120" i="3"/>
  <c r="Q112" i="3"/>
  <c r="H9" i="1"/>
  <c r="Q10" i="3"/>
  <c r="T10" i="3"/>
  <c r="Q84" i="3"/>
  <c r="Q42" i="3"/>
  <c r="Q55" i="3"/>
  <c r="FW49" i="3"/>
  <c r="T42" i="3"/>
  <c r="Q28" i="3"/>
  <c r="J120" i="3"/>
  <c r="P42" i="3"/>
  <c r="Q105" i="3"/>
  <c r="J150" i="2"/>
  <c r="J95" i="2"/>
  <c r="D29" i="1"/>
  <c r="D27" i="1" s="1"/>
  <c r="T55" i="3"/>
  <c r="F9" i="1"/>
  <c r="F11" i="1"/>
  <c r="P84" i="3"/>
  <c r="P65" i="3"/>
  <c r="P55" i="3"/>
  <c r="P100" i="3"/>
  <c r="P108" i="3"/>
  <c r="P119" i="3"/>
  <c r="P28" i="3"/>
  <c r="P16" i="3"/>
  <c r="P97" i="3"/>
  <c r="P5" i="3"/>
  <c r="P10" i="3"/>
  <c r="Q16" i="3"/>
  <c r="T63" i="3"/>
  <c r="T16" i="3"/>
  <c r="T38" i="3"/>
  <c r="T28" i="3" s="1"/>
  <c r="Q65" i="3"/>
  <c r="T9" i="3"/>
  <c r="T5" i="3" s="1"/>
  <c r="L105" i="3"/>
  <c r="T108" i="3"/>
  <c r="T105" i="3" s="1"/>
  <c r="Q100" i="3"/>
  <c r="T102" i="3"/>
  <c r="T100" i="3" s="1"/>
  <c r="E15" i="1"/>
  <c r="T85" i="3"/>
  <c r="T84" i="3" s="1"/>
  <c r="L112" i="3"/>
  <c r="T119" i="3"/>
  <c r="T112" i="3" s="1"/>
  <c r="L121" i="3"/>
  <c r="F12" i="1"/>
  <c r="K36" i="2"/>
  <c r="K149" i="2" s="1"/>
  <c r="J151" i="2"/>
  <c r="E10" i="1"/>
  <c r="I10" i="1" s="1"/>
  <c r="F10" i="1"/>
  <c r="K150" i="2"/>
  <c r="J36" i="2"/>
  <c r="J145" i="2"/>
  <c r="J154" i="2"/>
  <c r="H149" i="2"/>
  <c r="H146" i="2"/>
  <c r="K145" i="2"/>
  <c r="K151" i="2"/>
  <c r="C16" i="1"/>
  <c r="F14" i="1" s="1"/>
  <c r="E14" i="1"/>
  <c r="I14" i="1" s="1"/>
  <c r="Q95" i="3"/>
  <c r="L95" i="3"/>
  <c r="T72" i="3"/>
  <c r="T65" i="3" s="1"/>
  <c r="I15" i="1" l="1"/>
  <c r="H15" i="1"/>
  <c r="H14" i="1"/>
  <c r="H10" i="1"/>
  <c r="F13" i="1"/>
  <c r="P105" i="3"/>
  <c r="P95" i="3"/>
  <c r="P112" i="3"/>
  <c r="Q120" i="3"/>
  <c r="L120" i="3"/>
  <c r="T97" i="3"/>
  <c r="T95" i="3" s="1"/>
  <c r="T120" i="3" s="1"/>
  <c r="E13" i="1"/>
  <c r="I13" i="1" s="1"/>
  <c r="K146" i="2"/>
  <c r="J146" i="2"/>
  <c r="H152" i="2"/>
  <c r="J149" i="2"/>
  <c r="K152" i="2"/>
  <c r="K155" i="2" s="1"/>
  <c r="E16" i="1"/>
  <c r="I16" i="1" s="1"/>
  <c r="C18" i="1"/>
  <c r="C29" i="1" s="1"/>
  <c r="C27" i="1" s="1"/>
  <c r="F15" i="1"/>
  <c r="H16" i="1" l="1"/>
  <c r="H13" i="1"/>
  <c r="P120" i="3"/>
  <c r="J152" i="2"/>
  <c r="H155" i="2"/>
  <c r="E18" i="1"/>
  <c r="I18" i="1" s="1"/>
  <c r="J155" i="2" l="1"/>
  <c r="E29" i="1"/>
  <c r="E27" i="1" s="1"/>
</calcChain>
</file>

<file path=xl/comments1.xml><?xml version="1.0" encoding="utf-8"?>
<comments xmlns="http://schemas.openxmlformats.org/spreadsheetml/2006/main">
  <authors>
    <author>Město Jilemnice</author>
  </authors>
  <commentList>
    <comment ref="D23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-24000 zrušeno RO č.9/2018 ZM</t>
        </r>
      </text>
    </comment>
  </commentList>
</comments>
</file>

<file path=xl/comments2.xml><?xml version="1.0" encoding="utf-8"?>
<comments xmlns="http://schemas.openxmlformats.org/spreadsheetml/2006/main">
  <authors>
    <author>Ing. Miroslava Kynčlová</author>
    <author>Kynčlová</author>
    <author>Město Jilemnice</author>
  </authors>
  <commentList>
    <comment ref="E15" authorId="0">
      <text>
        <r>
          <rPr>
            <sz val="8"/>
            <color indexed="81"/>
            <rFont val="Tahoma"/>
            <family val="2"/>
            <charset val="238"/>
          </rPr>
          <t>3-trvalý pobyt
4-ověřování
6-změna jména
8-sňatky
9-video</t>
        </r>
      </text>
    </comment>
    <comment ref="E17" authorId="1">
      <text>
        <r>
          <rPr>
            <sz val="10"/>
            <color indexed="81"/>
            <rFont val="Tahoma"/>
            <family val="2"/>
            <charset val="238"/>
          </rPr>
          <t>10 rybářské lístky</t>
        </r>
        <r>
          <rPr>
            <sz val="10"/>
            <color indexed="81"/>
            <rFont val="Tahoma"/>
            <family val="2"/>
            <charset val="238"/>
          </rPr>
          <t xml:space="preserve">
23 životní prostředí </t>
        </r>
      </text>
    </comment>
    <comment ref="E22" authorId="0">
      <text>
        <r>
          <rPr>
            <sz val="8"/>
            <color indexed="81"/>
            <rFont val="Tahoma"/>
            <family val="2"/>
            <charset val="238"/>
          </rPr>
          <t xml:space="preserve">32-pasy
33-občanské průkazy
</t>
        </r>
      </text>
    </comment>
    <comment ref="G47" authorId="2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-568 RO ZM č. 12/2018</t>
        </r>
      </text>
    </comment>
    <comment ref="I49" authorId="2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vč. DPH
</t>
        </r>
      </text>
    </comment>
    <comment ref="I50" authorId="2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156,186 služby
33,516 náhrady</t>
        </r>
      </text>
    </comment>
    <comment ref="F51" authorId="2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21 org. 21
69 org. 319
</t>
        </r>
      </text>
    </comment>
    <comment ref="I51" authorId="2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30,823 org. 21
6,8058 org 319</t>
        </r>
      </text>
    </comment>
    <comment ref="F55" authorId="2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70 služby sňatky 
30 ostatní</t>
        </r>
      </text>
    </comment>
    <comment ref="I55" authorId="2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142 služby sňatky
0,76 prodej receptů
21,736 exekuce Tužová
1,386 služby
18,230 prodej majetku
30,967 náhrady
10,278 pozůstalost (pol. 2329)
2 náhrada za muzejní katalog
1,973 kopírování</t>
        </r>
      </text>
    </comment>
    <comment ref="I60" authorId="2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30 dar</t>
        </r>
      </text>
    </comment>
    <comment ref="E80" authorId="1">
      <text>
        <r>
          <rPr>
            <sz val="8"/>
            <color indexed="81"/>
            <rFont val="Tahoma"/>
            <family val="2"/>
            <charset val="238"/>
          </rPr>
          <t>33 občanské průkazy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14 přestupky
13 památky
</t>
        </r>
      </text>
    </comment>
    <comment ref="F80" authorId="2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65 přestupky
7 OP, CD</t>
        </r>
      </text>
    </comment>
    <comment ref="G87" authorId="2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10 od pol. Duha pro ZŠ Harracha na projekt "Nemysli na sebe"
32 dar Hydroma na nákup defibrilátoru
odměna od ELEKTROWIN a.s. pro zdravá města</t>
        </r>
      </text>
    </comment>
    <comment ref="I87" authorId="2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10 od pol. Duha pro ZŠ Harracha na projekt "Nemysli na sebe"
32 dar Hydroma na nákup defibrilátoru
20 odměna od ELEKTROWIN a.s. pro zdravá města</t>
        </r>
      </text>
    </comment>
    <comment ref="I94" authorId="2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=28+11,2 požární ochrana
20 náhrada zdravá města</t>
        </r>
      </text>
    </comment>
    <comment ref="F106" authorId="2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v tom 5*29=145 tis. na opatrovance</t>
        </r>
      </text>
    </comment>
    <comment ref="F110" authorId="2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192 MP
180 pečovatelská služba
540 veřejná zeleň
</t>
        </r>
      </text>
    </comment>
    <comment ref="I110" authorId="2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90 pečovatelská služba
360 veřejná zeleň
82 městská policie</t>
        </r>
      </text>
    </comment>
    <comment ref="F123" authorId="2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130 přestupky
50 rušení tr. pobytů</t>
        </r>
      </text>
    </comment>
  </commentList>
</comments>
</file>

<file path=xl/comments3.xml><?xml version="1.0" encoding="utf-8"?>
<comments xmlns="http://schemas.openxmlformats.org/spreadsheetml/2006/main">
  <authors>
    <author>Město Jilemnice</author>
    <author>Notebook pracovní</author>
    <author>Jilemnice</author>
  </authors>
  <commentList>
    <comment ref="F12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rekonstrukce soc. zařízení</t>
        </r>
      </text>
    </comment>
    <comment ref="E13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80 mobilní rozhlas
</t>
        </r>
      </text>
    </comment>
    <comment ref="H14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20,999 dotace na festival Dech hor</t>
        </r>
      </text>
    </comment>
    <comment ref="H18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600 RO ZM č.7/2018 nákup kostek
800 RO ZM č.7/2018 oprava Skautská, Sportovní ul.
</t>
        </r>
      </text>
    </comment>
    <comment ref="F20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1687 doplatek VHS  vodovod
370 projekce</t>
        </r>
      </text>
    </comment>
    <comment ref="F21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400 odkup komunikace pro 5 RD</t>
        </r>
      </text>
    </comment>
    <comment ref="H22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752 RO č. 8/2018 ZM převod dotace VHS do neinvestiční
-525 vratka dotace</t>
        </r>
      </text>
    </comment>
    <comment ref="I22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4800 RO ZM  č.7/2018
-752 RO ZM č. 8/2018 převod dotace VHS do neinv.
525 převod do investic z vratky dotace
</t>
        </r>
      </text>
    </comment>
    <comment ref="F23" authorId="0">
      <text>
        <r>
          <rPr>
            <b/>
            <sz val="9"/>
            <color indexed="81"/>
            <rFont val="Tahoma"/>
            <family val="2"/>
            <charset val="238"/>
          </rPr>
          <t>parkoviště:
U Zolmana,před gymnáziem,
Poštovní, Jungmanova, Tyršovo náměstí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27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dar na rozvoj Za Lázněmi</t>
        </r>
      </text>
    </comment>
    <comment ref="H29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260,9964 Dotace MŠMT z OP VVZ
59,7618 dotace LK potravinová pomoc</t>
        </r>
      </text>
    </comment>
    <comment ref="E31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3000 střecha čp.103,101
1000 reko WC v čp. 103</t>
        </r>
      </text>
    </comment>
    <comment ref="H31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RO ZM č.7/2018</t>
        </r>
      </text>
    </comment>
    <comment ref="H32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30 RO č. 3/18 na projekty
385,3064 dotace MŠMT z OP VVVZ</t>
        </r>
      </text>
    </comment>
    <comment ref="F34" authorId="1">
      <text>
        <r>
          <rPr>
            <b/>
            <sz val="9"/>
            <color indexed="81"/>
            <rFont val="Tahoma"/>
            <family val="2"/>
            <charset val="238"/>
          </rPr>
          <t>1100 úč. Dotace na horolezeckou stěnu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34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10 dar od spol. DUHA na projekt "Nemysli na sebe"
338,3484 dotace MŠMT z OP výzkum, vývoj vzdělávání</t>
        </r>
      </text>
    </comment>
    <comment ref="F35" authorId="1">
      <text>
        <r>
          <rPr>
            <sz val="9"/>
            <color indexed="81"/>
            <rFont val="Tahoma"/>
            <family val="2"/>
            <charset val="238"/>
          </rPr>
          <t xml:space="preserve">100 na projekci a VŘ
</t>
        </r>
      </text>
    </comment>
    <comment ref="H36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49,4 dotace LK projekt systém podpory vzdělávání
1103,871 příspěvek na zaplacení sankce LK
-49,4 vratka nevyčerpané dotace LK</t>
        </r>
      </text>
    </comment>
    <comment ref="H43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RO ZM č. 7/2018</t>
        </r>
      </text>
    </comment>
    <comment ref="R45" authorId="2">
      <text>
        <r>
          <rPr>
            <b/>
            <sz val="8"/>
            <color indexed="81"/>
            <rFont val="Tahoma"/>
            <family val="2"/>
            <charset val="238"/>
          </rPr>
          <t xml:space="preserve">UZ 34054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H46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-1000 RO ZM č.7/2018
975 dotace MKČR
-500 RO RM12/2018</t>
        </r>
      </text>
    </comment>
    <comment ref="I46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RO ZM č.7/2018</t>
        </r>
      </text>
    </comment>
    <comment ref="H49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převod mezd do správy RO č.2/2018 RM</t>
        </r>
      </text>
    </comment>
    <comment ref="H50" authorId="0">
      <text>
        <r>
          <rPr>
            <b/>
            <sz val="9"/>
            <color indexed="81"/>
            <rFont val="Tahoma"/>
            <family val="2"/>
            <charset val="238"/>
          </rPr>
          <t>30,53604 + 22,26531 dotace projekt Alternativa bez hranic</t>
        </r>
        <r>
          <rPr>
            <sz val="9"/>
            <color indexed="81"/>
            <rFont val="Tahoma"/>
            <family val="2"/>
            <charset val="238"/>
          </rPr>
          <t xml:space="preserve">
15 dotace LK </t>
        </r>
      </text>
    </comment>
    <comment ref="I50" authorId="0">
      <text>
        <r>
          <rPr>
            <b/>
            <sz val="9"/>
            <color indexed="81"/>
            <rFont val="Tahoma"/>
            <family val="2"/>
            <charset val="238"/>
          </rPr>
          <t>22,28595 inv. Dotace projekt Alternativa bez hranic</t>
        </r>
        <r>
          <rPr>
            <sz val="9"/>
            <color indexed="81"/>
            <rFont val="Tahoma"/>
            <family val="2"/>
            <charset val="238"/>
          </rPr>
          <t xml:space="preserve">
400 inv. Příspěvek na rekonstrukci přísálí
</t>
        </r>
      </text>
    </comment>
    <comment ref="I57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962,090 poskytnutí příplatku mimo ZK - usn. 46/18 ZM na úhradu energetických opatření
</t>
        </r>
      </text>
    </comment>
    <comment ref="I58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-5700 RO ZM č. 9/2018 snížení o nevyčerpané akce</t>
        </r>
      </text>
    </comment>
    <comment ref="H61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20 odkoupení atletické dráhy TJ Jilemnice</t>
        </r>
      </text>
    </comment>
    <comment ref="H67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-568 RO ZM č. 12/2018</t>
        </r>
      </text>
    </comment>
    <comment ref="E70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422 energie, služby
</t>
        </r>
      </text>
    </comment>
    <comment ref="F70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1500 kotelna
2000 prostory pro knihovnu</t>
        </r>
      </text>
    </comment>
    <comment ref="I70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RO ZM č.7/2018</t>
        </r>
      </text>
    </comment>
    <comment ref="H74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-1616,3 RO 1/2018 změna financování - přesun do dloudobých splátek
-2537,85 RO 10/2018 DPH projektu
</t>
        </r>
      </text>
    </comment>
    <comment ref="F76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300 přístavba kolumbária
</t>
        </r>
      </text>
    </comment>
    <comment ref="E83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21 voda org.21
69 voda org.319</t>
        </r>
      </text>
    </comment>
    <comment ref="M83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4,043 org 21</t>
        </r>
      </text>
    </comment>
    <comment ref="E86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z toho 607 příspěvek na koupi pozemku DSO Jilemnicko</t>
        </r>
      </text>
    </comment>
    <comment ref="H89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-210 dotace ÚP</t>
        </r>
      </text>
    </comment>
    <comment ref="I93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500 RO ZM č.7/2018
-1200 RO ZM č. 9/2018
-500 RO RM č. 12/2018</t>
        </r>
      </text>
    </comment>
    <comment ref="H97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200 dotace soc. služby
-90 dotace ÚP
100 převod z investic</t>
        </r>
      </text>
    </comment>
    <comment ref="F98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700 na přestavbu na odlehčovací služby
</t>
        </r>
      </text>
    </comment>
    <comment ref="H98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dotace MPSV ČR
</t>
        </r>
      </text>
    </comment>
    <comment ref="F99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100 dokončení projekce, VŘ
</t>
        </r>
      </text>
    </comment>
    <comment ref="H102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-110 dotace ÚP</t>
        </r>
      </text>
    </comment>
    <comment ref="H104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150 na akceschopnost
38,33523 dotace LK na ochranné pomůcky
32 dar na pořízení defibrilátoru
42,037dotace  ochranné pomůcky
159 RO RMč.13/2018</t>
        </r>
      </text>
    </comment>
    <comment ref="H106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435 RO č. 11/2018 </t>
        </r>
      </text>
    </comment>
    <comment ref="H108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217,72 ze zpravodaje převod mezd
24,450 dotace MŽP na kosení modráskové louky
88 navýšení dotace MPSV výkon sociální práce
687,5 dotace na OSPOD</t>
        </r>
      </text>
    </comment>
    <comment ref="I108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50 z územního plánování pro VT 
</t>
        </r>
      </text>
    </comment>
    <comment ref="H111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900 RO ZM č. 2/2018
1200 RO ZM č.7/2018
-270 RO ZM č.11/2018
</t>
        </r>
      </text>
    </comment>
    <comment ref="H116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-2537,85 RO 10/2018 ZM uplatněné DPH u projektu EPC
-76,892 RO RM12/2018</t>
        </r>
      </text>
    </comment>
    <comment ref="H117" authorId="0">
      <text>
        <r>
          <rPr>
            <b/>
            <sz val="9"/>
            <color indexed="81"/>
            <rFont val="Tahoma"/>
            <family val="2"/>
            <charset val="238"/>
          </rPr>
          <t>Město Jilemnice:</t>
        </r>
        <r>
          <rPr>
            <sz val="9"/>
            <color indexed="81"/>
            <rFont val="Tahoma"/>
            <family val="2"/>
            <charset val="238"/>
          </rPr>
          <t xml:space="preserve">
608,695 vypořádání DC - soc. dotace
27,920,81 vratka dotace MŠ potravinová pomoc</t>
        </r>
      </text>
    </comment>
  </commentList>
</comments>
</file>

<file path=xl/sharedStrings.xml><?xml version="1.0" encoding="utf-8"?>
<sst xmlns="http://schemas.openxmlformats.org/spreadsheetml/2006/main" count="707" uniqueCount="492">
  <si>
    <t xml:space="preserve">                                 </t>
  </si>
  <si>
    <t xml:space="preserve">                           </t>
  </si>
  <si>
    <t>Rozpočet</t>
  </si>
  <si>
    <t>změna</t>
  </si>
  <si>
    <t>%</t>
  </si>
  <si>
    <t>Plnění</t>
  </si>
  <si>
    <t>k rozpočtu</t>
  </si>
  <si>
    <t>Třída 1 - Daňové příjmy</t>
  </si>
  <si>
    <t>Třída 2 - Nedaňové příjmy</t>
  </si>
  <si>
    <t>Třída 3 - Kapitálové příjmy</t>
  </si>
  <si>
    <t>Třída 4 - Přijaté dotace</t>
  </si>
  <si>
    <t>Příjmy celkem</t>
  </si>
  <si>
    <t>Třída 5 - Běžné výdaje</t>
  </si>
  <si>
    <t>Třída 6 - Kapitálové výdaje</t>
  </si>
  <si>
    <t>Výdaje celkem</t>
  </si>
  <si>
    <t>Saldo: Příjmy - výdaje</t>
  </si>
  <si>
    <t>pol.</t>
  </si>
  <si>
    <t>Třída 8 - financování</t>
  </si>
  <si>
    <t>Celkem financování</t>
  </si>
  <si>
    <t>poznámka</t>
  </si>
  <si>
    <t>polož.</t>
  </si>
  <si>
    <t>§</t>
  </si>
  <si>
    <t>org.</t>
  </si>
  <si>
    <t>název</t>
  </si>
  <si>
    <t>1a) BĚŽNÉ</t>
  </si>
  <si>
    <t>DAŇOVÉ  - TŘÍDA  1</t>
  </si>
  <si>
    <t>11-daně z příjmů, zisku a kap. výnosů</t>
  </si>
  <si>
    <t>z toho:</t>
  </si>
  <si>
    <t>13-poplatky a daně z vybraných činností</t>
  </si>
  <si>
    <t>Matriční poplatky</t>
  </si>
  <si>
    <t>Živnostenské listy</t>
  </si>
  <si>
    <t>Hrací automaty</t>
  </si>
  <si>
    <t>15-majetkové daně</t>
  </si>
  <si>
    <t>bez</t>
  </si>
  <si>
    <t>Daňové příjmy celkem:</t>
  </si>
  <si>
    <t>NEDAŇOVÉ - TŘÍDA 2</t>
  </si>
  <si>
    <t>21-příjmy z vlastní činnosti</t>
  </si>
  <si>
    <t>Prodej zpravodaje</t>
  </si>
  <si>
    <t>Pohřebnictví</t>
  </si>
  <si>
    <t>Pečovatelská služba</t>
  </si>
  <si>
    <t>Příjmy z reklam ( zpravodaj, rozhlas)</t>
  </si>
  <si>
    <t>Nájemné:</t>
  </si>
  <si>
    <t>BH - Nájemné nebyt. prost.</t>
  </si>
  <si>
    <t>Nájemné Zásobování teplem s.r.o.</t>
  </si>
  <si>
    <t>Pokuty městská policie</t>
  </si>
  <si>
    <t>Nedaňové příjmy celkem:</t>
  </si>
  <si>
    <t>TŘÍDA  3</t>
  </si>
  <si>
    <t>31-příjmy z prodeje investičního majetku</t>
  </si>
  <si>
    <t>Kapitálové příjmy celkem:</t>
  </si>
  <si>
    <t xml:space="preserve">2)PŘIJATÉ DOTACE </t>
  </si>
  <si>
    <t>TŘÍDA  4</t>
  </si>
  <si>
    <t>2a) Běžné</t>
  </si>
  <si>
    <t>2b) Kapitálové</t>
  </si>
  <si>
    <t>Přijaté dotace celkem:</t>
  </si>
  <si>
    <t>Rekapitulace příjmů:</t>
  </si>
  <si>
    <t>Tř. 1 - Daňové příjmy</t>
  </si>
  <si>
    <t>Tř. 2. - Nedaňové příjmy</t>
  </si>
  <si>
    <t>Ze tř. 4 - Dotace běžné</t>
  </si>
  <si>
    <t>Vlastní příjmy celkem</t>
  </si>
  <si>
    <t>Tř. 3 - Kapitálové příjmy</t>
  </si>
  <si>
    <t>Ze tř. 4. - Dotace kapitálové</t>
  </si>
  <si>
    <t>Celkem příjmy</t>
  </si>
  <si>
    <t>sk</t>
  </si>
  <si>
    <t>Popis paragrafu</t>
  </si>
  <si>
    <t>běžné</t>
  </si>
  <si>
    <t>kap.</t>
  </si>
  <si>
    <t>celkem</t>
  </si>
  <si>
    <t>Zeměděl. a lesní hospodářství</t>
  </si>
  <si>
    <t>Morávková</t>
  </si>
  <si>
    <t>Doprava,vodovody,kanalizace</t>
  </si>
  <si>
    <t>Kynčlová</t>
  </si>
  <si>
    <t>Vzdělání</t>
  </si>
  <si>
    <t>Kultura, církve a sdělovací  prostř.</t>
  </si>
  <si>
    <t>Vydávání zpravodaje</t>
  </si>
  <si>
    <t>Tělovýchova a zájmová činnost</t>
  </si>
  <si>
    <t>Bydlení, komunální služby a územní rozvoj</t>
  </si>
  <si>
    <t>Veřejné osvětlení- provoz ,opravy</t>
  </si>
  <si>
    <t>Sběr a svoz komun. odpadů</t>
  </si>
  <si>
    <t>Péče o vzhled obcí a veřejnou zeleň</t>
  </si>
  <si>
    <t>Sociální péče</t>
  </si>
  <si>
    <t>Šimková</t>
  </si>
  <si>
    <t xml:space="preserve">Obecní policie </t>
  </si>
  <si>
    <t>Státní správa, územní samospráva</t>
  </si>
  <si>
    <t>Místní zastupitelské orgány</t>
  </si>
  <si>
    <t>63,64</t>
  </si>
  <si>
    <t>Finanční operace, ostatní činnosti</t>
  </si>
  <si>
    <t>Daň z příjmu práv. osob za obce</t>
  </si>
  <si>
    <t>Celkem výdaje</t>
  </si>
  <si>
    <t>kontrola</t>
  </si>
  <si>
    <t>Příjmy z úroků a fin. majetku</t>
  </si>
  <si>
    <t>rozdíl</t>
  </si>
  <si>
    <t>Výkup pozemků</t>
  </si>
  <si>
    <t>Příjem z veřejných WC</t>
  </si>
  <si>
    <t>rozpočet</t>
  </si>
  <si>
    <t>Lesní hospodářství</t>
  </si>
  <si>
    <t>Opravy pronajímaných nebyt. prostor</t>
  </si>
  <si>
    <t>Projekty do 60000,-/ nad 60000</t>
  </si>
  <si>
    <t xml:space="preserve">Činnost místní správy </t>
  </si>
  <si>
    <t>Upravený</t>
  </si>
  <si>
    <t>Upr. rozp.</t>
  </si>
  <si>
    <t>Upravený rozpočet</t>
  </si>
  <si>
    <t xml:space="preserve">SPOZ </t>
  </si>
  <si>
    <t>Popl. za komunální odpad</t>
  </si>
  <si>
    <t>Bezpečnost, požár. ochrana</t>
  </si>
  <si>
    <t>Poplatek ze psů</t>
  </si>
  <si>
    <t>Popl. za užívání veřejného prostranství</t>
  </si>
  <si>
    <t>Popl. ze vstupného</t>
  </si>
  <si>
    <t>DPFO - závislá činnost</t>
  </si>
  <si>
    <t xml:space="preserve">DPH </t>
  </si>
  <si>
    <t>DPFO - srážková daň</t>
  </si>
  <si>
    <t>DP - právnických osob</t>
  </si>
  <si>
    <t>DP práv. osob za obce</t>
  </si>
  <si>
    <t>daň sdílená</t>
  </si>
  <si>
    <t>Zdravotnictví</t>
  </si>
  <si>
    <t>Životní prostředí</t>
  </si>
  <si>
    <t xml:space="preserve">Knihovna </t>
  </si>
  <si>
    <t>Šnorbert</t>
  </si>
  <si>
    <t xml:space="preserve">Dopravní obslužnost </t>
  </si>
  <si>
    <t>Kompenzace za tříděný odpad</t>
  </si>
  <si>
    <t>Provoz parkoviště , park. automaty</t>
  </si>
  <si>
    <t>DPFO-závisl. činnost 1,5% podíl</t>
  </si>
  <si>
    <t>Opravy, údržba komunikací</t>
  </si>
  <si>
    <t>Byty -  opravy z nájemného</t>
  </si>
  <si>
    <t>Byty - platby za služby</t>
  </si>
  <si>
    <t>Nebytové pr. - opravy</t>
  </si>
  <si>
    <t>Nebytové pr. - služby</t>
  </si>
  <si>
    <t>Zvelebilová</t>
  </si>
  <si>
    <t>Změna</t>
  </si>
  <si>
    <t>Přebytek ( - ),   ztráta  (+)</t>
  </si>
  <si>
    <t>23-příjmy z prodeje majetku a ost.nedaňové příjmy</t>
  </si>
  <si>
    <t xml:space="preserve">22-přijaté sankční platby </t>
  </si>
  <si>
    <t>Pasy, obč. průkazy</t>
  </si>
  <si>
    <t xml:space="preserve">Pokuty dopravní </t>
  </si>
  <si>
    <t>Pokuty životní prostředí</t>
  </si>
  <si>
    <t>3,4,6,8,9</t>
  </si>
  <si>
    <t>Pokuty živnost.úřad</t>
  </si>
  <si>
    <t xml:space="preserve">Rozpočet </t>
  </si>
  <si>
    <t>Krizové řízení, ochrana obyvatelstva</t>
  </si>
  <si>
    <t>z úč. dotace,nerozpočtuje se</t>
  </si>
  <si>
    <t>uz</t>
  </si>
  <si>
    <t>Zachov. a obn.kult. památek města</t>
  </si>
  <si>
    <t>Rezerva rozpočtová</t>
  </si>
  <si>
    <t>BH - Nájemné byt. prostory vč. penále</t>
  </si>
  <si>
    <t xml:space="preserve">Pečovatelská služba </t>
  </si>
  <si>
    <t>Příjmy - výdaje = - financování</t>
  </si>
  <si>
    <t>Příjmy místního hospodářství</t>
  </si>
  <si>
    <t>Příjmy z poskytování služeb a výrobků</t>
  </si>
  <si>
    <t>Správní poplatky</t>
  </si>
  <si>
    <t xml:space="preserve">Místní poplatky </t>
  </si>
  <si>
    <t>1b) KAPITÁLOVÉ -</t>
  </si>
  <si>
    <t>rozpočtu</t>
  </si>
  <si>
    <t>správce</t>
  </si>
  <si>
    <t>Příspěvky činnost lesního hosp. z dotací</t>
  </si>
  <si>
    <t>Provoz veř. WC</t>
  </si>
  <si>
    <t>daň vlastní</t>
  </si>
  <si>
    <t>operace</t>
  </si>
  <si>
    <t>Vojtíšek</t>
  </si>
  <si>
    <t>Zelinka</t>
  </si>
  <si>
    <t>Augustin</t>
  </si>
  <si>
    <t>Cerman</t>
  </si>
  <si>
    <t>Platby do svazků obcí, sdružení</t>
  </si>
  <si>
    <t>příkazce</t>
  </si>
  <si>
    <t>Hartigová</t>
  </si>
  <si>
    <t>Pokuty stavební úřad</t>
  </si>
  <si>
    <t>Stavební poplatky</t>
  </si>
  <si>
    <t>Propagace města, výročí, zahr.spolupráce</t>
  </si>
  <si>
    <t>Životní prostředí poplatky</t>
  </si>
  <si>
    <t>Zvl. užívání místních komun.</t>
  </si>
  <si>
    <t>Dopravní poplatky</t>
  </si>
  <si>
    <t>Areál služeb</t>
  </si>
  <si>
    <t>Městská knihovna</t>
  </si>
  <si>
    <t>Parkovné</t>
  </si>
  <si>
    <t>Nájemné z reklamních ploch</t>
  </si>
  <si>
    <t>Nájemné z ost. nemovitostí</t>
  </si>
  <si>
    <t>Daň z nemovitostí</t>
  </si>
  <si>
    <t>BH - služby byt. prostory</t>
  </si>
  <si>
    <t>BH - služby nebyt. prostory</t>
  </si>
  <si>
    <t>Kopírování, ost příjmy správy</t>
  </si>
  <si>
    <t>Příjmy z úroků - akce Roztocká</t>
  </si>
  <si>
    <t>Prodej pozemků</t>
  </si>
  <si>
    <t>Prodej nemovitostí - bytů,domů</t>
  </si>
  <si>
    <t>Inv. příspěvky 32b.j.</t>
  </si>
  <si>
    <t xml:space="preserve">Souhrnná neinvestiční dotace </t>
  </si>
  <si>
    <t>dle rozpisu položek v tabulce správa</t>
  </si>
  <si>
    <t xml:space="preserve">šetří se </t>
  </si>
  <si>
    <t>k datu</t>
  </si>
  <si>
    <t>3769,6171</t>
  </si>
  <si>
    <t>Veřejnopr. smlouvy policie</t>
  </si>
  <si>
    <t xml:space="preserve">Komunální služby </t>
  </si>
  <si>
    <t>Nájemné z pozemků</t>
  </si>
  <si>
    <t xml:space="preserve">Areál služeb </t>
  </si>
  <si>
    <t>Rozdíl</t>
  </si>
  <si>
    <t>Pěstební činnost v lesnictví</t>
  </si>
  <si>
    <t xml:space="preserve">Požární ochrana </t>
  </si>
  <si>
    <t>Pojistění majetku města</t>
  </si>
  <si>
    <t>stejná v příjmech</t>
  </si>
  <si>
    <t>Zkoušky OZ řidičské průkazy</t>
  </si>
  <si>
    <t>DPFO - přiznání - sdílená část</t>
  </si>
  <si>
    <r>
      <t>F</t>
    </r>
    <r>
      <rPr>
        <sz val="8"/>
        <rFont val="Times New Roman"/>
        <family val="1"/>
        <charset val="238"/>
      </rPr>
      <t>ű</t>
    </r>
    <r>
      <rPr>
        <sz val="8"/>
        <rFont val="Arial CE"/>
        <family val="2"/>
        <charset val="238"/>
      </rPr>
      <t>ri</t>
    </r>
  </si>
  <si>
    <r>
      <t>M</t>
    </r>
    <r>
      <rPr>
        <sz val="8"/>
        <rFont val="Times New Roman"/>
        <family val="1"/>
        <charset val="238"/>
      </rPr>
      <t>ű</t>
    </r>
    <r>
      <rPr>
        <sz val="8"/>
        <rFont val="Arial CE"/>
        <family val="2"/>
        <charset val="238"/>
      </rPr>
      <t>llerová</t>
    </r>
  </si>
  <si>
    <t>Műllerová</t>
  </si>
  <si>
    <t>Opravy budov škol</t>
  </si>
  <si>
    <t>Výdaje,daň za prodej majetku</t>
  </si>
  <si>
    <t>čerpání</t>
  </si>
  <si>
    <t>Mečíř</t>
  </si>
  <si>
    <t>Bedrníková</t>
  </si>
  <si>
    <t>Územní plánování</t>
  </si>
  <si>
    <t xml:space="preserve">Ost. sociální péče </t>
  </si>
  <si>
    <t>Ouhrabková</t>
  </si>
  <si>
    <t>MŠ Jilemnice - příspěvek na provoz</t>
  </si>
  <si>
    <t>ZŠ Komenského- příspěvek na provoz</t>
  </si>
  <si>
    <t>ZŠ Harracha- příspěvek na provoz</t>
  </si>
  <si>
    <t>Organizace</t>
  </si>
  <si>
    <t xml:space="preserve">Hlavní </t>
  </si>
  <si>
    <t>činnost</t>
  </si>
  <si>
    <t>Doplňková</t>
  </si>
  <si>
    <t xml:space="preserve">Fond </t>
  </si>
  <si>
    <t>Náklady</t>
  </si>
  <si>
    <t>Výnosy</t>
  </si>
  <si>
    <t>investiční</t>
  </si>
  <si>
    <t>rezervní</t>
  </si>
  <si>
    <t>Poznámka</t>
  </si>
  <si>
    <t xml:space="preserve">Dětské centrum </t>
  </si>
  <si>
    <t>Mateřská škola</t>
  </si>
  <si>
    <t>Společenský dům Jilm</t>
  </si>
  <si>
    <t>Základní škola Harracha</t>
  </si>
  <si>
    <t>Základní škola Komenského</t>
  </si>
  <si>
    <t>Základní umělecká škola</t>
  </si>
  <si>
    <t>ZŠ spec. a MŠ spec.</t>
  </si>
  <si>
    <t>C e l k e m</t>
  </si>
  <si>
    <t>Czech Point poplatky</t>
  </si>
  <si>
    <t>Příjmy z věcných břemen pozemků</t>
  </si>
  <si>
    <t>Chodník Čsl. Legií - zvýšení bezpečnosti</t>
  </si>
  <si>
    <t>Dotace od ÚP</t>
  </si>
  <si>
    <t>energie</t>
  </si>
  <si>
    <t>Obnova a zachování kult. hodnot</t>
  </si>
  <si>
    <t>9513229,09513229</t>
  </si>
  <si>
    <t>Opravy budov MÚ</t>
  </si>
  <si>
    <t>Právní zastoupení města</t>
  </si>
  <si>
    <t>Péče o stromovou zeleň</t>
  </si>
  <si>
    <t xml:space="preserve">ZŠ spec. a MŠ spec.- příspěvek na provoz </t>
  </si>
  <si>
    <t>Dětské centrum příspěvek na provoz</t>
  </si>
  <si>
    <t>Myslivec</t>
  </si>
  <si>
    <t>VH</t>
  </si>
  <si>
    <t>Platba DPH za ekonomické činnosti</t>
  </si>
  <si>
    <t>Pokuty správní odbor, přestupky</t>
  </si>
  <si>
    <t>Odvody příspěvkových organizací</t>
  </si>
  <si>
    <t>Příspěvek na odpisy svěř. majetku MŠ</t>
  </si>
  <si>
    <t>Příspěvek na odpisy svěř. majetku ZŠ</t>
  </si>
  <si>
    <t>Příspěvek na odpisy svěř. majetku ZUŠ</t>
  </si>
  <si>
    <t>Příspěvek na odpisy svěř. majetku SDJ</t>
  </si>
  <si>
    <t>312,orj.10</t>
  </si>
  <si>
    <t>% čerpání</t>
  </si>
  <si>
    <t>103, orj1,2,3,4,1111</t>
  </si>
  <si>
    <t>Stavebnictví, cestovní ruch, služby</t>
  </si>
  <si>
    <t>Územní rozvoj ( Zdravá města)</t>
  </si>
  <si>
    <t>Veřejnopr. smlouvy správní odbor</t>
  </si>
  <si>
    <t>SD Jilm - příspěvek na provoz</t>
  </si>
  <si>
    <t>Příspěvek na činnost Krkonošského muzea</t>
  </si>
  <si>
    <t>Provoz informačního centra pro mládež</t>
  </si>
  <si>
    <t xml:space="preserve">Odvody z vybraných činností </t>
  </si>
  <si>
    <t>Příjmy za služby pronajímaných prostor</t>
  </si>
  <si>
    <t>Služby pronajímaných prostor</t>
  </si>
  <si>
    <t>Nájemné restaurace pod radnicí</t>
  </si>
  <si>
    <t>Opravy restaurace pod radnicí</t>
  </si>
  <si>
    <t>R-odhad</t>
  </si>
  <si>
    <t>Přijaté dary a ost. příjmy</t>
  </si>
  <si>
    <t>560Kč/os/rok</t>
  </si>
  <si>
    <t>Stravovadlo - Scolarest, ZŠ</t>
  </si>
  <si>
    <t>Nájemné PO města</t>
  </si>
  <si>
    <t>Kozáková</t>
  </si>
  <si>
    <t>Nováková</t>
  </si>
  <si>
    <t>Informační systém</t>
  </si>
  <si>
    <t>3,14,26</t>
  </si>
  <si>
    <t>Příjmy z úroků ( vč. fondů)</t>
  </si>
  <si>
    <t>Kompostárna - provoz (příspěvek svazku)</t>
  </si>
  <si>
    <t>Požární nádrž Kozinec</t>
  </si>
  <si>
    <t>Zámecký park - podium, cesty</t>
  </si>
  <si>
    <t>Jandurová</t>
  </si>
  <si>
    <t xml:space="preserve">akce města u SPOZ </t>
  </si>
  <si>
    <t>Steinerová</t>
  </si>
  <si>
    <t>13011</t>
  </si>
  <si>
    <t>3349</t>
  </si>
  <si>
    <t>Kursové rozdíly</t>
  </si>
  <si>
    <t>307</t>
  </si>
  <si>
    <t>Projekt Hraběnka</t>
  </si>
  <si>
    <t>z toho 100 tis. nadále propagace</t>
  </si>
  <si>
    <t>vč. akcí města</t>
  </si>
  <si>
    <t>Vinklář</t>
  </si>
  <si>
    <t>Vávrová</t>
  </si>
  <si>
    <t>700,701,702</t>
  </si>
  <si>
    <t>Ulice Žižkova - rekonstrukce</t>
  </si>
  <si>
    <t>Revitalizace parku v Dolení ul.</t>
  </si>
  <si>
    <t>Projekt SFŽP</t>
  </si>
  <si>
    <t>Dotace LK na projekt Hraběnka</t>
  </si>
  <si>
    <t>příspěvek spolku</t>
  </si>
  <si>
    <t>Dotace na výkon st. správy -  soc. práci</t>
  </si>
  <si>
    <t>Vébrová</t>
  </si>
  <si>
    <t>RM,ZM</t>
  </si>
  <si>
    <t>Vohnická</t>
  </si>
  <si>
    <t>700-702</t>
  </si>
  <si>
    <t>Cyklostezka "Za prací" - projekce</t>
  </si>
  <si>
    <t>dle spl. kalendáře</t>
  </si>
  <si>
    <t>Novotná</t>
  </si>
  <si>
    <t>Fűri</t>
  </si>
  <si>
    <t>garant</t>
  </si>
  <si>
    <t>Přijaté náhrady</t>
  </si>
  <si>
    <t>org</t>
  </si>
  <si>
    <t xml:space="preserve">Dotace LK na pečovatelskou službu </t>
  </si>
  <si>
    <t>Dotace LK na soc. služby pro DC</t>
  </si>
  <si>
    <t>Příjmy z úroků -z poskytn. půjček, divident</t>
  </si>
  <si>
    <t>Vaněk</t>
  </si>
  <si>
    <t xml:space="preserve">Pokuty ostatní </t>
  </si>
  <si>
    <t>MMN,a.s. - příplatek mimo zákl. kapitál</t>
  </si>
  <si>
    <t>Langová</t>
  </si>
  <si>
    <t>Obnova zahr. domku a vytvoření expozice</t>
  </si>
  <si>
    <t>VHS - příspěvky (úroky k úvěru Čistá Jizera)</t>
  </si>
  <si>
    <t xml:space="preserve">Rekonstrukce čp.64 - rozvoj soc. služeb </t>
  </si>
  <si>
    <t>Přijetí  úvěru (chodník Čsl. Legií)</t>
  </si>
  <si>
    <t>Šolcová</t>
  </si>
  <si>
    <t>Chodník ul. Roztocká - projekce</t>
  </si>
  <si>
    <t>ul. Na Kozinci - chodník a veř. osvětlení</t>
  </si>
  <si>
    <t>Projekt "Rozvoj MA21 v Jilemnici"</t>
  </si>
  <si>
    <t>Dotace Min. vnitra ČR na požární cisternu</t>
  </si>
  <si>
    <t>doplatek dotace LK</t>
  </si>
  <si>
    <t>Projekt "Podpora sociální práce v Jilenici"</t>
  </si>
  <si>
    <t>projekt OPLZZ</t>
  </si>
  <si>
    <t>Dotace na projekt "Rozvoj MA21 v Jilemnici"</t>
  </si>
  <si>
    <t>Dotace na projekt "Podpopra sociální práce v Jilemnici"</t>
  </si>
  <si>
    <t>Prodej automobilu</t>
  </si>
  <si>
    <t>včetně pouti</t>
  </si>
  <si>
    <t>Popl. z ubytovacích kapacit a rekreační pobyt</t>
  </si>
  <si>
    <t>Revitalizace sídliště Spořilov - projekty</t>
  </si>
  <si>
    <t>Lom - revitalizace</t>
  </si>
  <si>
    <t>Bulušek</t>
  </si>
  <si>
    <t>2018</t>
  </si>
  <si>
    <t>Rozpočet 2018</t>
  </si>
  <si>
    <t>odhad</t>
  </si>
  <si>
    <t>Dotace LK na obnovu požární cisterny</t>
  </si>
  <si>
    <t>Finanční vypořádání z minulých let</t>
  </si>
  <si>
    <t>Dotace na výkon st. správy - soc. právní ochranu dětí</t>
  </si>
  <si>
    <t>Dotace MK ČR na obnovu památek</t>
  </si>
  <si>
    <t>Modernizace odpadového systému</t>
  </si>
  <si>
    <t>Provoz čp. 259 (staré gymnázium)</t>
  </si>
  <si>
    <t>Rekonstrukce lesní cesty</t>
  </si>
  <si>
    <t>Prodej pozemků Nouzov</t>
  </si>
  <si>
    <t>Nájemné ZŠ Libereckého kraje</t>
  </si>
  <si>
    <t>Služby ZŠ Libereckého kraje</t>
  </si>
  <si>
    <t>Nájemné budovy čp. 259</t>
  </si>
  <si>
    <t>Služby nájemníků čp. 259</t>
  </si>
  <si>
    <r>
      <t>M</t>
    </r>
    <r>
      <rPr>
        <sz val="9"/>
        <rFont val="Times New Roman"/>
        <family val="1"/>
        <charset val="238"/>
      </rPr>
      <t>ű</t>
    </r>
    <r>
      <rPr>
        <sz val="9"/>
        <rFont val="Arial CE"/>
        <family val="2"/>
        <charset val="238"/>
      </rPr>
      <t>llerová</t>
    </r>
  </si>
  <si>
    <t>4000 dotace akce Bátovka (celkem 6000)</t>
  </si>
  <si>
    <t>Obnova starého hřbitova</t>
  </si>
  <si>
    <t>Dotace LK na obnovu zahradního domku</t>
  </si>
  <si>
    <t>z toho 300 dotace na soc. služby</t>
  </si>
  <si>
    <t>Izolace střechy kina</t>
  </si>
  <si>
    <t>požární auto</t>
  </si>
  <si>
    <t>Revitalizace parku U Labutě</t>
  </si>
  <si>
    <t>Dotace na projekt revitalizace parku U Labutě</t>
  </si>
  <si>
    <t xml:space="preserve">Nová parkoviště </t>
  </si>
  <si>
    <t>Úprava kontejnerových stání tříděného odpadu</t>
  </si>
  <si>
    <t>Dotace LK na úpravu kontejnerových stání tř. odpadu</t>
  </si>
  <si>
    <t>ZUŠ - příspěvek na provoz, čp. 85</t>
  </si>
  <si>
    <t>přesun z r. 2017</t>
  </si>
  <si>
    <t>Projekt EPC</t>
  </si>
  <si>
    <t>smlouva na 3 roky do r. 2019</t>
  </si>
  <si>
    <t>Dotace na projekt "Modernizace odpadového systému</t>
  </si>
  <si>
    <t>dle splátkového kalendáře do r. 2026</t>
  </si>
  <si>
    <t>z toho 548 dotace na sportoviště</t>
  </si>
  <si>
    <t>Sportovní centrum Jilemnice, s.r.o</t>
  </si>
  <si>
    <t>ZŠ Harracha - projekt IROP</t>
  </si>
  <si>
    <t>vyrovnávací platba</t>
  </si>
  <si>
    <t>Rekonstrukce budovy čp. 85</t>
  </si>
  <si>
    <t>Nonnerová</t>
  </si>
  <si>
    <t>Lambertová</t>
  </si>
  <si>
    <t>Jónová</t>
  </si>
  <si>
    <t>Poplatek za odnětí ZPF (Hraběnka)</t>
  </si>
  <si>
    <t>Areál Hraběnka - provoz</t>
  </si>
  <si>
    <t>z toho 276 dotace na sportoviště a 1000 hor. stěna</t>
  </si>
  <si>
    <t>4.Q.2018</t>
  </si>
  <si>
    <t>Čerpání 4.Q.2018</t>
  </si>
  <si>
    <t>Zůstatek z roku 2017</t>
  </si>
  <si>
    <t>rozdíl plnění 2018</t>
  </si>
  <si>
    <t>proti rozpočtu 2018</t>
  </si>
  <si>
    <t>Příjem z pohledávky za zrušenou  přísp. org. SC</t>
  </si>
  <si>
    <t xml:space="preserve">SC,s.r.o -obnova a investice sportovních zařízení </t>
  </si>
  <si>
    <t>splacení základního kapitálu</t>
  </si>
  <si>
    <t>Dotace LK pro Zdravá města</t>
  </si>
  <si>
    <t>Dotace pro SDJilm - projekt Alternativa bez hranic</t>
  </si>
  <si>
    <t>Vratka dotace od DC - vypořádání za rok 2017</t>
  </si>
  <si>
    <t>Daň z hazardních her</t>
  </si>
  <si>
    <t>zrušeno, doplatek z r. 2017</t>
  </si>
  <si>
    <t>Vratka dotací sociálních a GP z r. 2017</t>
  </si>
  <si>
    <t>Rozpočet na rok 2018 schválen ZM dne 28.2.2018 pod. č.usn. 10/18</t>
  </si>
  <si>
    <t xml:space="preserve">Návrh rozpočtu na rok 2018 projednán v RM dne 7.2.2018 </t>
  </si>
  <si>
    <t>Návrh rozpočtu na rok 2018 projednán ve FV dne 6.2.2018</t>
  </si>
  <si>
    <t>Návrh rozpočtu na rok 2018 schválen vedením města  dne 30.1.2018</t>
  </si>
  <si>
    <t>Splátky úvěrů, dl. závazků</t>
  </si>
  <si>
    <t>Dotace LK pěstební činnost v lesnictví</t>
  </si>
  <si>
    <t>Dotace MV ČR pro požární ochranu</t>
  </si>
  <si>
    <t>Sportovní centrum Jilemnice, s.r.o splacení ZK, poskytnutí příplatku mimo ZK</t>
  </si>
  <si>
    <t xml:space="preserve">Dotace MŠMTz OP vzdělávání pro MŠ  </t>
  </si>
  <si>
    <t>Přijaté dary na rozvoj města</t>
  </si>
  <si>
    <t>Dotace MŠMTz OP vzdělávání pro ZŠ II</t>
  </si>
  <si>
    <t>úroky 7-12/18</t>
  </si>
  <si>
    <t>vliv prodejů pozemků Nouzov, EPC</t>
  </si>
  <si>
    <t>Dotace MŽP na kosení modráskové louky</t>
  </si>
  <si>
    <t>ul. Metyšova - obnova vodohosp. sítí, povrchu</t>
  </si>
  <si>
    <t>Dotace LK na potrav. pomoc MŠ Jilemnice</t>
  </si>
  <si>
    <t>Volby prezidenta, komunální</t>
  </si>
  <si>
    <t>Dotace na volby (prezidenta, komunální)</t>
  </si>
  <si>
    <t>Dotace LK pro požární ochranu</t>
  </si>
  <si>
    <t>Příjem ze zrušené ZŠ spec. a MŠ spec.</t>
  </si>
  <si>
    <t>konec 12/2018</t>
  </si>
  <si>
    <t>org. zrušena k 31.8.2018</t>
  </si>
  <si>
    <t>Dotace na Chodník Čsl. legií</t>
  </si>
  <si>
    <t>Dotace MŠMTz OP vzdělávání pro ZŠ I</t>
  </si>
  <si>
    <t>Dotace LK pro SDJilm</t>
  </si>
  <si>
    <t>ukončeno</t>
  </si>
  <si>
    <t>13015</t>
  </si>
  <si>
    <t>Grantový program Sport</t>
  </si>
  <si>
    <t>žádost výzva MAS, dotace v r. 2020</t>
  </si>
  <si>
    <t>Dotace na pořízení nákladního vozidla pro MATES</t>
  </si>
  <si>
    <t>projekt OPŽP - ukončeno</t>
  </si>
  <si>
    <t>projekt OPLZZ - ukončeno</t>
  </si>
  <si>
    <t>Dotace na zpracování lesních hospodářských osnov</t>
  </si>
  <si>
    <t>Vratka dotace MŠ- vypořádání za rok 2017</t>
  </si>
  <si>
    <t>vlastní podíl</t>
  </si>
  <si>
    <t>60 dotace Svazku na podvečery</t>
  </si>
  <si>
    <t>Richter</t>
  </si>
  <si>
    <t>Hegrová</t>
  </si>
  <si>
    <t>Příprava území k bytové výstavbě - Nouzov</t>
  </si>
  <si>
    <t>Dotace MŽP na pěstební činnost v lesnictví</t>
  </si>
  <si>
    <t>Dotace LK na festival Dech hor</t>
  </si>
  <si>
    <t>Úhrada za energetická opatření SC, s.r.o</t>
  </si>
  <si>
    <t>Doplatek volby do Parlamentu ČR, ZM</t>
  </si>
  <si>
    <t>Zůstatek z depozitního účtu z r. 2017,18</t>
  </si>
  <si>
    <t>Individuální dotace tělových. a záj. činnost</t>
  </si>
  <si>
    <t>Individuální dotace kultura a ost.</t>
  </si>
  <si>
    <t xml:space="preserve">Přehled hospodaření PO za rok 2018 </t>
  </si>
  <si>
    <t>k 31.12.2018</t>
  </si>
  <si>
    <t>Rozvaha (údaje v Kč)</t>
  </si>
  <si>
    <t>Stálá aktiva (majetek)</t>
  </si>
  <si>
    <t>Pohledávky</t>
  </si>
  <si>
    <t>Finanční majetek</t>
  </si>
  <si>
    <t>Stav fondů</t>
  </si>
  <si>
    <t>Krátkodobé závazky</t>
  </si>
  <si>
    <t>Dlouhodobé závazky</t>
  </si>
  <si>
    <t>Přehled hospodaření s majetkem příspěvkových organizací města Jilemnice za rok 2018</t>
  </si>
  <si>
    <t>přesun do r.2019</t>
  </si>
  <si>
    <t>převod do investič. části</t>
  </si>
  <si>
    <t>MĚSTO JILEMNICE -  Závěrečný účet 2018 -  příjmy</t>
  </si>
  <si>
    <t xml:space="preserve">příplatek mimo základní kapitál </t>
  </si>
  <si>
    <t>1) MMN,a.s. , Metyšova 465, Jilemnice, IČ: 5421888   (dále MMN,a.s.)</t>
  </si>
  <si>
    <t>2) Zásobování teplem Jilemnice,s.r.o, Jana Weisse 1219, Jilemnice IČ: 25281542   (dále ZT,s.r.o)</t>
  </si>
  <si>
    <t>3) Sportovní centrum Jilemnice, s.r.o, Jungmanova 146,Jilemnice, IČ: 05769370 (dále SC,s.r.o)</t>
  </si>
  <si>
    <t>údaje v tis. Kč</t>
  </si>
  <si>
    <t>MMN,a.s.</t>
  </si>
  <si>
    <t>ZT,s.r.o</t>
  </si>
  <si>
    <t>SC, s.r.o</t>
  </si>
  <si>
    <t>aktiva celkem</t>
  </si>
  <si>
    <t>z toho</t>
  </si>
  <si>
    <t>pohledávka za upsaný kapitál</t>
  </si>
  <si>
    <t>dlouhodobý majetek</t>
  </si>
  <si>
    <t>zásoby</t>
  </si>
  <si>
    <t>pohledávky</t>
  </si>
  <si>
    <t xml:space="preserve">finanční majetek </t>
  </si>
  <si>
    <t>časové rozlišení aktiv</t>
  </si>
  <si>
    <t>pasiva celkem</t>
  </si>
  <si>
    <t>základní kapitál</t>
  </si>
  <si>
    <t>ážio a kapitálové fondy</t>
  </si>
  <si>
    <t>fondy ze zisku</t>
  </si>
  <si>
    <t>krátkodobé závazky</t>
  </si>
  <si>
    <t>dlouhodobé závazky- bankovní úvěry</t>
  </si>
  <si>
    <t>časové rozlišení pasiv</t>
  </si>
  <si>
    <t>Údaje z výkazu zisku a ztáty</t>
  </si>
  <si>
    <t>náklady</t>
  </si>
  <si>
    <t>výnosy</t>
  </si>
  <si>
    <t>Poznámka ke ZŠ spec a MŠ spec.:</t>
  </si>
  <si>
    <t>Údaje z rozvahy k 31.12.2018</t>
  </si>
  <si>
    <t>Přehled hospodaření městských společností města Jilemnice za rok 2018</t>
  </si>
  <si>
    <t>výsledek hospodaření roku 2018</t>
  </si>
  <si>
    <t>výsledek hospodaření z minulých let</t>
  </si>
  <si>
    <t>výsledek hospodaření běžného úč. období</t>
  </si>
  <si>
    <t>Údaje k 31.8.2018</t>
  </si>
  <si>
    <t>ZM dne 27.6.2019 v usnesení č. 49/18 zrušilo Základní školu speciální a mateřskou školu speciální ke dni 31.8.2019. Majetek, práva, pohledávky a závazky přešly na zřizovatele, tj. město Jilemnice.</t>
  </si>
  <si>
    <t>RM schválila dne 10.10.2018 pod č. usn. 256/18 mimořádnou účetní uzávěrku této organizace ke dni zrušení, tj. 31.8.2019.</t>
  </si>
  <si>
    <t>ZM dne 27.6.2019 v usnesení č. 47/18 schválilo účelový příspěvek Základní škole speciální a mateřské škole speciální ve výši 1.103.871,- Kč na zaplacení sankce za porušení rozpočtové kázně dle platebního výměru č.j.: OŠMT-PRK-011/2018-5. Sankce byla zaplacena.  Zároveň uložilo starostce města podniknout všechny kroky,vedoucí ke snížení dopadu odvodu na rozpočet města.</t>
  </si>
  <si>
    <t>MĚSTO JILEMNICE -  Závěrečný účet 2018 - sumář</t>
  </si>
  <si>
    <t>MĚSTO JILEMNICE -   Závěrečný účet 2018  - výdaje</t>
  </si>
  <si>
    <t>org. zrušena k 31.8.2019</t>
  </si>
  <si>
    <t>Dětské centrum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</si>
</sst>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"/>
    <numFmt numFmtId="165" formatCode="0.0"/>
    <numFmt numFmtId="166" formatCode="#,##0.0000000"/>
    <numFmt numFmtId="167" formatCode="#,##0.000000"/>
    <numFmt numFmtId="168" formatCode="#,##0.00000"/>
    <numFmt numFmtId="169" formatCode="#,##0.000"/>
    <numFmt numFmtId="170" formatCode="#,##0_ ;[Red]\-#,##0\ "/>
    <numFmt numFmtId="171" formatCode="0_ ;[Red]\-0\ "/>
    <numFmt numFmtId="172" formatCode="d/m/yy;@"/>
    <numFmt numFmtId="173" formatCode="0.0000000000000000E+00"/>
    <numFmt numFmtId="174" formatCode="0.00000"/>
    <numFmt numFmtId="175" formatCode="#,##0.0000"/>
  </numFmts>
  <fonts count="31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8"/>
      <color indexed="8"/>
      <name val="Arial CE"/>
      <family val="2"/>
      <charset val="238"/>
    </font>
    <font>
      <sz val="8"/>
      <color indexed="8"/>
      <name val="Arial CE"/>
      <family val="2"/>
      <charset val="238"/>
    </font>
    <font>
      <b/>
      <sz val="12"/>
      <color indexed="8"/>
      <name val="Arial CE"/>
      <family val="2"/>
      <charset val="238"/>
    </font>
    <font>
      <sz val="12"/>
      <color indexed="8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8"/>
      <color indexed="81"/>
      <name val="Tahoma"/>
      <family val="2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b/>
      <sz val="8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b/>
      <sz val="8"/>
      <color indexed="8"/>
      <name val="Arial CE"/>
      <charset val="238"/>
    </font>
    <font>
      <sz val="8"/>
      <name val="Arial"/>
      <family val="2"/>
      <charset val="238"/>
    </font>
    <font>
      <sz val="8"/>
      <color indexed="8"/>
      <name val="Arial CE"/>
      <charset val="238"/>
    </font>
    <font>
      <sz val="8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indexed="8"/>
      <name val="Arial CE"/>
      <charset val="238"/>
    </font>
    <font>
      <b/>
      <sz val="9"/>
      <name val="Arial CE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sz val="9"/>
      <name val="Times New Roman"/>
      <family val="1"/>
      <charset val="238"/>
    </font>
    <font>
      <b/>
      <sz val="12"/>
      <name val="Arial CE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99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7" fillId="0" borderId="0"/>
    <xf numFmtId="9" fontId="1" fillId="0" borderId="0" applyFont="0" applyFill="0" applyBorder="0" applyAlignment="0" applyProtection="0"/>
  </cellStyleXfs>
  <cellXfs count="479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3" fillId="0" borderId="1" xfId="0" applyFont="1" applyBorder="1"/>
    <xf numFmtId="164" fontId="3" fillId="0" borderId="2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1" fontId="3" fillId="0" borderId="5" xfId="0" applyNumberFormat="1" applyFont="1" applyBorder="1" applyAlignment="1">
      <alignment horizontal="center"/>
    </xf>
    <xf numFmtId="0" fontId="4" fillId="0" borderId="6" xfId="0" applyFont="1" applyBorder="1"/>
    <xf numFmtId="3" fontId="5" fillId="0" borderId="7" xfId="0" applyNumberFormat="1" applyFont="1" applyBorder="1"/>
    <xf numFmtId="165" fontId="5" fillId="0" borderId="8" xfId="0" applyNumberFormat="1" applyFont="1" applyBorder="1" applyAlignment="1">
      <alignment horizontal="center"/>
    </xf>
    <xf numFmtId="0" fontId="3" fillId="0" borderId="9" xfId="0" applyFont="1" applyBorder="1"/>
    <xf numFmtId="3" fontId="4" fillId="0" borderId="7" xfId="0" applyNumberFormat="1" applyFont="1" applyBorder="1"/>
    <xf numFmtId="165" fontId="4" fillId="0" borderId="8" xfId="0" applyNumberFormat="1" applyFont="1" applyBorder="1" applyAlignment="1">
      <alignment horizontal="center"/>
    </xf>
    <xf numFmtId="0" fontId="3" fillId="0" borderId="0" xfId="0" applyFont="1" applyBorder="1"/>
    <xf numFmtId="0" fontId="0" fillId="0" borderId="0" xfId="0" applyBorder="1"/>
    <xf numFmtId="3" fontId="5" fillId="0" borderId="10" xfId="0" applyNumberFormat="1" applyFont="1" applyFill="1" applyBorder="1" applyAlignment="1" applyProtection="1"/>
    <xf numFmtId="3" fontId="5" fillId="0" borderId="7" xfId="0" applyNumberFormat="1" applyFont="1" applyFill="1" applyBorder="1" applyAlignment="1" applyProtection="1"/>
    <xf numFmtId="3" fontId="4" fillId="0" borderId="10" xfId="0" applyNumberFormat="1" applyFont="1" applyFill="1" applyBorder="1" applyAlignment="1" applyProtection="1"/>
    <xf numFmtId="165" fontId="4" fillId="0" borderId="6" xfId="0" applyNumberFormat="1" applyFont="1" applyBorder="1" applyAlignment="1">
      <alignment horizontal="center"/>
    </xf>
    <xf numFmtId="164" fontId="5" fillId="0" borderId="0" xfId="0" applyNumberFormat="1" applyFont="1"/>
    <xf numFmtId="0" fontId="5" fillId="0" borderId="0" xfId="0" applyFont="1"/>
    <xf numFmtId="0" fontId="5" fillId="0" borderId="0" xfId="0" applyNumberFormat="1" applyFont="1" applyFill="1" applyBorder="1" applyAlignment="1" applyProtection="1"/>
    <xf numFmtId="0" fontId="4" fillId="0" borderId="11" xfId="0" applyNumberFormat="1" applyFont="1" applyFill="1" applyBorder="1" applyAlignment="1" applyProtection="1"/>
    <xf numFmtId="164" fontId="4" fillId="0" borderId="11" xfId="0" applyNumberFormat="1" applyFont="1" applyFill="1" applyBorder="1" applyAlignment="1" applyProtection="1">
      <alignment horizontal="right"/>
    </xf>
    <xf numFmtId="0" fontId="4" fillId="0" borderId="5" xfId="0" applyNumberFormat="1" applyFont="1" applyFill="1" applyBorder="1" applyAlignment="1" applyProtection="1"/>
    <xf numFmtId="0" fontId="4" fillId="0" borderId="5" xfId="0" applyNumberFormat="1" applyFont="1" applyFill="1" applyBorder="1" applyAlignment="1" applyProtection="1">
      <alignment horizontal="center"/>
    </xf>
    <xf numFmtId="0" fontId="4" fillId="0" borderId="5" xfId="0" applyNumberFormat="1" applyFont="1" applyFill="1" applyBorder="1" applyAlignment="1" applyProtection="1">
      <alignment horizontal="right"/>
    </xf>
    <xf numFmtId="0" fontId="5" fillId="0" borderId="10" xfId="0" applyNumberFormat="1" applyFont="1" applyFill="1" applyBorder="1" applyAlignment="1" applyProtection="1"/>
    <xf numFmtId="164" fontId="9" fillId="2" borderId="10" xfId="0" applyNumberFormat="1" applyFont="1" applyFill="1" applyBorder="1" applyAlignment="1" applyProtection="1">
      <alignment horizontal="right"/>
    </xf>
    <xf numFmtId="164" fontId="9" fillId="0" borderId="10" xfId="0" applyNumberFormat="1" applyFont="1" applyFill="1" applyBorder="1" applyAlignment="1" applyProtection="1">
      <alignment horizontal="right"/>
    </xf>
    <xf numFmtId="0" fontId="4" fillId="0" borderId="10" xfId="0" applyNumberFormat="1" applyFont="1" applyFill="1" applyBorder="1" applyAlignment="1" applyProtection="1"/>
    <xf numFmtId="0" fontId="6" fillId="0" borderId="10" xfId="0" applyNumberFormat="1" applyFont="1" applyFill="1" applyBorder="1" applyAlignment="1" applyProtection="1"/>
    <xf numFmtId="164" fontId="10" fillId="0" borderId="10" xfId="0" applyNumberFormat="1" applyFont="1" applyFill="1" applyBorder="1" applyAlignment="1" applyProtection="1">
      <alignment horizontal="right"/>
    </xf>
    <xf numFmtId="0" fontId="5" fillId="0" borderId="12" xfId="0" applyNumberFormat="1" applyFont="1" applyFill="1" applyBorder="1" applyAlignment="1" applyProtection="1"/>
    <xf numFmtId="164" fontId="9" fillId="0" borderId="13" xfId="0" applyNumberFormat="1" applyFont="1" applyFill="1" applyBorder="1" applyAlignment="1" applyProtection="1">
      <alignment horizontal="right"/>
    </xf>
    <xf numFmtId="164" fontId="10" fillId="2" borderId="10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16" xfId="0" applyNumberFormat="1" applyFont="1" applyFill="1" applyBorder="1" applyAlignment="1" applyProtection="1"/>
    <xf numFmtId="3" fontId="5" fillId="0" borderId="9" xfId="0" applyNumberFormat="1" applyFont="1" applyFill="1" applyBorder="1" applyAlignment="1" applyProtection="1"/>
    <xf numFmtId="0" fontId="4" fillId="0" borderId="18" xfId="0" applyNumberFormat="1" applyFont="1" applyFill="1" applyBorder="1" applyAlignment="1" applyProtection="1">
      <alignment horizontal="center"/>
    </xf>
    <xf numFmtId="0" fontId="4" fillId="0" borderId="9" xfId="0" applyNumberFormat="1" applyFont="1" applyFill="1" applyBorder="1" applyAlignment="1" applyProtection="1">
      <alignment horizontal="center"/>
    </xf>
    <xf numFmtId="0" fontId="4" fillId="0" borderId="10" xfId="0" applyNumberFormat="1" applyFont="1" applyFill="1" applyBorder="1" applyAlignment="1" applyProtection="1">
      <alignment horizontal="center"/>
    </xf>
    <xf numFmtId="0" fontId="4" fillId="0" borderId="4" xfId="0" applyNumberFormat="1" applyFont="1" applyFill="1" applyBorder="1" applyAlignment="1" applyProtection="1">
      <alignment horizontal="center"/>
    </xf>
    <xf numFmtId="3" fontId="4" fillId="0" borderId="6" xfId="0" applyNumberFormat="1" applyFont="1" applyFill="1" applyBorder="1" applyAlignment="1" applyProtection="1">
      <alignment horizontal="center"/>
    </xf>
    <xf numFmtId="3" fontId="4" fillId="0" borderId="1" xfId="0" applyNumberFormat="1" applyFont="1" applyFill="1" applyBorder="1" applyAlignment="1" applyProtection="1"/>
    <xf numFmtId="3" fontId="4" fillId="0" borderId="2" xfId="0" applyNumberFormat="1" applyFont="1" applyFill="1" applyBorder="1" applyAlignment="1" applyProtection="1"/>
    <xf numFmtId="3" fontId="4" fillId="0" borderId="9" xfId="0" applyNumberFormat="1" applyFont="1" applyFill="1" applyBorder="1" applyAlignment="1" applyProtection="1"/>
    <xf numFmtId="3" fontId="4" fillId="0" borderId="8" xfId="0" applyNumberFormat="1" applyFont="1" applyFill="1" applyBorder="1" applyAlignment="1" applyProtection="1"/>
    <xf numFmtId="3" fontId="5" fillId="0" borderId="8" xfId="0" applyNumberFormat="1" applyFont="1" applyFill="1" applyBorder="1" applyAlignment="1" applyProtection="1"/>
    <xf numFmtId="3" fontId="4" fillId="0" borderId="19" xfId="0" applyNumberFormat="1" applyFont="1" applyFill="1" applyBorder="1" applyAlignment="1" applyProtection="1"/>
    <xf numFmtId="3" fontId="4" fillId="0" borderId="11" xfId="0" applyNumberFormat="1" applyFont="1" applyFill="1" applyBorder="1" applyAlignment="1" applyProtection="1"/>
    <xf numFmtId="3" fontId="4" fillId="0" borderId="20" xfId="0" applyNumberFormat="1" applyFont="1" applyFill="1" applyBorder="1" applyAlignment="1" applyProtection="1"/>
    <xf numFmtId="3" fontId="5" fillId="0" borderId="21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/>
    <xf numFmtId="3" fontId="5" fillId="0" borderId="22" xfId="0" applyNumberFormat="1" applyFont="1" applyFill="1" applyBorder="1" applyAlignment="1" applyProtection="1"/>
    <xf numFmtId="3" fontId="5" fillId="0" borderId="12" xfId="0" applyNumberFormat="1" applyFont="1" applyFill="1" applyBorder="1" applyAlignment="1" applyProtection="1"/>
    <xf numFmtId="0" fontId="5" fillId="0" borderId="21" xfId="0" applyNumberFormat="1" applyFont="1" applyFill="1" applyBorder="1" applyAlignment="1" applyProtection="1"/>
    <xf numFmtId="3" fontId="5" fillId="0" borderId="0" xfId="0" applyNumberFormat="1" applyFont="1"/>
    <xf numFmtId="4" fontId="5" fillId="0" borderId="0" xfId="0" applyNumberFormat="1" applyFont="1"/>
    <xf numFmtId="0" fontId="4" fillId="0" borderId="2" xfId="0" applyNumberFormat="1" applyFont="1" applyFill="1" applyBorder="1" applyAlignment="1" applyProtection="1"/>
    <xf numFmtId="3" fontId="10" fillId="0" borderId="10" xfId="0" applyNumberFormat="1" applyFont="1" applyFill="1" applyBorder="1" applyAlignment="1" applyProtection="1">
      <alignment horizontal="right"/>
    </xf>
    <xf numFmtId="3" fontId="9" fillId="0" borderId="10" xfId="0" applyNumberFormat="1" applyFont="1" applyFill="1" applyBorder="1" applyAlignment="1" applyProtection="1">
      <alignment horizontal="right"/>
    </xf>
    <xf numFmtId="3" fontId="9" fillId="0" borderId="13" xfId="0" applyNumberFormat="1" applyFont="1" applyFill="1" applyBorder="1" applyAlignment="1" applyProtection="1">
      <alignment horizontal="right"/>
    </xf>
    <xf numFmtId="3" fontId="10" fillId="2" borderId="10" xfId="0" applyNumberFormat="1" applyFont="1" applyFill="1" applyBorder="1" applyAlignment="1" applyProtection="1">
      <alignment horizontal="right"/>
    </xf>
    <xf numFmtId="0" fontId="16" fillId="0" borderId="8" xfId="0" applyFont="1" applyBorder="1"/>
    <xf numFmtId="3" fontId="9" fillId="2" borderId="10" xfId="0" applyNumberFormat="1" applyFont="1" applyFill="1" applyBorder="1" applyAlignment="1" applyProtection="1">
      <alignment horizontal="right"/>
    </xf>
    <xf numFmtId="0" fontId="4" fillId="2" borderId="10" xfId="0" applyNumberFormat="1" applyFont="1" applyFill="1" applyBorder="1" applyAlignment="1" applyProtection="1"/>
    <xf numFmtId="0" fontId="5" fillId="2" borderId="10" xfId="0" applyNumberFormat="1" applyFont="1" applyFill="1" applyBorder="1" applyAlignment="1" applyProtection="1"/>
    <xf numFmtId="0" fontId="3" fillId="0" borderId="23" xfId="0" applyFont="1" applyBorder="1"/>
    <xf numFmtId="0" fontId="3" fillId="0" borderId="24" xfId="0" applyFont="1" applyBorder="1"/>
    <xf numFmtId="3" fontId="5" fillId="0" borderId="24" xfId="0" applyNumberFormat="1" applyFont="1" applyBorder="1"/>
    <xf numFmtId="0" fontId="3" fillId="0" borderId="6" xfId="0" applyFont="1" applyBorder="1"/>
    <xf numFmtId="9" fontId="5" fillId="0" borderId="8" xfId="0" applyNumberFormat="1" applyFont="1" applyBorder="1"/>
    <xf numFmtId="9" fontId="4" fillId="0" borderId="8" xfId="0" applyNumberFormat="1" applyFont="1" applyBorder="1"/>
    <xf numFmtId="0" fontId="5" fillId="0" borderId="8" xfId="0" applyFont="1" applyBorder="1"/>
    <xf numFmtId="0" fontId="4" fillId="0" borderId="8" xfId="0" applyFont="1" applyBorder="1"/>
    <xf numFmtId="3" fontId="4" fillId="0" borderId="8" xfId="0" applyNumberFormat="1" applyFont="1" applyBorder="1"/>
    <xf numFmtId="0" fontId="5" fillId="0" borderId="6" xfId="0" applyFont="1" applyBorder="1"/>
    <xf numFmtId="0" fontId="4" fillId="0" borderId="8" xfId="0" applyNumberFormat="1" applyFont="1" applyFill="1" applyBorder="1" applyAlignment="1" applyProtection="1">
      <alignment horizontal="center"/>
    </xf>
    <xf numFmtId="0" fontId="4" fillId="0" borderId="9" xfId="0" applyNumberFormat="1" applyFont="1" applyFill="1" applyBorder="1" applyAlignment="1" applyProtection="1"/>
    <xf numFmtId="3" fontId="4" fillId="0" borderId="10" xfId="0" applyNumberFormat="1" applyFont="1" applyFill="1" applyBorder="1"/>
    <xf numFmtId="3" fontId="16" fillId="0" borderId="10" xfId="0" applyNumberFormat="1" applyFont="1" applyFill="1" applyBorder="1"/>
    <xf numFmtId="3" fontId="3" fillId="0" borderId="10" xfId="0" applyNumberFormat="1" applyFont="1" applyFill="1" applyBorder="1"/>
    <xf numFmtId="0" fontId="16" fillId="0" borderId="0" xfId="0" applyFont="1"/>
    <xf numFmtId="0" fontId="3" fillId="0" borderId="10" xfId="0" applyNumberFormat="1" applyFont="1" applyFill="1" applyBorder="1" applyAlignment="1" applyProtection="1"/>
    <xf numFmtId="0" fontId="16" fillId="0" borderId="10" xfId="0" applyFont="1" applyBorder="1"/>
    <xf numFmtId="0" fontId="5" fillId="0" borderId="0" xfId="0" applyFont="1" applyFill="1"/>
    <xf numFmtId="0" fontId="4" fillId="0" borderId="18" xfId="0" applyNumberFormat="1" applyFont="1" applyFill="1" applyBorder="1" applyAlignment="1" applyProtection="1"/>
    <xf numFmtId="0" fontId="5" fillId="0" borderId="25" xfId="0" applyNumberFormat="1" applyFont="1" applyFill="1" applyBorder="1" applyAlignment="1" applyProtection="1"/>
    <xf numFmtId="0" fontId="4" fillId="0" borderId="26" xfId="0" applyNumberFormat="1" applyFont="1" applyFill="1" applyBorder="1" applyAlignment="1" applyProtection="1"/>
    <xf numFmtId="0" fontId="16" fillId="0" borderId="9" xfId="0" applyFont="1" applyBorder="1"/>
    <xf numFmtId="164" fontId="16" fillId="0" borderId="0" xfId="0" applyNumberFormat="1" applyFont="1"/>
    <xf numFmtId="0" fontId="4" fillId="2" borderId="10" xfId="0" applyFont="1" applyFill="1" applyBorder="1" applyAlignment="1">
      <alignment horizontal="right"/>
    </xf>
    <xf numFmtId="0" fontId="15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Alignment="1" applyProtection="1"/>
    <xf numFmtId="164" fontId="16" fillId="0" borderId="0" xfId="0" applyNumberFormat="1" applyFont="1" applyFill="1" applyBorder="1" applyAlignment="1" applyProtection="1">
      <alignment horizontal="right"/>
    </xf>
    <xf numFmtId="0" fontId="16" fillId="0" borderId="10" xfId="0" applyNumberFormat="1" applyFont="1" applyFill="1" applyBorder="1" applyAlignment="1" applyProtection="1"/>
    <xf numFmtId="0" fontId="3" fillId="2" borderId="10" xfId="0" applyNumberFormat="1" applyFont="1" applyFill="1" applyBorder="1" applyAlignment="1" applyProtection="1"/>
    <xf numFmtId="164" fontId="3" fillId="2" borderId="10" xfId="0" applyNumberFormat="1" applyFont="1" applyFill="1" applyBorder="1" applyAlignment="1" applyProtection="1"/>
    <xf numFmtId="0" fontId="5" fillId="0" borderId="10" xfId="0" applyNumberFormat="1" applyFont="1" applyFill="1" applyBorder="1" applyAlignment="1" applyProtection="1">
      <alignment horizontal="right"/>
    </xf>
    <xf numFmtId="3" fontId="16" fillId="0" borderId="0" xfId="0" applyNumberFormat="1" applyFont="1"/>
    <xf numFmtId="0" fontId="5" fillId="0" borderId="10" xfId="0" applyNumberFormat="1" applyFont="1" applyFill="1" applyBorder="1" applyAlignment="1" applyProtection="1">
      <alignment horizontal="left"/>
    </xf>
    <xf numFmtId="0" fontId="2" fillId="0" borderId="13" xfId="0" applyNumberFormat="1" applyFont="1" applyFill="1" applyBorder="1" applyAlignment="1" applyProtection="1"/>
    <xf numFmtId="0" fontId="4" fillId="0" borderId="13" xfId="0" applyNumberFormat="1" applyFont="1" applyFill="1" applyBorder="1" applyAlignment="1" applyProtection="1"/>
    <xf numFmtId="0" fontId="16" fillId="0" borderId="0" xfId="0" applyFont="1" applyFill="1"/>
    <xf numFmtId="0" fontId="5" fillId="0" borderId="13" xfId="0" applyNumberFormat="1" applyFont="1" applyFill="1" applyBorder="1" applyAlignment="1" applyProtection="1"/>
    <xf numFmtId="0" fontId="16" fillId="0" borderId="13" xfId="0" applyNumberFormat="1" applyFont="1" applyFill="1" applyBorder="1" applyAlignment="1" applyProtection="1"/>
    <xf numFmtId="0" fontId="16" fillId="2" borderId="10" xfId="0" applyNumberFormat="1" applyFont="1" applyFill="1" applyBorder="1" applyAlignment="1" applyProtection="1"/>
    <xf numFmtId="3" fontId="4" fillId="0" borderId="13" xfId="0" applyNumberFormat="1" applyFont="1" applyFill="1" applyBorder="1" applyAlignment="1" applyProtection="1">
      <alignment horizontal="right"/>
    </xf>
    <xf numFmtId="0" fontId="5" fillId="0" borderId="1" xfId="0" applyNumberFormat="1" applyFont="1" applyFill="1" applyBorder="1" applyAlignment="1" applyProtection="1"/>
    <xf numFmtId="0" fontId="3" fillId="0" borderId="9" xfId="0" applyNumberFormat="1" applyFont="1" applyFill="1" applyBorder="1" applyAlignment="1" applyProtection="1"/>
    <xf numFmtId="1" fontId="5" fillId="0" borderId="0" xfId="0" applyNumberFormat="1" applyFont="1" applyFill="1" applyBorder="1" applyAlignment="1" applyProtection="1"/>
    <xf numFmtId="0" fontId="3" fillId="0" borderId="4" xfId="0" applyNumberFormat="1" applyFont="1" applyFill="1" applyBorder="1" applyAlignment="1" applyProtection="1"/>
    <xf numFmtId="4" fontId="16" fillId="0" borderId="0" xfId="0" applyNumberFormat="1" applyFont="1"/>
    <xf numFmtId="0" fontId="5" fillId="0" borderId="7" xfId="0" applyNumberFormat="1" applyFont="1" applyFill="1" applyBorder="1" applyAlignment="1" applyProtection="1">
      <alignment horizontal="right"/>
    </xf>
    <xf numFmtId="0" fontId="16" fillId="0" borderId="4" xfId="0" applyFont="1" applyBorder="1"/>
    <xf numFmtId="0" fontId="16" fillId="0" borderId="0" xfId="0" applyFont="1" applyBorder="1"/>
    <xf numFmtId="0" fontId="16" fillId="0" borderId="27" xfId="0" applyFont="1" applyBorder="1"/>
    <xf numFmtId="0" fontId="4" fillId="0" borderId="28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/>
    <xf numFmtId="0" fontId="16" fillId="0" borderId="9" xfId="0" applyNumberFormat="1" applyFont="1" applyFill="1" applyBorder="1" applyAlignment="1" applyProtection="1"/>
    <xf numFmtId="0" fontId="4" fillId="0" borderId="19" xfId="0" applyNumberFormat="1" applyFont="1" applyFill="1" applyBorder="1" applyAlignment="1" applyProtection="1"/>
    <xf numFmtId="0" fontId="16" fillId="0" borderId="21" xfId="0" applyNumberFormat="1" applyFont="1" applyFill="1" applyBorder="1" applyAlignment="1" applyProtection="1"/>
    <xf numFmtId="0" fontId="5" fillId="0" borderId="29" xfId="0" applyNumberFormat="1" applyFont="1" applyFill="1" applyBorder="1" applyAlignment="1" applyProtection="1"/>
    <xf numFmtId="0" fontId="4" fillId="0" borderId="12" xfId="0" applyNumberFormat="1" applyFont="1" applyFill="1" applyBorder="1" applyAlignment="1" applyProtection="1"/>
    <xf numFmtId="3" fontId="5" fillId="0" borderId="0" xfId="0" applyNumberFormat="1" applyFont="1" applyFill="1" applyBorder="1" applyAlignment="1" applyProtection="1"/>
    <xf numFmtId="49" fontId="4" fillId="0" borderId="5" xfId="0" applyNumberFormat="1" applyFont="1" applyFill="1" applyBorder="1" applyAlignment="1" applyProtection="1">
      <alignment horizontal="center"/>
    </xf>
    <xf numFmtId="169" fontId="4" fillId="0" borderId="5" xfId="0" applyNumberFormat="1" applyFont="1" applyFill="1" applyBorder="1" applyAlignment="1" applyProtection="1">
      <alignment horizontal="center"/>
    </xf>
    <xf numFmtId="169" fontId="16" fillId="0" borderId="0" xfId="0" applyNumberFormat="1" applyFont="1" applyFill="1" applyBorder="1" applyAlignment="1" applyProtection="1">
      <alignment horizontal="right"/>
    </xf>
    <xf numFmtId="169" fontId="4" fillId="0" borderId="11" xfId="0" applyNumberFormat="1" applyFont="1" applyFill="1" applyBorder="1" applyAlignment="1" applyProtection="1">
      <alignment horizontal="center"/>
    </xf>
    <xf numFmtId="169" fontId="9" fillId="2" borderId="10" xfId="0" applyNumberFormat="1" applyFont="1" applyFill="1" applyBorder="1" applyAlignment="1" applyProtection="1">
      <alignment horizontal="right"/>
    </xf>
    <xf numFmtId="169" fontId="16" fillId="0" borderId="0" xfId="0" applyNumberFormat="1" applyFont="1" applyFill="1"/>
    <xf numFmtId="3" fontId="16" fillId="0" borderId="0" xfId="0" applyNumberFormat="1" applyFont="1" applyFill="1"/>
    <xf numFmtId="3" fontId="5" fillId="0" borderId="30" xfId="0" applyNumberFormat="1" applyFont="1" applyFill="1" applyBorder="1" applyAlignment="1" applyProtection="1"/>
    <xf numFmtId="3" fontId="10" fillId="0" borderId="14" xfId="0" applyNumberFormat="1" applyFont="1" applyFill="1" applyBorder="1" applyAlignment="1" applyProtection="1">
      <alignment horizontal="right"/>
    </xf>
    <xf numFmtId="3" fontId="5" fillId="0" borderId="14" xfId="0" applyNumberFormat="1" applyFont="1" applyFill="1" applyBorder="1" applyAlignment="1" applyProtection="1">
      <alignment horizontal="right"/>
    </xf>
    <xf numFmtId="3" fontId="16" fillId="0" borderId="0" xfId="0" applyNumberFormat="1" applyFont="1" applyFill="1" applyBorder="1" applyAlignment="1" applyProtection="1">
      <alignment horizontal="right"/>
    </xf>
    <xf numFmtId="3" fontId="4" fillId="0" borderId="31" xfId="0" applyNumberFormat="1" applyFont="1" applyFill="1" applyBorder="1" applyAlignment="1" applyProtection="1">
      <alignment horizontal="right"/>
    </xf>
    <xf numFmtId="3" fontId="5" fillId="0" borderId="7" xfId="0" applyNumberFormat="1" applyFont="1" applyFill="1" applyBorder="1"/>
    <xf numFmtId="3" fontId="4" fillId="0" borderId="10" xfId="0" applyNumberFormat="1" applyFont="1" applyBorder="1"/>
    <xf numFmtId="3" fontId="5" fillId="0" borderId="10" xfId="0" applyNumberFormat="1" applyFont="1" applyFill="1" applyBorder="1"/>
    <xf numFmtId="3" fontId="4" fillId="0" borderId="5" xfId="0" applyNumberFormat="1" applyFont="1" applyBorder="1"/>
    <xf numFmtId="3" fontId="4" fillId="0" borderId="17" xfId="0" applyNumberFormat="1" applyFont="1" applyFill="1" applyBorder="1" applyAlignment="1" applyProtection="1">
      <alignment horizontal="right"/>
    </xf>
    <xf numFmtId="0" fontId="3" fillId="0" borderId="2" xfId="0" applyFont="1" applyFill="1" applyBorder="1"/>
    <xf numFmtId="0" fontId="2" fillId="0" borderId="0" xfId="0" applyFont="1" applyFill="1"/>
    <xf numFmtId="0" fontId="3" fillId="0" borderId="0" xfId="0" applyFont="1" applyFill="1"/>
    <xf numFmtId="0" fontId="4" fillId="0" borderId="33" xfId="0" applyNumberFormat="1" applyFont="1" applyFill="1" applyBorder="1" applyAlignment="1" applyProtection="1">
      <alignment horizontal="center"/>
    </xf>
    <xf numFmtId="3" fontId="4" fillId="0" borderId="11" xfId="0" applyNumberFormat="1" applyFont="1" applyFill="1" applyBorder="1" applyAlignment="1" applyProtection="1">
      <alignment horizontal="right"/>
    </xf>
    <xf numFmtId="3" fontId="4" fillId="0" borderId="3" xfId="0" applyNumberFormat="1" applyFont="1" applyFill="1" applyBorder="1" applyAlignment="1" applyProtection="1"/>
    <xf numFmtId="3" fontId="5" fillId="0" borderId="5" xfId="0" applyNumberFormat="1" applyFont="1" applyFill="1" applyBorder="1"/>
    <xf numFmtId="49" fontId="4" fillId="4" borderId="5" xfId="0" applyNumberFormat="1" applyFont="1" applyFill="1" applyBorder="1" applyAlignment="1" applyProtection="1">
      <alignment horizontal="center"/>
    </xf>
    <xf numFmtId="164" fontId="16" fillId="4" borderId="0" xfId="0" applyNumberFormat="1" applyFont="1" applyFill="1"/>
    <xf numFmtId="3" fontId="4" fillId="0" borderId="14" xfId="0" applyNumberFormat="1" applyFont="1" applyFill="1" applyBorder="1" applyAlignment="1" applyProtection="1">
      <alignment horizontal="right"/>
    </xf>
    <xf numFmtId="3" fontId="4" fillId="0" borderId="29" xfId="0" applyNumberFormat="1" applyFont="1" applyFill="1" applyBorder="1" applyAlignment="1" applyProtection="1"/>
    <xf numFmtId="0" fontId="4" fillId="3" borderId="19" xfId="0" applyNumberFormat="1" applyFont="1" applyFill="1" applyBorder="1" applyAlignment="1" applyProtection="1">
      <alignment horizontal="center"/>
    </xf>
    <xf numFmtId="0" fontId="4" fillId="3" borderId="20" xfId="0" applyNumberFormat="1" applyFont="1" applyFill="1" applyBorder="1" applyAlignment="1" applyProtection="1">
      <alignment horizontal="center"/>
    </xf>
    <xf numFmtId="0" fontId="4" fillId="3" borderId="4" xfId="0" applyNumberFormat="1" applyFont="1" applyFill="1" applyBorder="1" applyAlignment="1" applyProtection="1">
      <alignment horizontal="center"/>
    </xf>
    <xf numFmtId="3" fontId="4" fillId="3" borderId="1" xfId="0" applyNumberFormat="1" applyFont="1" applyFill="1" applyBorder="1" applyAlignment="1" applyProtection="1"/>
    <xf numFmtId="3" fontId="4" fillId="3" borderId="3" xfId="0" applyNumberFormat="1" applyFont="1" applyFill="1" applyBorder="1" applyAlignment="1" applyProtection="1"/>
    <xf numFmtId="0" fontId="5" fillId="3" borderId="9" xfId="0" applyNumberFormat="1" applyFont="1" applyFill="1" applyBorder="1" applyAlignment="1" applyProtection="1"/>
    <xf numFmtId="0" fontId="5" fillId="3" borderId="8" xfId="0" applyNumberFormat="1" applyFont="1" applyFill="1" applyBorder="1" applyAlignment="1" applyProtection="1"/>
    <xf numFmtId="3" fontId="5" fillId="3" borderId="9" xfId="0" applyNumberFormat="1" applyFont="1" applyFill="1" applyBorder="1" applyAlignment="1" applyProtection="1"/>
    <xf numFmtId="3" fontId="5" fillId="3" borderId="8" xfId="0" applyNumberFormat="1" applyFont="1" applyFill="1" applyBorder="1" applyAlignment="1" applyProtection="1"/>
    <xf numFmtId="3" fontId="4" fillId="3" borderId="19" xfId="0" applyNumberFormat="1" applyFont="1" applyFill="1" applyBorder="1" applyAlignment="1" applyProtection="1"/>
    <xf numFmtId="3" fontId="4" fillId="3" borderId="20" xfId="0" applyNumberFormat="1" applyFont="1" applyFill="1" applyBorder="1" applyAlignment="1" applyProtection="1"/>
    <xf numFmtId="1" fontId="5" fillId="3" borderId="9" xfId="0" applyNumberFormat="1" applyFont="1" applyFill="1" applyBorder="1" applyAlignment="1" applyProtection="1"/>
    <xf numFmtId="3" fontId="4" fillId="3" borderId="11" xfId="0" applyNumberFormat="1" applyFont="1" applyFill="1" applyBorder="1" applyAlignment="1" applyProtection="1"/>
    <xf numFmtId="0" fontId="5" fillId="3" borderId="22" xfId="0" applyNumberFormat="1" applyFont="1" applyFill="1" applyBorder="1" applyAlignment="1" applyProtection="1"/>
    <xf numFmtId="3" fontId="4" fillId="3" borderId="9" xfId="0" applyNumberFormat="1" applyFont="1" applyFill="1" applyBorder="1" applyAlignment="1" applyProtection="1"/>
    <xf numFmtId="3" fontId="4" fillId="3" borderId="8" xfId="0" applyNumberFormat="1" applyFont="1" applyFill="1" applyBorder="1" applyAlignment="1" applyProtection="1"/>
    <xf numFmtId="0" fontId="5" fillId="3" borderId="21" xfId="0" applyNumberFormat="1" applyFont="1" applyFill="1" applyBorder="1" applyAlignment="1" applyProtection="1"/>
    <xf numFmtId="3" fontId="4" fillId="3" borderId="29" xfId="0" applyNumberFormat="1" applyFont="1" applyFill="1" applyBorder="1" applyAlignment="1" applyProtection="1"/>
    <xf numFmtId="0" fontId="5" fillId="3" borderId="0" xfId="0" applyNumberFormat="1" applyFont="1" applyFill="1" applyBorder="1" applyAlignment="1" applyProtection="1"/>
    <xf numFmtId="0" fontId="16" fillId="3" borderId="0" xfId="0" applyFont="1" applyFill="1"/>
    <xf numFmtId="3" fontId="6" fillId="0" borderId="9" xfId="0" applyNumberFormat="1" applyFont="1" applyFill="1" applyBorder="1" applyAlignment="1" applyProtection="1"/>
    <xf numFmtId="3" fontId="2" fillId="0" borderId="0" xfId="0" applyNumberFormat="1" applyFont="1"/>
    <xf numFmtId="3" fontId="2" fillId="0" borderId="0" xfId="0" applyNumberFormat="1" applyFont="1" applyFill="1"/>
    <xf numFmtId="3" fontId="3" fillId="0" borderId="2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164" fontId="19" fillId="0" borderId="10" xfId="0" applyNumberFormat="1" applyFont="1" applyFill="1" applyBorder="1" applyAlignment="1" applyProtection="1">
      <alignment horizontal="right"/>
    </xf>
    <xf numFmtId="0" fontId="5" fillId="0" borderId="35" xfId="0" applyNumberFormat="1" applyFont="1" applyFill="1" applyBorder="1" applyAlignment="1" applyProtection="1"/>
    <xf numFmtId="164" fontId="16" fillId="4" borderId="0" xfId="0" applyNumberFormat="1" applyFont="1" applyFill="1" applyBorder="1"/>
    <xf numFmtId="0" fontId="3" fillId="0" borderId="34" xfId="0" applyFont="1" applyBorder="1"/>
    <xf numFmtId="0" fontId="3" fillId="0" borderId="36" xfId="0" applyFont="1" applyBorder="1"/>
    <xf numFmtId="0" fontId="16" fillId="0" borderId="37" xfId="0" applyFont="1" applyBorder="1"/>
    <xf numFmtId="0" fontId="3" fillId="0" borderId="37" xfId="0" applyFont="1" applyBorder="1"/>
    <xf numFmtId="0" fontId="3" fillId="0" borderId="37" xfId="0" applyFont="1" applyBorder="1" applyAlignment="1">
      <alignment horizontal="right"/>
    </xf>
    <xf numFmtId="49" fontId="16" fillId="0" borderId="37" xfId="0" applyNumberFormat="1" applyFont="1" applyBorder="1" applyAlignment="1">
      <alignment horizontal="right"/>
    </xf>
    <xf numFmtId="0" fontId="16" fillId="0" borderId="36" xfId="0" applyFont="1" applyBorder="1"/>
    <xf numFmtId="0" fontId="5" fillId="0" borderId="0" xfId="0" applyFont="1" applyFill="1" applyAlignment="1"/>
    <xf numFmtId="3" fontId="5" fillId="0" borderId="0" xfId="0" applyNumberFormat="1" applyFont="1" applyFill="1" applyAlignment="1"/>
    <xf numFmtId="4" fontId="5" fillId="0" borderId="0" xfId="0" applyNumberFormat="1" applyFont="1" applyFill="1" applyAlignment="1"/>
    <xf numFmtId="169" fontId="5" fillId="0" borderId="7" xfId="0" applyNumberFormat="1" applyFont="1" applyBorder="1"/>
    <xf numFmtId="169" fontId="4" fillId="0" borderId="7" xfId="0" applyNumberFormat="1" applyFont="1" applyBorder="1"/>
    <xf numFmtId="169" fontId="4" fillId="0" borderId="7" xfId="0" applyNumberFormat="1" applyFont="1" applyFill="1" applyBorder="1" applyAlignment="1" applyProtection="1"/>
    <xf numFmtId="169" fontId="5" fillId="0" borderId="5" xfId="0" applyNumberFormat="1" applyFont="1" applyBorder="1"/>
    <xf numFmtId="49" fontId="16" fillId="0" borderId="10" xfId="0" applyNumberFormat="1" applyFont="1" applyFill="1" applyBorder="1" applyAlignment="1" applyProtection="1">
      <alignment horizontal="left"/>
    </xf>
    <xf numFmtId="0" fontId="6" fillId="0" borderId="0" xfId="0" applyFont="1"/>
    <xf numFmtId="3" fontId="5" fillId="2" borderId="10" xfId="0" applyNumberFormat="1" applyFont="1" applyFill="1" applyBorder="1"/>
    <xf numFmtId="3" fontId="8" fillId="2" borderId="10" xfId="0" applyNumberFormat="1" applyFont="1" applyFill="1" applyBorder="1"/>
    <xf numFmtId="0" fontId="3" fillId="0" borderId="0" xfId="0" applyFont="1" applyAlignment="1">
      <alignment horizontal="right"/>
    </xf>
    <xf numFmtId="0" fontId="5" fillId="0" borderId="0" xfId="0" applyNumberFormat="1" applyFont="1" applyFill="1" applyBorder="1" applyAlignment="1" applyProtection="1">
      <alignment horizontal="right"/>
    </xf>
    <xf numFmtId="0" fontId="4" fillId="0" borderId="11" xfId="0" applyNumberFormat="1" applyFont="1" applyFill="1" applyBorder="1" applyAlignment="1" applyProtection="1">
      <alignment horizontal="right"/>
    </xf>
    <xf numFmtId="164" fontId="16" fillId="0" borderId="10" xfId="0" applyNumberFormat="1" applyFont="1" applyBorder="1" applyAlignment="1">
      <alignment horizontal="right"/>
    </xf>
    <xf numFmtId="164" fontId="5" fillId="0" borderId="10" xfId="0" applyNumberFormat="1" applyFont="1" applyFill="1" applyBorder="1" applyAlignment="1" applyProtection="1">
      <alignment horizontal="right"/>
    </xf>
    <xf numFmtId="0" fontId="4" fillId="0" borderId="10" xfId="0" applyNumberFormat="1" applyFont="1" applyFill="1" applyBorder="1" applyAlignment="1" applyProtection="1">
      <alignment horizontal="right"/>
    </xf>
    <xf numFmtId="0" fontId="4" fillId="2" borderId="10" xfId="0" applyNumberFormat="1" applyFont="1" applyFill="1" applyBorder="1" applyAlignment="1" applyProtection="1">
      <alignment horizontal="right"/>
    </xf>
    <xf numFmtId="166" fontId="10" fillId="0" borderId="10" xfId="0" applyNumberFormat="1" applyFont="1" applyFill="1" applyBorder="1" applyAlignment="1" applyProtection="1">
      <alignment horizontal="right"/>
    </xf>
    <xf numFmtId="9" fontId="5" fillId="0" borderId="10" xfId="0" applyNumberFormat="1" applyFont="1" applyFill="1" applyBorder="1" applyAlignment="1" applyProtection="1">
      <alignment horizontal="right"/>
    </xf>
    <xf numFmtId="167" fontId="5" fillId="0" borderId="10" xfId="0" applyNumberFormat="1" applyFont="1" applyFill="1" applyBorder="1" applyAlignment="1" applyProtection="1">
      <alignment horizontal="right"/>
    </xf>
    <xf numFmtId="168" fontId="5" fillId="0" borderId="13" xfId="0" applyNumberFormat="1" applyFont="1" applyFill="1" applyBorder="1" applyAlignment="1" applyProtection="1">
      <alignment horizontal="right"/>
    </xf>
    <xf numFmtId="0" fontId="5" fillId="2" borderId="10" xfId="0" applyNumberFormat="1" applyFont="1" applyFill="1" applyBorder="1" applyAlignment="1" applyProtection="1">
      <alignment horizontal="right"/>
    </xf>
    <xf numFmtId="3" fontId="4" fillId="0" borderId="10" xfId="0" applyNumberFormat="1" applyFont="1" applyFill="1" applyBorder="1" applyAlignment="1" applyProtection="1">
      <alignment horizontal="right"/>
    </xf>
    <xf numFmtId="0" fontId="16" fillId="0" borderId="31" xfId="0" applyFont="1" applyBorder="1" applyAlignment="1">
      <alignment horizontal="right"/>
    </xf>
    <xf numFmtId="0" fontId="16" fillId="0" borderId="14" xfId="0" applyFont="1" applyBorder="1" applyAlignment="1">
      <alignment horizontal="right"/>
    </xf>
    <xf numFmtId="168" fontId="16" fillId="0" borderId="14" xfId="0" applyNumberFormat="1" applyFont="1" applyBorder="1" applyAlignment="1">
      <alignment horizontal="right"/>
    </xf>
    <xf numFmtId="4" fontId="16" fillId="0" borderId="14" xfId="0" applyNumberFormat="1" applyFont="1" applyBorder="1" applyAlignment="1">
      <alignment horizontal="right"/>
    </xf>
    <xf numFmtId="0" fontId="16" fillId="0" borderId="17" xfId="0" applyFont="1" applyBorder="1" applyAlignment="1">
      <alignment horizontal="right"/>
    </xf>
    <xf numFmtId="4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3" fontId="5" fillId="0" borderId="10" xfId="0" applyNumberFormat="1" applyFont="1" applyFill="1" applyBorder="1" applyAlignment="1">
      <alignment horizontal="right"/>
    </xf>
    <xf numFmtId="49" fontId="5" fillId="0" borderId="10" xfId="0" applyNumberFormat="1" applyFont="1" applyFill="1" applyBorder="1" applyAlignment="1" applyProtection="1"/>
    <xf numFmtId="1" fontId="4" fillId="4" borderId="11" xfId="0" applyNumberFormat="1" applyFont="1" applyFill="1" applyBorder="1" applyAlignment="1" applyProtection="1">
      <alignment horizontal="center"/>
    </xf>
    <xf numFmtId="170" fontId="10" fillId="4" borderId="10" xfId="0" applyNumberFormat="1" applyFont="1" applyFill="1" applyBorder="1" applyAlignment="1" applyProtection="1">
      <alignment horizontal="right"/>
    </xf>
    <xf numFmtId="170" fontId="4" fillId="4" borderId="10" xfId="0" applyNumberFormat="1" applyFont="1" applyFill="1" applyBorder="1" applyAlignment="1" applyProtection="1"/>
    <xf numFmtId="170" fontId="4" fillId="4" borderId="31" xfId="0" applyNumberFormat="1" applyFont="1" applyFill="1" applyBorder="1" applyAlignment="1" applyProtection="1">
      <alignment horizontal="right"/>
    </xf>
    <xf numFmtId="3" fontId="8" fillId="0" borderId="10" xfId="0" applyNumberFormat="1" applyFont="1" applyFill="1" applyBorder="1"/>
    <xf numFmtId="0" fontId="3" fillId="0" borderId="30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0" borderId="30" xfId="0" applyFont="1" applyBorder="1" applyAlignment="1">
      <alignment horizontal="left"/>
    </xf>
    <xf numFmtId="0" fontId="8" fillId="0" borderId="30" xfId="0" applyFont="1" applyBorder="1" applyAlignment="1">
      <alignment horizontal="center"/>
    </xf>
    <xf numFmtId="0" fontId="0" fillId="0" borderId="17" xfId="0" applyBorder="1"/>
    <xf numFmtId="0" fontId="0" fillId="0" borderId="4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4" xfId="0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3" fontId="0" fillId="0" borderId="30" xfId="0" applyNumberFormat="1" applyFill="1" applyBorder="1"/>
    <xf numFmtId="3" fontId="6" fillId="0" borderId="30" xfId="0" applyNumberFormat="1" applyFont="1" applyFill="1" applyBorder="1"/>
    <xf numFmtId="3" fontId="0" fillId="2" borderId="45" xfId="0" applyNumberFormat="1" applyFill="1" applyBorder="1"/>
    <xf numFmtId="3" fontId="6" fillId="0" borderId="45" xfId="0" applyNumberFormat="1" applyFont="1" applyFill="1" applyBorder="1"/>
    <xf numFmtId="3" fontId="0" fillId="0" borderId="17" xfId="0" applyNumberFormat="1" applyFill="1" applyBorder="1"/>
    <xf numFmtId="0" fontId="3" fillId="0" borderId="30" xfId="0" applyFont="1" applyBorder="1"/>
    <xf numFmtId="3" fontId="0" fillId="0" borderId="34" xfId="0" applyNumberFormat="1" applyBorder="1"/>
    <xf numFmtId="3" fontId="0" fillId="0" borderId="2" xfId="0" applyNumberFormat="1" applyBorder="1"/>
    <xf numFmtId="3" fontId="0" fillId="0" borderId="42" xfId="0" applyNumberFormat="1" applyBorder="1"/>
    <xf numFmtId="3" fontId="0" fillId="2" borderId="30" xfId="0" applyNumberFormat="1" applyFill="1" applyBorder="1"/>
    <xf numFmtId="3" fontId="6" fillId="0" borderId="30" xfId="0" applyNumberFormat="1" applyFont="1" applyBorder="1"/>
    <xf numFmtId="0" fontId="3" fillId="0" borderId="14" xfId="0" applyFont="1" applyBorder="1"/>
    <xf numFmtId="3" fontId="6" fillId="0" borderId="14" xfId="0" applyNumberFormat="1" applyFont="1" applyBorder="1"/>
    <xf numFmtId="3" fontId="0" fillId="0" borderId="36" xfId="0" applyNumberFormat="1" applyBorder="1"/>
    <xf numFmtId="3" fontId="0" fillId="0" borderId="5" xfId="0" applyNumberFormat="1" applyBorder="1"/>
    <xf numFmtId="3" fontId="0" fillId="0" borderId="46" xfId="0" applyNumberFormat="1" applyBorder="1"/>
    <xf numFmtId="3" fontId="0" fillId="2" borderId="17" xfId="0" applyNumberFormat="1" applyFill="1" applyBorder="1"/>
    <xf numFmtId="3" fontId="6" fillId="0" borderId="17" xfId="0" applyNumberFormat="1" applyFont="1" applyBorder="1"/>
    <xf numFmtId="16" fontId="0" fillId="0" borderId="0" xfId="0" applyNumberFormat="1"/>
    <xf numFmtId="3" fontId="8" fillId="0" borderId="14" xfId="0" applyNumberFormat="1" applyFont="1" applyFill="1" applyBorder="1"/>
    <xf numFmtId="170" fontId="8" fillId="0" borderId="10" xfId="0" applyNumberFormat="1" applyFont="1" applyFill="1" applyBorder="1" applyAlignment="1" applyProtection="1"/>
    <xf numFmtId="0" fontId="7" fillId="0" borderId="34" xfId="0" applyFont="1" applyBorder="1" applyAlignment="1">
      <alignment horizontal="left"/>
    </xf>
    <xf numFmtId="0" fontId="0" fillId="0" borderId="0" xfId="0" applyBorder="1" applyAlignment="1"/>
    <xf numFmtId="0" fontId="0" fillId="0" borderId="0" xfId="0" applyFill="1" applyBorder="1" applyAlignment="1"/>
    <xf numFmtId="0" fontId="16" fillId="0" borderId="33" xfId="0" applyFont="1" applyBorder="1"/>
    <xf numFmtId="3" fontId="5" fillId="5" borderId="8" xfId="0" applyNumberFormat="1" applyFont="1" applyFill="1" applyBorder="1" applyAlignment="1" applyProtection="1"/>
    <xf numFmtId="3" fontId="5" fillId="6" borderId="22" xfId="0" applyNumberFormat="1" applyFont="1" applyFill="1" applyBorder="1" applyAlignment="1" applyProtection="1"/>
    <xf numFmtId="3" fontId="5" fillId="4" borderId="8" xfId="0" applyNumberFormat="1" applyFont="1" applyFill="1" applyBorder="1" applyAlignment="1" applyProtection="1"/>
    <xf numFmtId="3" fontId="5" fillId="2" borderId="8" xfId="0" applyNumberFormat="1" applyFont="1" applyFill="1" applyBorder="1" applyAlignment="1" applyProtection="1"/>
    <xf numFmtId="3" fontId="5" fillId="4" borderId="22" xfId="0" applyNumberFormat="1" applyFont="1" applyFill="1" applyBorder="1" applyAlignment="1" applyProtection="1"/>
    <xf numFmtId="3" fontId="5" fillId="5" borderId="22" xfId="0" applyNumberFormat="1" applyFont="1" applyFill="1" applyBorder="1" applyAlignment="1" applyProtection="1"/>
    <xf numFmtId="0" fontId="5" fillId="7" borderId="8" xfId="0" applyNumberFormat="1" applyFont="1" applyFill="1" applyBorder="1" applyAlignment="1" applyProtection="1"/>
    <xf numFmtId="0" fontId="16" fillId="0" borderId="20" xfId="0" applyFont="1" applyBorder="1"/>
    <xf numFmtId="0" fontId="5" fillId="6" borderId="8" xfId="0" applyFont="1" applyFill="1" applyBorder="1"/>
    <xf numFmtId="3" fontId="5" fillId="8" borderId="8" xfId="0" applyNumberFormat="1" applyFont="1" applyFill="1" applyBorder="1" applyAlignment="1" applyProtection="1"/>
    <xf numFmtId="0" fontId="16" fillId="0" borderId="48" xfId="0" applyFont="1" applyBorder="1"/>
    <xf numFmtId="3" fontId="5" fillId="6" borderId="9" xfId="0" applyNumberFormat="1" applyFont="1" applyFill="1" applyBorder="1" applyAlignment="1" applyProtection="1"/>
    <xf numFmtId="3" fontId="5" fillId="2" borderId="9" xfId="0" applyNumberFormat="1" applyFont="1" applyFill="1" applyBorder="1" applyAlignment="1" applyProtection="1"/>
    <xf numFmtId="3" fontId="5" fillId="4" borderId="21" xfId="0" applyNumberFormat="1" applyFont="1" applyFill="1" applyBorder="1" applyAlignment="1" applyProtection="1"/>
    <xf numFmtId="0" fontId="5" fillId="5" borderId="9" xfId="0" applyNumberFormat="1" applyFont="1" applyFill="1" applyBorder="1" applyAlignment="1" applyProtection="1"/>
    <xf numFmtId="3" fontId="5" fillId="4" borderId="9" xfId="0" applyNumberFormat="1" applyFont="1" applyFill="1" applyBorder="1" applyAlignment="1" applyProtection="1"/>
    <xf numFmtId="3" fontId="5" fillId="0" borderId="19" xfId="0" applyNumberFormat="1" applyFont="1" applyFill="1" applyBorder="1" applyAlignment="1" applyProtection="1"/>
    <xf numFmtId="0" fontId="5" fillId="4" borderId="9" xfId="0" applyNumberFormat="1" applyFont="1" applyFill="1" applyBorder="1" applyAlignment="1" applyProtection="1"/>
    <xf numFmtId="3" fontId="5" fillId="8" borderId="9" xfId="0" applyNumberFormat="1" applyFont="1" applyFill="1" applyBorder="1" applyAlignment="1" applyProtection="1"/>
    <xf numFmtId="0" fontId="5" fillId="3" borderId="9" xfId="0" applyFont="1" applyFill="1" applyBorder="1"/>
    <xf numFmtId="3" fontId="5" fillId="7" borderId="9" xfId="0" applyNumberFormat="1" applyFont="1" applyFill="1" applyBorder="1" applyAlignment="1" applyProtection="1"/>
    <xf numFmtId="3" fontId="5" fillId="9" borderId="9" xfId="0" applyNumberFormat="1" applyFont="1" applyFill="1" applyBorder="1" applyAlignment="1" applyProtection="1"/>
    <xf numFmtId="3" fontId="5" fillId="5" borderId="9" xfId="0" applyNumberFormat="1" applyFont="1" applyFill="1" applyBorder="1" applyAlignment="1" applyProtection="1"/>
    <xf numFmtId="0" fontId="5" fillId="5" borderId="21" xfId="0" applyNumberFormat="1" applyFont="1" applyFill="1" applyBorder="1" applyAlignment="1" applyProtection="1"/>
    <xf numFmtId="164" fontId="16" fillId="0" borderId="0" xfId="0" applyNumberFormat="1" applyFont="1" applyFill="1"/>
    <xf numFmtId="169" fontId="5" fillId="0" borderId="0" xfId="0" applyNumberFormat="1" applyFont="1" applyFill="1" applyBorder="1"/>
    <xf numFmtId="0" fontId="16" fillId="0" borderId="0" xfId="0" applyFont="1" applyFill="1" applyBorder="1"/>
    <xf numFmtId="3" fontId="6" fillId="0" borderId="45" xfId="0" applyNumberFormat="1" applyFont="1" applyFill="1" applyBorder="1" applyAlignment="1">
      <alignment wrapText="1"/>
    </xf>
    <xf numFmtId="0" fontId="7" fillId="0" borderId="38" xfId="0" applyFont="1" applyBorder="1" applyAlignment="1">
      <alignment horizontal="left"/>
    </xf>
    <xf numFmtId="170" fontId="19" fillId="4" borderId="10" xfId="0" applyNumberFormat="1" applyFont="1" applyFill="1" applyBorder="1" applyAlignment="1" applyProtection="1">
      <alignment horizontal="right"/>
    </xf>
    <xf numFmtId="170" fontId="19" fillId="4" borderId="13" xfId="0" applyNumberFormat="1" applyFont="1" applyFill="1" applyBorder="1" applyAlignment="1" applyProtection="1">
      <alignment horizontal="right"/>
    </xf>
    <xf numFmtId="170" fontId="5" fillId="0" borderId="0" xfId="0" applyNumberFormat="1" applyFont="1" applyFill="1" applyBorder="1" applyAlignment="1" applyProtection="1"/>
    <xf numFmtId="3" fontId="21" fillId="0" borderId="0" xfId="0" applyNumberFormat="1" applyFont="1" applyFill="1" applyBorder="1" applyAlignment="1" applyProtection="1">
      <alignment horizontal="right"/>
    </xf>
    <xf numFmtId="170" fontId="9" fillId="4" borderId="13" xfId="0" applyNumberFormat="1" applyFont="1" applyFill="1" applyBorder="1" applyAlignment="1" applyProtection="1">
      <alignment horizontal="right"/>
    </xf>
    <xf numFmtId="170" fontId="3" fillId="2" borderId="10" xfId="0" applyNumberFormat="1" applyFont="1" applyFill="1" applyBorder="1" applyAlignment="1" applyProtection="1"/>
    <xf numFmtId="170" fontId="4" fillId="0" borderId="10" xfId="0" applyNumberFormat="1" applyFont="1" applyFill="1" applyBorder="1" applyAlignment="1" applyProtection="1"/>
    <xf numFmtId="168" fontId="16" fillId="0" borderId="0" xfId="0" applyNumberFormat="1" applyFont="1" applyAlignment="1">
      <alignment horizontal="right"/>
    </xf>
    <xf numFmtId="9" fontId="6" fillId="0" borderId="45" xfId="2" applyFont="1" applyFill="1" applyBorder="1"/>
    <xf numFmtId="0" fontId="20" fillId="9" borderId="9" xfId="0" applyFont="1" applyFill="1" applyBorder="1"/>
    <xf numFmtId="0" fontId="5" fillId="0" borderId="14" xfId="0" applyFont="1" applyFill="1" applyBorder="1" applyAlignment="1">
      <alignment horizontal="right"/>
    </xf>
    <xf numFmtId="3" fontId="5" fillId="0" borderId="10" xfId="0" applyNumberFormat="1" applyFont="1" applyFill="1" applyBorder="1" applyAlignment="1" applyProtection="1">
      <alignment horizontal="right"/>
    </xf>
    <xf numFmtId="0" fontId="4" fillId="0" borderId="30" xfId="0" applyFont="1" applyBorder="1" applyAlignment="1">
      <alignment horizontal="left"/>
    </xf>
    <xf numFmtId="0" fontId="4" fillId="0" borderId="17" xfId="0" applyFont="1" applyBorder="1" applyAlignment="1">
      <alignment horizontal="center"/>
    </xf>
    <xf numFmtId="0" fontId="0" fillId="3" borderId="45" xfId="0" applyFill="1" applyBorder="1"/>
    <xf numFmtId="9" fontId="6" fillId="0" borderId="14" xfId="2" applyFont="1" applyFill="1" applyBorder="1"/>
    <xf numFmtId="164" fontId="8" fillId="0" borderId="0" xfId="0" applyNumberFormat="1" applyFont="1" applyFill="1"/>
    <xf numFmtId="169" fontId="1" fillId="0" borderId="0" xfId="0" applyNumberFormat="1" applyFont="1" applyFill="1"/>
    <xf numFmtId="169" fontId="6" fillId="0" borderId="0" xfId="0" applyNumberFormat="1" applyFont="1" applyFill="1"/>
    <xf numFmtId="3" fontId="4" fillId="0" borderId="48" xfId="0" applyNumberFormat="1" applyFont="1" applyFill="1" applyBorder="1" applyAlignment="1" applyProtection="1"/>
    <xf numFmtId="170" fontId="25" fillId="4" borderId="17" xfId="0" applyNumberFormat="1" applyFont="1" applyFill="1" applyBorder="1" applyAlignment="1" applyProtection="1">
      <alignment horizontal="right"/>
    </xf>
    <xf numFmtId="171" fontId="0" fillId="0" borderId="0" xfId="0" applyNumberFormat="1" applyFill="1" applyBorder="1" applyAlignment="1"/>
    <xf numFmtId="171" fontId="5" fillId="0" borderId="0" xfId="0" applyNumberFormat="1" applyFont="1" applyFill="1" applyBorder="1" applyAlignment="1" applyProtection="1"/>
    <xf numFmtId="171" fontId="16" fillId="0" borderId="0" xfId="0" applyNumberFormat="1" applyFont="1" applyFill="1"/>
    <xf numFmtId="3" fontId="5" fillId="0" borderId="14" xfId="0" applyNumberFormat="1" applyFont="1" applyFill="1" applyBorder="1" applyAlignment="1" applyProtection="1"/>
    <xf numFmtId="3" fontId="3" fillId="0" borderId="17" xfId="0" applyNumberFormat="1" applyFont="1" applyFill="1" applyBorder="1" applyAlignment="1" applyProtection="1">
      <alignment horizontal="right"/>
    </xf>
    <xf numFmtId="0" fontId="4" fillId="0" borderId="49" xfId="0" applyNumberFormat="1" applyFont="1" applyFill="1" applyBorder="1" applyAlignment="1" applyProtection="1">
      <alignment horizontal="center"/>
    </xf>
    <xf numFmtId="0" fontId="7" fillId="0" borderId="37" xfId="0" applyFont="1" applyBorder="1"/>
    <xf numFmtId="3" fontId="6" fillId="3" borderId="9" xfId="0" applyNumberFormat="1" applyFont="1" applyFill="1" applyBorder="1" applyAlignment="1" applyProtection="1"/>
    <xf numFmtId="169" fontId="3" fillId="0" borderId="0" xfId="0" applyNumberFormat="1" applyFont="1" applyFill="1" applyBorder="1" applyAlignment="1">
      <alignment horizontal="center"/>
    </xf>
    <xf numFmtId="169" fontId="6" fillId="0" borderId="0" xfId="0" applyNumberFormat="1" applyFont="1" applyFill="1" applyBorder="1"/>
    <xf numFmtId="169" fontId="4" fillId="0" borderId="0" xfId="0" applyNumberFormat="1" applyFont="1" applyFill="1" applyBorder="1"/>
    <xf numFmtId="3" fontId="4" fillId="3" borderId="35" xfId="0" applyNumberFormat="1" applyFont="1" applyFill="1" applyBorder="1" applyAlignment="1" applyProtection="1"/>
    <xf numFmtId="0" fontId="6" fillId="0" borderId="35" xfId="0" applyNumberFormat="1" applyFont="1" applyFill="1" applyBorder="1" applyAlignment="1" applyProtection="1"/>
    <xf numFmtId="0" fontId="4" fillId="0" borderId="9" xfId="0" applyNumberFormat="1" applyFont="1" applyFill="1" applyBorder="1" applyAlignment="1" applyProtection="1">
      <alignment horizontal="left"/>
    </xf>
    <xf numFmtId="9" fontId="4" fillId="0" borderId="4" xfId="2" applyFont="1" applyFill="1" applyBorder="1" applyAlignment="1" applyProtection="1">
      <alignment horizontal="left"/>
    </xf>
    <xf numFmtId="164" fontId="10" fillId="0" borderId="47" xfId="0" applyNumberFormat="1" applyFont="1" applyFill="1" applyBorder="1" applyAlignment="1" applyProtection="1">
      <alignment horizontal="right"/>
    </xf>
    <xf numFmtId="164" fontId="9" fillId="0" borderId="47" xfId="0" applyNumberFormat="1" applyFont="1" applyFill="1" applyBorder="1" applyAlignment="1" applyProtection="1">
      <alignment horizontal="right"/>
    </xf>
    <xf numFmtId="164" fontId="13" fillId="0" borderId="46" xfId="0" applyNumberFormat="1" applyFont="1" applyFill="1" applyBorder="1" applyAlignment="1" applyProtection="1">
      <alignment horizontal="right"/>
    </xf>
    <xf numFmtId="4" fontId="5" fillId="0" borderId="0" xfId="0" applyNumberFormat="1" applyFont="1" applyBorder="1"/>
    <xf numFmtId="169" fontId="5" fillId="0" borderId="0" xfId="0" applyNumberFormat="1" applyFont="1" applyBorder="1"/>
    <xf numFmtId="4" fontId="16" fillId="0" borderId="0" xfId="0" applyNumberFormat="1" applyFont="1" applyFill="1" applyBorder="1" applyAlignment="1" applyProtection="1"/>
    <xf numFmtId="0" fontId="4" fillId="0" borderId="24" xfId="0" applyNumberFormat="1" applyFont="1" applyFill="1" applyBorder="1" applyAlignment="1" applyProtection="1">
      <alignment horizontal="center"/>
    </xf>
    <xf numFmtId="0" fontId="4" fillId="10" borderId="49" xfId="0" applyNumberFormat="1" applyFont="1" applyFill="1" applyBorder="1" applyAlignment="1" applyProtection="1">
      <alignment horizontal="center"/>
    </xf>
    <xf numFmtId="0" fontId="4" fillId="10" borderId="41" xfId="0" applyNumberFormat="1" applyFont="1" applyFill="1" applyBorder="1" applyAlignment="1" applyProtection="1">
      <alignment horizontal="center"/>
    </xf>
    <xf numFmtId="0" fontId="4" fillId="10" borderId="17" xfId="0" applyNumberFormat="1" applyFont="1" applyFill="1" applyBorder="1" applyAlignment="1" applyProtection="1">
      <alignment horizontal="center"/>
    </xf>
    <xf numFmtId="170" fontId="4" fillId="10" borderId="30" xfId="0" applyNumberFormat="1" applyFont="1" applyFill="1" applyBorder="1" applyAlignment="1" applyProtection="1"/>
    <xf numFmtId="170" fontId="5" fillId="10" borderId="14" xfId="0" applyNumberFormat="1" applyFont="1" applyFill="1" applyBorder="1" applyAlignment="1" applyProtection="1"/>
    <xf numFmtId="170" fontId="4" fillId="10" borderId="41" xfId="0" applyNumberFormat="1" applyFont="1" applyFill="1" applyBorder="1" applyAlignment="1" applyProtection="1"/>
    <xf numFmtId="170" fontId="4" fillId="10" borderId="50" xfId="0" applyNumberFormat="1" applyFont="1" applyFill="1" applyBorder="1" applyAlignment="1" applyProtection="1"/>
    <xf numFmtId="0" fontId="5" fillId="10" borderId="17" xfId="0" applyNumberFormat="1" applyFont="1" applyFill="1" applyBorder="1" applyAlignment="1" applyProtection="1"/>
    <xf numFmtId="1" fontId="16" fillId="0" borderId="10" xfId="0" applyNumberFormat="1" applyFont="1" applyFill="1" applyBorder="1" applyAlignment="1" applyProtection="1">
      <alignment horizontal="right"/>
    </xf>
    <xf numFmtId="172" fontId="4" fillId="0" borderId="5" xfId="0" applyNumberFormat="1" applyFont="1" applyFill="1" applyBorder="1" applyAlignment="1" applyProtection="1">
      <alignment horizontal="center"/>
    </xf>
    <xf numFmtId="3" fontId="21" fillId="0" borderId="10" xfId="0" applyNumberFormat="1" applyFont="1" applyFill="1" applyBorder="1" applyAlignment="1" applyProtection="1">
      <alignment horizontal="right"/>
    </xf>
    <xf numFmtId="0" fontId="5" fillId="2" borderId="8" xfId="0" applyNumberFormat="1" applyFont="1" applyFill="1" applyBorder="1" applyAlignment="1" applyProtection="1"/>
    <xf numFmtId="3" fontId="5" fillId="3" borderId="21" xfId="0" applyNumberFormat="1" applyFont="1" applyFill="1" applyBorder="1" applyAlignment="1" applyProtection="1"/>
    <xf numFmtId="170" fontId="8" fillId="0" borderId="14" xfId="0" applyNumberFormat="1" applyFont="1" applyFill="1" applyBorder="1"/>
    <xf numFmtId="3" fontId="26" fillId="0" borderId="37" xfId="0" applyNumberFormat="1" applyFont="1" applyBorder="1"/>
    <xf numFmtId="3" fontId="26" fillId="0" borderId="10" xfId="0" applyNumberFormat="1" applyFont="1" applyBorder="1"/>
    <xf numFmtId="3" fontId="26" fillId="0" borderId="47" xfId="0" applyNumberFormat="1" applyFont="1" applyBorder="1"/>
    <xf numFmtId="3" fontId="26" fillId="2" borderId="14" xfId="0" applyNumberFormat="1" applyFont="1" applyFill="1" applyBorder="1"/>
    <xf numFmtId="3" fontId="26" fillId="0" borderId="14" xfId="0" applyNumberFormat="1" applyFont="1" applyFill="1" applyBorder="1"/>
    <xf numFmtId="4" fontId="5" fillId="0" borderId="10" xfId="0" applyNumberFormat="1" applyFont="1" applyFill="1" applyBorder="1" applyAlignment="1" applyProtection="1">
      <alignment horizontal="right"/>
    </xf>
    <xf numFmtId="3" fontId="0" fillId="0" borderId="51" xfId="0" applyNumberFormat="1" applyFill="1" applyBorder="1"/>
    <xf numFmtId="170" fontId="6" fillId="0" borderId="45" xfId="0" applyNumberFormat="1" applyFont="1" applyFill="1" applyBorder="1"/>
    <xf numFmtId="0" fontId="4" fillId="0" borderId="35" xfId="0" applyNumberFormat="1" applyFont="1" applyFill="1" applyBorder="1" applyAlignment="1" applyProtection="1"/>
    <xf numFmtId="0" fontId="4" fillId="0" borderId="55" xfId="0" applyNumberFormat="1" applyFont="1" applyFill="1" applyBorder="1" applyAlignment="1" applyProtection="1">
      <alignment horizontal="left"/>
    </xf>
    <xf numFmtId="3" fontId="21" fillId="9" borderId="8" xfId="0" applyNumberFormat="1" applyFont="1" applyFill="1" applyBorder="1" applyAlignment="1" applyProtection="1">
      <alignment horizontal="left"/>
    </xf>
    <xf numFmtId="3" fontId="6" fillId="9" borderId="9" xfId="0" applyNumberFormat="1" applyFont="1" applyFill="1" applyBorder="1" applyAlignment="1" applyProtection="1"/>
    <xf numFmtId="0" fontId="5" fillId="0" borderId="35" xfId="0" applyFont="1" applyFill="1" applyBorder="1"/>
    <xf numFmtId="0" fontId="4" fillId="0" borderId="13" xfId="0" applyNumberFormat="1" applyFont="1" applyFill="1" applyBorder="1" applyAlignment="1" applyProtection="1">
      <alignment horizontal="center"/>
    </xf>
    <xf numFmtId="0" fontId="4" fillId="0" borderId="35" xfId="0" applyNumberFormat="1" applyFont="1" applyFill="1" applyBorder="1" applyAlignment="1" applyProtection="1">
      <alignment horizontal="center"/>
    </xf>
    <xf numFmtId="0" fontId="4" fillId="0" borderId="57" xfId="0" applyNumberFormat="1" applyFont="1" applyFill="1" applyBorder="1" applyAlignment="1" applyProtection="1">
      <alignment horizontal="center"/>
    </xf>
    <xf numFmtId="0" fontId="4" fillId="0" borderId="58" xfId="0" applyNumberFormat="1" applyFont="1" applyFill="1" applyBorder="1" applyAlignment="1" applyProtection="1"/>
    <xf numFmtId="0" fontId="5" fillId="0" borderId="15" xfId="0" applyNumberFormat="1" applyFont="1" applyFill="1" applyBorder="1" applyAlignment="1" applyProtection="1"/>
    <xf numFmtId="0" fontId="5" fillId="2" borderId="35" xfId="0" applyNumberFormat="1" applyFont="1" applyFill="1" applyBorder="1" applyAlignment="1" applyProtection="1"/>
    <xf numFmtId="0" fontId="4" fillId="0" borderId="15" xfId="0" applyNumberFormat="1" applyFont="1" applyFill="1" applyBorder="1" applyAlignment="1" applyProtection="1"/>
    <xf numFmtId="0" fontId="5" fillId="4" borderId="21" xfId="0" applyNumberFormat="1" applyFont="1" applyFill="1" applyBorder="1" applyAlignment="1" applyProtection="1"/>
    <xf numFmtId="3" fontId="5" fillId="2" borderId="22" xfId="0" applyNumberFormat="1" applyFont="1" applyFill="1" applyBorder="1" applyAlignment="1" applyProtection="1"/>
    <xf numFmtId="171" fontId="4" fillId="0" borderId="54" xfId="0" applyNumberFormat="1" applyFont="1" applyFill="1" applyBorder="1" applyAlignment="1" applyProtection="1">
      <alignment horizontal="center"/>
    </xf>
    <xf numFmtId="171" fontId="4" fillId="0" borderId="35" xfId="0" applyNumberFormat="1" applyFont="1" applyFill="1" applyBorder="1" applyAlignment="1" applyProtection="1">
      <alignment horizontal="center"/>
    </xf>
    <xf numFmtId="171" fontId="4" fillId="0" borderId="57" xfId="0" applyNumberFormat="1" applyFont="1" applyFill="1" applyBorder="1" applyAlignment="1" applyProtection="1">
      <alignment horizontal="center"/>
    </xf>
    <xf numFmtId="171" fontId="4" fillId="0" borderId="56" xfId="0" applyNumberFormat="1" applyFont="1" applyFill="1" applyBorder="1" applyAlignment="1" applyProtection="1"/>
    <xf numFmtId="171" fontId="5" fillId="0" borderId="35" xfId="0" applyNumberFormat="1" applyFont="1" applyFill="1" applyBorder="1" applyAlignment="1" applyProtection="1"/>
    <xf numFmtId="171" fontId="4" fillId="0" borderId="58" xfId="0" applyNumberFormat="1" applyFont="1" applyFill="1" applyBorder="1" applyAlignment="1" applyProtection="1"/>
    <xf numFmtId="171" fontId="5" fillId="0" borderId="15" xfId="0" applyNumberFormat="1" applyFont="1" applyFill="1" applyBorder="1" applyAlignment="1" applyProtection="1"/>
    <xf numFmtId="171" fontId="4" fillId="0" borderId="35" xfId="0" applyNumberFormat="1" applyFont="1" applyFill="1" applyBorder="1" applyAlignment="1" applyProtection="1"/>
    <xf numFmtId="3" fontId="4" fillId="0" borderId="26" xfId="0" applyNumberFormat="1" applyFont="1" applyFill="1" applyBorder="1" applyAlignment="1" applyProtection="1"/>
    <xf numFmtId="0" fontId="4" fillId="0" borderId="28" xfId="0" applyNumberFormat="1" applyFont="1" applyFill="1" applyBorder="1" applyAlignment="1" applyProtection="1">
      <alignment horizontal="center"/>
    </xf>
    <xf numFmtId="0" fontId="8" fillId="0" borderId="8" xfId="0" applyFont="1" applyBorder="1"/>
    <xf numFmtId="0" fontId="8" fillId="0" borderId="6" xfId="0" applyFont="1" applyBorder="1"/>
    <xf numFmtId="0" fontId="5" fillId="5" borderId="9" xfId="0" applyFont="1" applyFill="1" applyBorder="1"/>
    <xf numFmtId="0" fontId="5" fillId="5" borderId="21" xfId="0" applyFont="1" applyFill="1" applyBorder="1"/>
    <xf numFmtId="0" fontId="5" fillId="0" borderId="4" xfId="0" applyNumberFormat="1" applyFont="1" applyFill="1" applyBorder="1" applyAlignment="1" applyProtection="1"/>
    <xf numFmtId="0" fontId="5" fillId="0" borderId="10" xfId="0" applyFont="1" applyFill="1" applyBorder="1"/>
    <xf numFmtId="3" fontId="5" fillId="0" borderId="0" xfId="0" applyNumberFormat="1" applyFont="1" applyFill="1"/>
    <xf numFmtId="4" fontId="7" fillId="0" borderId="0" xfId="0" applyNumberFormat="1" applyFont="1" applyFill="1"/>
    <xf numFmtId="3" fontId="5" fillId="0" borderId="7" xfId="0" applyNumberFormat="1" applyFont="1" applyFill="1" applyBorder="1" applyAlignment="1" applyProtection="1">
      <alignment horizontal="right"/>
    </xf>
    <xf numFmtId="172" fontId="4" fillId="0" borderId="16" xfId="0" applyNumberFormat="1" applyFont="1" applyFill="1" applyBorder="1" applyAlignment="1" applyProtection="1">
      <alignment horizontal="center"/>
    </xf>
    <xf numFmtId="4" fontId="16" fillId="0" borderId="0" xfId="0" applyNumberFormat="1" applyFont="1" applyFill="1"/>
    <xf numFmtId="164" fontId="10" fillId="0" borderId="35" xfId="0" applyNumberFormat="1" applyFont="1" applyFill="1" applyBorder="1" applyAlignment="1" applyProtection="1">
      <alignment horizontal="right"/>
    </xf>
    <xf numFmtId="171" fontId="16" fillId="0" borderId="0" xfId="0" applyNumberFormat="1" applyFont="1"/>
    <xf numFmtId="49" fontId="4" fillId="0" borderId="31" xfId="0" applyNumberFormat="1" applyFont="1" applyFill="1" applyBorder="1" applyAlignment="1" applyProtection="1">
      <alignment horizontal="center"/>
    </xf>
    <xf numFmtId="3" fontId="0" fillId="0" borderId="52" xfId="0" applyNumberFormat="1" applyFill="1" applyBorder="1"/>
    <xf numFmtId="3" fontId="16" fillId="0" borderId="53" xfId="0" applyNumberFormat="1" applyFont="1" applyFill="1" applyBorder="1"/>
    <xf numFmtId="3" fontId="0" fillId="0" borderId="45" xfId="0" applyNumberFormat="1" applyFill="1" applyBorder="1"/>
    <xf numFmtId="0" fontId="4" fillId="3" borderId="6" xfId="0" applyNumberFormat="1" applyFont="1" applyFill="1" applyBorder="1" applyAlignment="1" applyProtection="1">
      <alignment horizontal="center"/>
    </xf>
    <xf numFmtId="4" fontId="3" fillId="0" borderId="0" xfId="0" applyNumberFormat="1" applyFont="1"/>
    <xf numFmtId="1" fontId="5" fillId="3" borderId="8" xfId="0" applyNumberFormat="1" applyFont="1" applyFill="1" applyBorder="1" applyAlignment="1" applyProtection="1"/>
    <xf numFmtId="3" fontId="0" fillId="0" borderId="0" xfId="0" applyNumberFormat="1"/>
    <xf numFmtId="3" fontId="16" fillId="0" borderId="10" xfId="0" applyNumberFormat="1" applyFont="1" applyBorder="1" applyAlignment="1">
      <alignment horizontal="right"/>
    </xf>
    <xf numFmtId="3" fontId="6" fillId="0" borderId="8" xfId="0" applyNumberFormat="1" applyFont="1" applyFill="1" applyBorder="1" applyAlignment="1" applyProtection="1"/>
    <xf numFmtId="0" fontId="28" fillId="0" borderId="21" xfId="0" applyNumberFormat="1" applyFont="1" applyFill="1" applyBorder="1" applyAlignment="1" applyProtection="1"/>
    <xf numFmtId="0" fontId="28" fillId="0" borderId="12" xfId="0" applyNumberFormat="1" applyFont="1" applyFill="1" applyBorder="1" applyAlignment="1" applyProtection="1"/>
    <xf numFmtId="0" fontId="28" fillId="3" borderId="21" xfId="0" applyNumberFormat="1" applyFont="1" applyFill="1" applyBorder="1" applyAlignment="1" applyProtection="1"/>
    <xf numFmtId="0" fontId="28" fillId="3" borderId="22" xfId="0" applyNumberFormat="1" applyFont="1" applyFill="1" applyBorder="1" applyAlignment="1" applyProtection="1"/>
    <xf numFmtId="171" fontId="28" fillId="0" borderId="15" xfId="0" applyNumberFormat="1" applyFont="1" applyFill="1" applyBorder="1" applyAlignment="1" applyProtection="1"/>
    <xf numFmtId="0" fontId="28" fillId="5" borderId="21" xfId="0" applyFont="1" applyFill="1" applyBorder="1"/>
    <xf numFmtId="3" fontId="28" fillId="5" borderId="22" xfId="0" applyNumberFormat="1" applyFont="1" applyFill="1" applyBorder="1" applyAlignment="1" applyProtection="1"/>
    <xf numFmtId="0" fontId="28" fillId="0" borderId="0" xfId="0" applyFont="1" applyFill="1"/>
    <xf numFmtId="0" fontId="28" fillId="0" borderId="0" xfId="0" applyFont="1"/>
    <xf numFmtId="0" fontId="5" fillId="11" borderId="35" xfId="0" applyNumberFormat="1" applyFont="1" applyFill="1" applyBorder="1" applyAlignment="1" applyProtection="1"/>
    <xf numFmtId="174" fontId="16" fillId="0" borderId="0" xfId="0" applyNumberFormat="1" applyFont="1"/>
    <xf numFmtId="4" fontId="6" fillId="0" borderId="0" xfId="0" applyNumberFormat="1" applyFont="1" applyFill="1" applyBorder="1" applyAlignment="1"/>
    <xf numFmtId="4" fontId="5" fillId="0" borderId="0" xfId="0" applyNumberFormat="1" applyFont="1" applyFill="1" applyBorder="1" applyAlignment="1" applyProtection="1"/>
    <xf numFmtId="4" fontId="0" fillId="0" borderId="0" xfId="0" applyNumberFormat="1" applyFill="1" applyBorder="1" applyAlignment="1"/>
    <xf numFmtId="3" fontId="5" fillId="0" borderId="40" xfId="0" applyNumberFormat="1" applyFont="1" applyFill="1" applyBorder="1" applyAlignment="1" applyProtection="1"/>
    <xf numFmtId="1" fontId="5" fillId="0" borderId="10" xfId="0" applyNumberFormat="1" applyFont="1" applyFill="1" applyBorder="1" applyAlignment="1" applyProtection="1"/>
    <xf numFmtId="175" fontId="4" fillId="0" borderId="10" xfId="0" applyNumberFormat="1" applyFont="1" applyFill="1" applyBorder="1"/>
    <xf numFmtId="4" fontId="5" fillId="0" borderId="0" xfId="0" applyNumberFormat="1" applyFont="1" applyFill="1"/>
    <xf numFmtId="0" fontId="5" fillId="0" borderId="7" xfId="0" applyNumberFormat="1" applyFont="1" applyFill="1" applyBorder="1" applyAlignment="1" applyProtection="1">
      <alignment horizontal="left"/>
    </xf>
    <xf numFmtId="0" fontId="7" fillId="0" borderId="0" xfId="0" applyFont="1"/>
    <xf numFmtId="0" fontId="5" fillId="0" borderId="13" xfId="0" applyNumberFormat="1" applyFont="1" applyFill="1" applyBorder="1" applyAlignment="1" applyProtection="1">
      <alignment horizontal="right"/>
    </xf>
    <xf numFmtId="169" fontId="9" fillId="0" borderId="10" xfId="0" applyNumberFormat="1" applyFont="1" applyFill="1" applyBorder="1" applyAlignment="1" applyProtection="1">
      <alignment horizontal="right"/>
    </xf>
    <xf numFmtId="169" fontId="10" fillId="0" borderId="10" xfId="0" applyNumberFormat="1" applyFont="1" applyFill="1" applyBorder="1" applyAlignment="1" applyProtection="1">
      <alignment horizontal="right"/>
    </xf>
    <xf numFmtId="175" fontId="5" fillId="0" borderId="0" xfId="0" applyNumberFormat="1" applyFont="1" applyFill="1"/>
    <xf numFmtId="0" fontId="15" fillId="0" borderId="0" xfId="0" applyFont="1"/>
    <xf numFmtId="0" fontId="7" fillId="0" borderId="34" xfId="0" applyFont="1" applyBorder="1"/>
    <xf numFmtId="14" fontId="26" fillId="0" borderId="51" xfId="0" applyNumberFormat="1" applyFont="1" applyBorder="1"/>
    <xf numFmtId="0" fontId="0" fillId="3" borderId="52" xfId="0" applyFill="1" applyBorder="1"/>
    <xf numFmtId="3" fontId="16" fillId="0" borderId="51" xfId="0" applyNumberFormat="1" applyFont="1" applyFill="1" applyBorder="1" applyAlignment="1">
      <alignment horizontal="right"/>
    </xf>
    <xf numFmtId="0" fontId="0" fillId="3" borderId="43" xfId="0" applyFill="1" applyBorder="1"/>
    <xf numFmtId="3" fontId="0" fillId="0" borderId="48" xfId="0" applyNumberFormat="1" applyFill="1" applyBorder="1"/>
    <xf numFmtId="0" fontId="11" fillId="3" borderId="32" xfId="0" applyNumberFormat="1" applyFont="1" applyFill="1" applyBorder="1" applyAlignment="1" applyProtection="1"/>
    <xf numFmtId="0" fontId="12" fillId="3" borderId="61" xfId="0" applyNumberFormat="1" applyFont="1" applyFill="1" applyBorder="1" applyAlignment="1" applyProtection="1"/>
    <xf numFmtId="0" fontId="12" fillId="3" borderId="13" xfId="0" applyNumberFormat="1" applyFont="1" applyFill="1" applyBorder="1" applyAlignment="1" applyProtection="1"/>
    <xf numFmtId="164" fontId="12" fillId="3" borderId="13" xfId="0" applyNumberFormat="1" applyFont="1" applyFill="1" applyBorder="1" applyAlignment="1" applyProtection="1"/>
    <xf numFmtId="3" fontId="9" fillId="3" borderId="13" xfId="0" applyNumberFormat="1" applyFont="1" applyFill="1" applyBorder="1" applyAlignment="1" applyProtection="1">
      <alignment horizontal="right"/>
    </xf>
    <xf numFmtId="4" fontId="10" fillId="3" borderId="39" xfId="0" applyNumberFormat="1" applyFont="1" applyFill="1" applyBorder="1" applyAlignment="1" applyProtection="1">
      <alignment horizontal="right"/>
    </xf>
    <xf numFmtId="172" fontId="4" fillId="0" borderId="5" xfId="0" applyNumberFormat="1" applyFont="1" applyFill="1" applyBorder="1" applyAlignment="1" applyProtection="1">
      <alignment horizontal="right"/>
    </xf>
    <xf numFmtId="0" fontId="0" fillId="0" borderId="28" xfId="0" applyBorder="1"/>
    <xf numFmtId="0" fontId="30" fillId="0" borderId="62" xfId="0" applyFont="1" applyBorder="1"/>
    <xf numFmtId="0" fontId="7" fillId="0" borderId="62" xfId="0" applyFont="1" applyBorder="1"/>
    <xf numFmtId="0" fontId="0" fillId="0" borderId="62" xfId="0" applyBorder="1"/>
    <xf numFmtId="3" fontId="0" fillId="0" borderId="62" xfId="0" applyNumberFormat="1" applyBorder="1"/>
    <xf numFmtId="0" fontId="7" fillId="0" borderId="29" xfId="0" applyFont="1" applyBorder="1"/>
    <xf numFmtId="0" fontId="7" fillId="0" borderId="0" xfId="0" applyFont="1" applyAlignment="1">
      <alignment horizontal="right"/>
    </xf>
    <xf numFmtId="0" fontId="0" fillId="0" borderId="0" xfId="0" applyFill="1" applyBorder="1"/>
    <xf numFmtId="0" fontId="6" fillId="3" borderId="0" xfId="0" applyFont="1" applyFill="1" applyBorder="1"/>
    <xf numFmtId="0" fontId="4" fillId="0" borderId="2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14" fontId="26" fillId="0" borderId="52" xfId="0" applyNumberFormat="1" applyFont="1" applyBorder="1"/>
    <xf numFmtId="14" fontId="26" fillId="0" borderId="63" xfId="0" applyNumberFormat="1" applyFont="1" applyBorder="1"/>
    <xf numFmtId="3" fontId="0" fillId="0" borderId="63" xfId="0" applyNumberFormat="1" applyFill="1" applyBorder="1"/>
    <xf numFmtId="3" fontId="16" fillId="0" borderId="48" xfId="0" applyNumberFormat="1" applyFont="1" applyFill="1" applyBorder="1" applyAlignment="1">
      <alignment horizontal="right"/>
    </xf>
    <xf numFmtId="3" fontId="0" fillId="0" borderId="43" xfId="0" applyNumberFormat="1" applyFill="1" applyBorder="1"/>
    <xf numFmtId="3" fontId="0" fillId="0" borderId="44" xfId="0" applyNumberFormat="1" applyFill="1" applyBorder="1" applyAlignment="1">
      <alignment horizontal="right"/>
    </xf>
    <xf numFmtId="168" fontId="16" fillId="0" borderId="0" xfId="0" applyNumberFormat="1" applyFont="1" applyFill="1" applyBorder="1"/>
    <xf numFmtId="4" fontId="16" fillId="0" borderId="0" xfId="0" applyNumberFormat="1" applyFont="1" applyFill="1" applyBorder="1"/>
    <xf numFmtId="173" fontId="16" fillId="0" borderId="0" xfId="0" applyNumberFormat="1" applyFont="1" applyFill="1"/>
    <xf numFmtId="0" fontId="7" fillId="0" borderId="33" xfId="0" applyFont="1" applyFill="1" applyBorder="1" applyAlignment="1">
      <alignment horizontal="center"/>
    </xf>
    <xf numFmtId="0" fontId="0" fillId="0" borderId="51" xfId="0" applyFill="1" applyBorder="1"/>
    <xf numFmtId="3" fontId="7" fillId="0" borderId="51" xfId="0" applyNumberFormat="1" applyFont="1" applyFill="1" applyBorder="1"/>
    <xf numFmtId="0" fontId="4" fillId="3" borderId="59" xfId="0" applyNumberFormat="1" applyFont="1" applyFill="1" applyBorder="1" applyAlignment="1" applyProtection="1">
      <alignment horizontal="center"/>
    </xf>
    <xf numFmtId="0" fontId="0" fillId="3" borderId="60" xfId="0" applyFill="1" applyBorder="1" applyAlignment="1">
      <alignment horizontal="center"/>
    </xf>
    <xf numFmtId="0" fontId="26" fillId="0" borderId="28" xfId="0" applyFont="1" applyBorder="1" applyAlignment="1">
      <alignment horizontal="center"/>
    </xf>
    <xf numFmtId="0" fontId="26" fillId="0" borderId="33" xfId="0" applyFont="1" applyBorder="1" applyAlignment="1">
      <alignment horizontal="center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26" fillId="0" borderId="55" xfId="0" applyFont="1" applyBorder="1" applyAlignment="1">
      <alignment horizontal="center"/>
    </xf>
  </cellXfs>
  <cellStyles count="3">
    <cellStyle name="Normální" xfId="0" builtinId="0"/>
    <cellStyle name="Normální 2" xfId="1"/>
    <cellStyle name="Procenta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/>
  <dimension ref="A1:I66"/>
  <sheetViews>
    <sheetView tabSelected="1" workbookViewId="0">
      <selection activeCell="N23" sqref="N23"/>
    </sheetView>
  </sheetViews>
  <sheetFormatPr defaultColWidth="7.85546875" defaultRowHeight="12.75" x14ac:dyDescent="0.2"/>
  <cols>
    <col min="1" max="1" width="7.42578125" style="86" customWidth="1"/>
    <col min="2" max="2" width="22.85546875" style="86" customWidth="1"/>
    <col min="3" max="3" width="9.28515625" style="94" customWidth="1"/>
    <col min="4" max="4" width="9.42578125" style="86" customWidth="1"/>
    <col min="5" max="5" width="10.7109375" style="104" customWidth="1"/>
    <col min="6" max="6" width="9.28515625" style="86" customWidth="1"/>
    <col min="7" max="7" width="10.28515625" style="86" customWidth="1"/>
    <col min="8" max="8" width="6.85546875" style="86" customWidth="1"/>
    <col min="9" max="9" width="16" style="86" customWidth="1"/>
    <col min="10" max="16384" width="7.85546875" style="86"/>
  </cols>
  <sheetData>
    <row r="1" spans="1:9" s="1" customFormat="1" ht="18" x14ac:dyDescent="0.25">
      <c r="B1" s="96" t="s">
        <v>488</v>
      </c>
      <c r="C1" s="2"/>
      <c r="E1" s="179"/>
    </row>
    <row r="2" spans="1:9" s="1" customFormat="1" ht="15.75" x14ac:dyDescent="0.25">
      <c r="B2" s="149" t="s">
        <v>393</v>
      </c>
      <c r="C2" s="148"/>
      <c r="D2" s="148"/>
      <c r="E2" s="180"/>
      <c r="F2" s="148"/>
      <c r="G2" s="148"/>
      <c r="H2" s="148"/>
      <c r="I2" s="148"/>
    </row>
    <row r="3" spans="1:9" s="1" customFormat="1" ht="15.75" x14ac:dyDescent="0.25">
      <c r="B3" s="149" t="s">
        <v>394</v>
      </c>
      <c r="C3" s="148"/>
      <c r="D3" s="148"/>
      <c r="E3" s="180"/>
      <c r="F3" s="148"/>
      <c r="G3" s="148"/>
      <c r="H3" s="148"/>
      <c r="I3" s="148"/>
    </row>
    <row r="4" spans="1:9" s="1" customFormat="1" ht="15.75" x14ac:dyDescent="0.25">
      <c r="B4" s="149" t="s">
        <v>395</v>
      </c>
      <c r="C4" s="148"/>
      <c r="D4" s="148"/>
      <c r="E4" s="180"/>
      <c r="F4" s="148"/>
      <c r="G4" s="148"/>
      <c r="H4" s="148"/>
      <c r="I4" s="148"/>
    </row>
    <row r="5" spans="1:9" s="1" customFormat="1" ht="15.75" x14ac:dyDescent="0.25">
      <c r="B5" s="149" t="s">
        <v>396</v>
      </c>
      <c r="C5" s="2"/>
      <c r="E5" s="180"/>
      <c r="F5" s="148"/>
      <c r="G5" s="148"/>
      <c r="H5" s="148"/>
      <c r="I5" s="148"/>
    </row>
    <row r="6" spans="1:9" ht="13.5" thickBot="1" x14ac:dyDescent="0.25">
      <c r="B6" s="3" t="s">
        <v>144</v>
      </c>
      <c r="I6" s="121"/>
    </row>
    <row r="7" spans="1:9" s="3" customFormat="1" x14ac:dyDescent="0.2">
      <c r="A7" s="186"/>
      <c r="B7" s="4"/>
      <c r="C7" s="5" t="s">
        <v>2</v>
      </c>
      <c r="D7" s="147" t="s">
        <v>127</v>
      </c>
      <c r="E7" s="181" t="s">
        <v>98</v>
      </c>
      <c r="F7" s="6" t="s">
        <v>4</v>
      </c>
      <c r="G7" s="71" t="s">
        <v>5</v>
      </c>
      <c r="H7" s="6" t="s">
        <v>4</v>
      </c>
      <c r="I7" s="458" t="s">
        <v>382</v>
      </c>
    </row>
    <row r="8" spans="1:9" s="3" customFormat="1" ht="13.5" thickBot="1" x14ac:dyDescent="0.25">
      <c r="A8" s="187"/>
      <c r="B8" s="7"/>
      <c r="C8" s="8">
        <v>2018</v>
      </c>
      <c r="D8" s="8">
        <v>2018</v>
      </c>
      <c r="E8" s="182" t="s">
        <v>93</v>
      </c>
      <c r="F8" s="74"/>
      <c r="G8" s="72" t="s">
        <v>379</v>
      </c>
      <c r="H8" s="9" t="s">
        <v>6</v>
      </c>
      <c r="I8" s="459" t="s">
        <v>383</v>
      </c>
    </row>
    <row r="9" spans="1:9" x14ac:dyDescent="0.2">
      <c r="A9" s="188"/>
      <c r="B9" s="93" t="s">
        <v>7</v>
      </c>
      <c r="C9" s="10">
        <f>příjmy!F149</f>
        <v>91121</v>
      </c>
      <c r="D9" s="17">
        <f>+příjmy!G149</f>
        <v>0</v>
      </c>
      <c r="E9" s="196">
        <f>SUM(C9:D9)</f>
        <v>91121</v>
      </c>
      <c r="F9" s="75">
        <f>C9/C13</f>
        <v>0.57969806663400913</v>
      </c>
      <c r="G9" s="10">
        <f>+příjmy!I149</f>
        <v>95464.905759999994</v>
      </c>
      <c r="H9" s="11">
        <f t="shared" ref="H9:H16" si="0">G9/$E9*100</f>
        <v>104.767184030026</v>
      </c>
      <c r="I9" s="202">
        <f t="shared" ref="I9:I16" si="1">G9-E9</f>
        <v>4343.9057599999942</v>
      </c>
    </row>
    <row r="10" spans="1:9" x14ac:dyDescent="0.2">
      <c r="A10" s="188"/>
      <c r="B10" s="93" t="s">
        <v>8</v>
      </c>
      <c r="C10" s="10">
        <f>příjmy!F150</f>
        <v>27406</v>
      </c>
      <c r="D10" s="17">
        <f>+příjmy!G150</f>
        <v>2399.9128100000003</v>
      </c>
      <c r="E10" s="196">
        <f>SUM(C10:D10)</f>
        <v>29805.912810000002</v>
      </c>
      <c r="F10" s="75">
        <f>C10/C13</f>
        <v>0.17435284088378811</v>
      </c>
      <c r="G10" s="10">
        <f>+příjmy!I150</f>
        <v>30140.540660000002</v>
      </c>
      <c r="H10" s="11">
        <f t="shared" si="0"/>
        <v>101.12268948826735</v>
      </c>
      <c r="I10" s="202">
        <f t="shared" si="1"/>
        <v>334.62785000000076</v>
      </c>
    </row>
    <row r="11" spans="1:9" x14ac:dyDescent="0.2">
      <c r="A11" s="188"/>
      <c r="B11" s="93" t="s">
        <v>9</v>
      </c>
      <c r="C11" s="10">
        <f>příjmy!F153</f>
        <v>8150</v>
      </c>
      <c r="D11" s="17">
        <f>+příjmy!G153</f>
        <v>0</v>
      </c>
      <c r="E11" s="196">
        <f>SUM(C11:D11)</f>
        <v>8150</v>
      </c>
      <c r="F11" s="75">
        <f>C11/C13</f>
        <v>5.1849071488100161E-2</v>
      </c>
      <c r="G11" s="10">
        <f>+příjmy!I153</f>
        <v>2792.8789999999999</v>
      </c>
      <c r="H11" s="11">
        <f t="shared" si="0"/>
        <v>34.268453987730055</v>
      </c>
      <c r="I11" s="202">
        <f t="shared" si="1"/>
        <v>-5357.1210000000001</v>
      </c>
    </row>
    <row r="12" spans="1:9" x14ac:dyDescent="0.2">
      <c r="A12" s="188"/>
      <c r="B12" s="93" t="s">
        <v>10</v>
      </c>
      <c r="C12" s="10">
        <f>příjmy!F151+příjmy!F154</f>
        <v>30510</v>
      </c>
      <c r="D12" s="17">
        <f>+příjmy!G151+příjmy!G154</f>
        <v>28103.721390000002</v>
      </c>
      <c r="E12" s="196">
        <f>SUM(C12:D12)</f>
        <v>58613.721390000006</v>
      </c>
      <c r="F12" s="75">
        <f>C12/C13</f>
        <v>0.19410002099410256</v>
      </c>
      <c r="G12" s="10">
        <f>+příjmy!I151+příjmy!I154</f>
        <v>58635.214870000011</v>
      </c>
      <c r="H12" s="11">
        <f t="shared" si="0"/>
        <v>100.03666970717828</v>
      </c>
      <c r="I12" s="202">
        <f t="shared" si="1"/>
        <v>21.493480000004638</v>
      </c>
    </row>
    <row r="13" spans="1:9" s="3" customFormat="1" x14ac:dyDescent="0.2">
      <c r="A13" s="189"/>
      <c r="B13" s="12" t="s">
        <v>11</v>
      </c>
      <c r="C13" s="13">
        <f>SUM(C9:C12)</f>
        <v>157187</v>
      </c>
      <c r="D13" s="83">
        <f>SUM(D9:D12)</f>
        <v>30503.634200000004</v>
      </c>
      <c r="E13" s="197">
        <f>SUM(E9:E12)</f>
        <v>187690.63420000003</v>
      </c>
      <c r="F13" s="76">
        <f>SUM(F9:F12)</f>
        <v>1</v>
      </c>
      <c r="G13" s="13">
        <f>SUM(G9:G12)</f>
        <v>187033.54029</v>
      </c>
      <c r="H13" s="14">
        <f t="shared" si="0"/>
        <v>99.649905860886037</v>
      </c>
      <c r="I13" s="203">
        <f t="shared" si="1"/>
        <v>-657.09391000002506</v>
      </c>
    </row>
    <row r="14" spans="1:9" x14ac:dyDescent="0.2">
      <c r="A14" s="188"/>
      <c r="B14" s="93" t="s">
        <v>12</v>
      </c>
      <c r="C14" s="10">
        <f>+výdaje!E120</f>
        <v>141863</v>
      </c>
      <c r="D14" s="17">
        <f>+výdaje!H120</f>
        <v>10977.958250000001</v>
      </c>
      <c r="E14" s="196">
        <f>SUM(C14:D14)</f>
        <v>152840.95825</v>
      </c>
      <c r="F14" s="75">
        <f>C14/C16</f>
        <v>0.66197393410264904</v>
      </c>
      <c r="G14" s="10">
        <f>+výdaje!M120</f>
        <v>141517.18680999998</v>
      </c>
      <c r="H14" s="11">
        <f t="shared" si="0"/>
        <v>92.59114077165242</v>
      </c>
      <c r="I14" s="202">
        <f t="shared" si="1"/>
        <v>-11323.771440000011</v>
      </c>
    </row>
    <row r="15" spans="1:9" x14ac:dyDescent="0.2">
      <c r="A15" s="188"/>
      <c r="B15" s="93" t="s">
        <v>13</v>
      </c>
      <c r="C15" s="10">
        <f>+výdaje!F120</f>
        <v>72440</v>
      </c>
      <c r="D15" s="17">
        <f>+výdaje!I120</f>
        <v>17909.375950000001</v>
      </c>
      <c r="E15" s="196">
        <f>SUM(C15:D15)</f>
        <v>90349.375950000001</v>
      </c>
      <c r="F15" s="75">
        <f>C15/C16</f>
        <v>0.33802606589735096</v>
      </c>
      <c r="G15" s="10">
        <f>+výdaje!N120</f>
        <v>78477.21060000002</v>
      </c>
      <c r="H15" s="11">
        <f t="shared" si="0"/>
        <v>86.859715161098478</v>
      </c>
      <c r="I15" s="202">
        <f t="shared" si="1"/>
        <v>-11872.165349999981</v>
      </c>
    </row>
    <row r="16" spans="1:9" s="3" customFormat="1" x14ac:dyDescent="0.2">
      <c r="A16" s="189"/>
      <c r="B16" s="12" t="s">
        <v>14</v>
      </c>
      <c r="C16" s="13">
        <f>SUM(C14:C15)</f>
        <v>214303</v>
      </c>
      <c r="D16" s="83">
        <f>SUM(D14:D15)</f>
        <v>28887.334200000005</v>
      </c>
      <c r="E16" s="197">
        <f>SUM(E14:E15)</f>
        <v>243190.33419999998</v>
      </c>
      <c r="F16" s="76">
        <v>1</v>
      </c>
      <c r="G16" s="13">
        <f>SUM(G14:G15)</f>
        <v>219994.39741000001</v>
      </c>
      <c r="H16" s="14">
        <f t="shared" si="0"/>
        <v>90.461817955756572</v>
      </c>
      <c r="I16" s="203">
        <f t="shared" si="1"/>
        <v>-23195.936789999978</v>
      </c>
    </row>
    <row r="17" spans="1:9" x14ac:dyDescent="0.2">
      <c r="A17" s="188"/>
      <c r="B17" s="93"/>
      <c r="C17" s="10"/>
      <c r="D17" s="84"/>
      <c r="E17" s="196"/>
      <c r="F17" s="77"/>
      <c r="G17" s="10"/>
      <c r="H17" s="14"/>
      <c r="I17" s="143"/>
    </row>
    <row r="18" spans="1:9" s="3" customFormat="1" x14ac:dyDescent="0.2">
      <c r="A18" s="189"/>
      <c r="B18" s="12" t="s">
        <v>15</v>
      </c>
      <c r="C18" s="13">
        <f>C13-C16</f>
        <v>-57116</v>
      </c>
      <c r="D18" s="13">
        <f>D13-D16</f>
        <v>1616.2999999999993</v>
      </c>
      <c r="E18" s="197">
        <f>E13-E16</f>
        <v>-55499.699999999953</v>
      </c>
      <c r="F18" s="78"/>
      <c r="G18" s="13">
        <f>G13-G16</f>
        <v>-32960.857120000001</v>
      </c>
      <c r="H18" s="11"/>
      <c r="I18" s="203">
        <f>G18-E18</f>
        <v>22538.842879999953</v>
      </c>
    </row>
    <row r="19" spans="1:9" x14ac:dyDescent="0.2">
      <c r="A19" s="188"/>
      <c r="B19" s="93"/>
      <c r="C19" s="10"/>
      <c r="D19" s="84"/>
      <c r="E19" s="196"/>
      <c r="F19" s="77"/>
      <c r="G19" s="10"/>
      <c r="H19" s="14"/>
      <c r="I19" s="143"/>
    </row>
    <row r="20" spans="1:9" s="3" customFormat="1" x14ac:dyDescent="0.2">
      <c r="A20" s="190" t="s">
        <v>16</v>
      </c>
      <c r="B20" s="12" t="s">
        <v>17</v>
      </c>
      <c r="C20" s="13"/>
      <c r="D20" s="85"/>
      <c r="E20" s="197"/>
      <c r="F20" s="78"/>
      <c r="G20" s="13"/>
      <c r="H20" s="14"/>
      <c r="I20" s="143"/>
    </row>
    <row r="21" spans="1:9" x14ac:dyDescent="0.2">
      <c r="A21" s="188">
        <v>8124</v>
      </c>
      <c r="B21" s="93" t="s">
        <v>397</v>
      </c>
      <c r="C21" s="142">
        <v>0</v>
      </c>
      <c r="D21" s="144">
        <v>-1616.3</v>
      </c>
      <c r="E21" s="196">
        <f>SUM(C21:D21)</f>
        <v>-1616.3</v>
      </c>
      <c r="F21" s="77"/>
      <c r="G21" s="10">
        <v>-1616.288</v>
      </c>
      <c r="H21" s="11">
        <f>G21/$E21*100</f>
        <v>99.99925756357112</v>
      </c>
      <c r="I21" s="230"/>
    </row>
    <row r="22" spans="1:9" x14ac:dyDescent="0.2">
      <c r="A22" s="191"/>
      <c r="B22" s="93"/>
      <c r="C22" s="142"/>
      <c r="D22" s="17"/>
      <c r="E22" s="196"/>
      <c r="F22" s="77"/>
      <c r="G22" s="10"/>
      <c r="H22" s="11"/>
      <c r="I22" s="224"/>
    </row>
    <row r="23" spans="1:9" x14ac:dyDescent="0.2">
      <c r="A23" s="188">
        <v>8113</v>
      </c>
      <c r="B23" s="93" t="s">
        <v>318</v>
      </c>
      <c r="C23" s="17"/>
      <c r="D23" s="17">
        <f>24000-24000</f>
        <v>0</v>
      </c>
      <c r="E23" s="196">
        <f>SUM(C23:D23)</f>
        <v>0</v>
      </c>
      <c r="F23" s="77"/>
      <c r="G23" s="17">
        <v>0</v>
      </c>
      <c r="H23" s="11"/>
      <c r="I23" s="143"/>
    </row>
    <row r="24" spans="1:9" x14ac:dyDescent="0.2">
      <c r="A24" s="188"/>
      <c r="B24" s="93"/>
      <c r="C24" s="18"/>
      <c r="D24" s="17"/>
      <c r="E24" s="196"/>
      <c r="F24" s="77"/>
      <c r="G24" s="18"/>
      <c r="H24" s="11"/>
      <c r="I24" s="143"/>
    </row>
    <row r="25" spans="1:9" x14ac:dyDescent="0.2">
      <c r="A25" s="188">
        <v>8115</v>
      </c>
      <c r="B25" s="93" t="s">
        <v>381</v>
      </c>
      <c r="C25" s="142">
        <v>57116</v>
      </c>
      <c r="D25" s="17"/>
      <c r="E25" s="196">
        <f>SUM(C25:D25)</f>
        <v>57116</v>
      </c>
      <c r="F25" s="77"/>
      <c r="G25" s="10">
        <v>57116</v>
      </c>
      <c r="H25" s="11">
        <f>G25/$E25*100</f>
        <v>100</v>
      </c>
      <c r="I25" s="143"/>
    </row>
    <row r="26" spans="1:9" x14ac:dyDescent="0.2">
      <c r="A26" s="188"/>
      <c r="B26" s="93"/>
      <c r="C26" s="10"/>
      <c r="D26" s="144"/>
      <c r="E26" s="196"/>
      <c r="F26" s="77"/>
      <c r="G26" s="10"/>
      <c r="H26" s="14"/>
      <c r="I26" s="143"/>
    </row>
    <row r="27" spans="1:9" x14ac:dyDescent="0.2">
      <c r="A27" s="188">
        <v>8115</v>
      </c>
      <c r="B27" s="12" t="s">
        <v>128</v>
      </c>
      <c r="C27" s="83">
        <f>-C21-C23+C29-C25-C22</f>
        <v>0</v>
      </c>
      <c r="D27" s="427">
        <f>-D21-D23+D29-D25-D22</f>
        <v>6.8212102632969618E-13</v>
      </c>
      <c r="E27" s="83">
        <f>-E21-E23+E29-E25-E22</f>
        <v>-4.3655745685100555E-11</v>
      </c>
      <c r="F27" s="77"/>
      <c r="G27" s="83">
        <f>-G21-G23+G29-G25-G22</f>
        <v>-22538.854879999999</v>
      </c>
      <c r="H27" s="77"/>
      <c r="I27" s="143"/>
    </row>
    <row r="28" spans="1:9" s="3" customFormat="1" x14ac:dyDescent="0.2">
      <c r="A28" s="189"/>
      <c r="B28" s="93"/>
      <c r="C28" s="13"/>
      <c r="D28" s="19"/>
      <c r="E28" s="198"/>
      <c r="F28" s="79"/>
      <c r="G28" s="13"/>
      <c r="H28" s="14"/>
      <c r="I28" s="143"/>
    </row>
    <row r="29" spans="1:9" ht="13.5" thickBot="1" x14ac:dyDescent="0.25">
      <c r="A29" s="192"/>
      <c r="B29" s="119" t="s">
        <v>18</v>
      </c>
      <c r="C29" s="73">
        <f>-C18</f>
        <v>57116</v>
      </c>
      <c r="D29" s="153">
        <f>-D18</f>
        <v>-1616.2999999999993</v>
      </c>
      <c r="E29" s="199">
        <f>-E18</f>
        <v>55499.699999999953</v>
      </c>
      <c r="F29" s="80"/>
      <c r="G29" s="73">
        <f>-G18</f>
        <v>32960.857120000001</v>
      </c>
      <c r="H29" s="20"/>
      <c r="I29" s="145"/>
    </row>
    <row r="30" spans="1:9" x14ac:dyDescent="0.2">
      <c r="C30" s="21"/>
      <c r="E30" s="60"/>
      <c r="F30" s="22"/>
      <c r="G30" s="22"/>
      <c r="H30" s="22"/>
    </row>
    <row r="31" spans="1:9" x14ac:dyDescent="0.2">
      <c r="B31" s="406"/>
      <c r="C31" s="61"/>
      <c r="D31" s="204"/>
      <c r="E31" s="204"/>
      <c r="F31" s="204"/>
      <c r="I31" s="204"/>
    </row>
    <row r="32" spans="1:9" x14ac:dyDescent="0.2">
      <c r="B32" s="339"/>
      <c r="C32" s="338"/>
      <c r="D32" s="421"/>
      <c r="E32" s="136"/>
    </row>
    <row r="33" spans="2:9" x14ac:dyDescent="0.2">
      <c r="B33" s="135"/>
      <c r="C33" s="294"/>
      <c r="D33" s="108"/>
      <c r="E33" s="136"/>
      <c r="F33" s="315"/>
      <c r="G33" s="108"/>
      <c r="H33" s="108"/>
      <c r="I33" s="108"/>
    </row>
    <row r="34" spans="2:9" x14ac:dyDescent="0.2">
      <c r="B34" s="316"/>
      <c r="C34" s="294"/>
      <c r="D34" s="108"/>
      <c r="E34" s="136"/>
      <c r="F34" s="315"/>
      <c r="G34" s="108"/>
      <c r="H34" s="108"/>
      <c r="I34" s="108"/>
    </row>
    <row r="35" spans="2:9" ht="15" customHeight="1" x14ac:dyDescent="0.2">
      <c r="B35" s="316"/>
      <c r="C35" s="89"/>
      <c r="D35" s="89"/>
      <c r="E35" s="394"/>
      <c r="F35" s="315"/>
      <c r="G35" s="108"/>
      <c r="H35" s="108"/>
      <c r="I35" s="108"/>
    </row>
    <row r="36" spans="2:9" x14ac:dyDescent="0.2">
      <c r="B36" s="316"/>
      <c r="C36" s="89"/>
      <c r="D36" s="89"/>
      <c r="E36" s="394"/>
      <c r="F36" s="315"/>
      <c r="G36" s="108"/>
      <c r="H36" s="108"/>
      <c r="I36" s="108"/>
    </row>
    <row r="37" spans="2:9" x14ac:dyDescent="0.2">
      <c r="B37" s="316"/>
      <c r="C37" s="428"/>
      <c r="D37" s="428"/>
      <c r="E37" s="434"/>
      <c r="F37" s="315"/>
      <c r="G37" s="108"/>
      <c r="H37" s="108"/>
      <c r="I37" s="108"/>
    </row>
    <row r="38" spans="2:9" x14ac:dyDescent="0.2">
      <c r="B38" s="316"/>
      <c r="C38" s="294"/>
      <c r="D38" s="108"/>
      <c r="E38" s="434"/>
      <c r="F38" s="315"/>
      <c r="G38" s="108"/>
      <c r="H38" s="108"/>
      <c r="I38" s="108"/>
    </row>
    <row r="39" spans="2:9" x14ac:dyDescent="0.2">
      <c r="B39" s="316"/>
      <c r="C39" s="294"/>
      <c r="D39" s="108"/>
      <c r="E39" s="434"/>
      <c r="F39" s="315"/>
      <c r="G39" s="108"/>
      <c r="H39" s="108"/>
      <c r="I39" s="108"/>
    </row>
    <row r="40" spans="2:9" x14ac:dyDescent="0.2">
      <c r="B40" s="316"/>
      <c r="C40" s="294"/>
      <c r="D40" s="108"/>
      <c r="E40" s="136"/>
      <c r="F40" s="315"/>
      <c r="G40" s="108"/>
      <c r="H40" s="108"/>
      <c r="I40" s="108"/>
    </row>
    <row r="41" spans="2:9" x14ac:dyDescent="0.2">
      <c r="B41" s="316"/>
      <c r="C41" s="294"/>
      <c r="D41" s="108"/>
      <c r="E41" s="136"/>
      <c r="F41" s="315"/>
      <c r="G41" s="108"/>
      <c r="H41" s="108"/>
      <c r="I41" s="108"/>
    </row>
    <row r="42" spans="2:9" x14ac:dyDescent="0.2">
      <c r="B42" s="316"/>
      <c r="C42" s="294"/>
      <c r="D42" s="108"/>
      <c r="E42" s="136"/>
      <c r="F42" s="315"/>
      <c r="G42" s="108"/>
      <c r="H42" s="108"/>
      <c r="I42" s="108"/>
    </row>
    <row r="43" spans="2:9" x14ac:dyDescent="0.2">
      <c r="B43" s="317"/>
      <c r="C43" s="294"/>
      <c r="D43" s="108"/>
      <c r="E43" s="136"/>
      <c r="F43" s="315"/>
      <c r="G43" s="108"/>
      <c r="H43" s="108"/>
      <c r="I43" s="108"/>
    </row>
    <row r="44" spans="2:9" x14ac:dyDescent="0.2">
      <c r="B44" s="317"/>
      <c r="C44" s="294"/>
      <c r="D44" s="108"/>
      <c r="E44" s="136"/>
      <c r="F44" s="315"/>
      <c r="G44" s="108"/>
      <c r="H44" s="108"/>
      <c r="I44" s="108"/>
    </row>
    <row r="45" spans="2:9" x14ac:dyDescent="0.2">
      <c r="B45" s="316"/>
      <c r="C45" s="294"/>
      <c r="D45" s="108"/>
      <c r="E45" s="136"/>
      <c r="F45" s="315"/>
      <c r="G45" s="108"/>
      <c r="H45" s="108"/>
      <c r="I45" s="108"/>
    </row>
    <row r="46" spans="2:9" x14ac:dyDescent="0.2">
      <c r="B46" s="316"/>
      <c r="C46" s="294"/>
      <c r="D46" s="108"/>
      <c r="E46" s="136"/>
      <c r="F46" s="315"/>
      <c r="G46" s="108"/>
      <c r="H46" s="108"/>
      <c r="I46" s="108"/>
    </row>
    <row r="47" spans="2:9" x14ac:dyDescent="0.2">
      <c r="B47" s="316"/>
      <c r="C47" s="294"/>
      <c r="D47" s="108"/>
      <c r="E47" s="136"/>
      <c r="F47" s="315"/>
      <c r="G47" s="108"/>
      <c r="H47" s="108"/>
      <c r="I47" s="108"/>
    </row>
    <row r="48" spans="2:9" x14ac:dyDescent="0.2">
      <c r="B48" s="316"/>
      <c r="C48" s="294"/>
      <c r="D48" s="108"/>
      <c r="E48" s="136"/>
      <c r="F48" s="315"/>
      <c r="G48" s="108"/>
      <c r="H48" s="108"/>
      <c r="I48" s="108"/>
    </row>
    <row r="49" spans="2:9" x14ac:dyDescent="0.2">
      <c r="B49" s="316"/>
      <c r="C49" s="294"/>
      <c r="D49" s="108"/>
      <c r="E49" s="136"/>
      <c r="F49" s="315"/>
      <c r="G49" s="108"/>
      <c r="H49" s="108"/>
      <c r="I49" s="108"/>
    </row>
    <row r="50" spans="2:9" x14ac:dyDescent="0.2">
      <c r="B50" s="316"/>
      <c r="C50" s="294"/>
      <c r="D50" s="108"/>
      <c r="E50" s="136"/>
      <c r="F50" s="315"/>
      <c r="G50" s="108"/>
      <c r="H50" s="108"/>
      <c r="I50" s="108"/>
    </row>
    <row r="51" spans="2:9" x14ac:dyDescent="0.2">
      <c r="B51" s="316"/>
      <c r="C51" s="294"/>
      <c r="D51" s="108"/>
      <c r="E51" s="136"/>
      <c r="F51" s="315"/>
      <c r="G51" s="108"/>
      <c r="H51" s="108"/>
      <c r="I51" s="108"/>
    </row>
    <row r="52" spans="2:9" x14ac:dyDescent="0.2">
      <c r="B52" s="316"/>
      <c r="C52" s="294"/>
      <c r="D52" s="108"/>
      <c r="E52" s="136"/>
      <c r="F52" s="315"/>
      <c r="G52" s="108"/>
      <c r="H52" s="108"/>
      <c r="I52" s="108"/>
    </row>
    <row r="53" spans="2:9" x14ac:dyDescent="0.2">
      <c r="B53" s="316"/>
      <c r="C53" s="294"/>
      <c r="D53" s="108"/>
      <c r="E53" s="136"/>
      <c r="F53" s="315"/>
      <c r="G53" s="108"/>
      <c r="H53" s="108"/>
      <c r="I53" s="108"/>
    </row>
    <row r="54" spans="2:9" x14ac:dyDescent="0.2">
      <c r="B54" s="316"/>
      <c r="C54" s="294"/>
      <c r="D54" s="108"/>
      <c r="E54" s="136"/>
      <c r="F54" s="315"/>
      <c r="G54" s="108"/>
      <c r="H54" s="108"/>
      <c r="I54" s="108"/>
    </row>
    <row r="55" spans="2:9" x14ac:dyDescent="0.2">
      <c r="B55" s="316"/>
      <c r="C55" s="294"/>
      <c r="D55" s="108"/>
      <c r="E55" s="136"/>
      <c r="F55" s="315"/>
      <c r="G55" s="108"/>
      <c r="H55" s="108"/>
      <c r="I55" s="108"/>
    </row>
    <row r="56" spans="2:9" x14ac:dyDescent="0.2">
      <c r="B56" s="317"/>
      <c r="C56" s="294"/>
      <c r="D56" s="108"/>
      <c r="E56" s="136"/>
      <c r="F56" s="315"/>
      <c r="G56" s="108"/>
      <c r="H56" s="108"/>
      <c r="I56" s="108"/>
    </row>
    <row r="57" spans="2:9" x14ac:dyDescent="0.2">
      <c r="B57" s="317"/>
      <c r="C57" s="294"/>
      <c r="D57" s="108"/>
      <c r="E57" s="136"/>
      <c r="F57" s="315"/>
      <c r="G57" s="108"/>
      <c r="H57" s="108"/>
      <c r="I57" s="108"/>
    </row>
    <row r="58" spans="2:9" x14ac:dyDescent="0.2">
      <c r="B58" s="317"/>
      <c r="C58" s="294"/>
      <c r="D58" s="108"/>
      <c r="E58" s="136"/>
      <c r="F58" s="315"/>
      <c r="G58" s="108"/>
      <c r="H58" s="108"/>
      <c r="I58" s="108"/>
    </row>
    <row r="59" spans="2:9" x14ac:dyDescent="0.2">
      <c r="B59" s="317"/>
      <c r="C59" s="294"/>
      <c r="D59" s="108"/>
      <c r="E59" s="136"/>
      <c r="F59" s="315"/>
      <c r="G59" s="108"/>
      <c r="H59" s="108"/>
      <c r="I59" s="108"/>
    </row>
    <row r="60" spans="2:9" x14ac:dyDescent="0.2">
      <c r="B60" s="317"/>
      <c r="C60" s="294"/>
      <c r="D60" s="108"/>
      <c r="E60" s="136"/>
      <c r="F60" s="315"/>
      <c r="G60" s="108"/>
      <c r="H60" s="108"/>
      <c r="I60" s="108"/>
    </row>
    <row r="61" spans="2:9" x14ac:dyDescent="0.2">
      <c r="B61" s="317"/>
      <c r="C61" s="294"/>
      <c r="D61" s="108"/>
      <c r="E61" s="136"/>
      <c r="F61" s="315"/>
      <c r="G61" s="108"/>
      <c r="H61" s="108"/>
      <c r="I61" s="108"/>
    </row>
    <row r="62" spans="2:9" x14ac:dyDescent="0.2">
      <c r="B62" s="317"/>
      <c r="C62" s="294"/>
      <c r="D62" s="108"/>
      <c r="E62" s="136"/>
      <c r="F62" s="315"/>
      <c r="G62" s="108"/>
      <c r="H62" s="108"/>
      <c r="I62" s="108"/>
    </row>
    <row r="63" spans="2:9" x14ac:dyDescent="0.2">
      <c r="B63" s="317"/>
      <c r="C63" s="294"/>
      <c r="D63" s="108"/>
      <c r="E63" s="136"/>
      <c r="F63" s="315"/>
      <c r="G63" s="108"/>
      <c r="H63" s="108"/>
      <c r="I63" s="108"/>
    </row>
    <row r="64" spans="2:9" x14ac:dyDescent="0.2">
      <c r="B64" s="317"/>
      <c r="C64" s="294"/>
      <c r="D64" s="108"/>
      <c r="E64" s="136"/>
      <c r="F64" s="315"/>
      <c r="G64" s="108"/>
      <c r="H64" s="108"/>
      <c r="I64" s="108"/>
    </row>
    <row r="65" spans="2:9" x14ac:dyDescent="0.2">
      <c r="B65" s="317"/>
      <c r="C65" s="294"/>
      <c r="D65" s="108"/>
      <c r="E65" s="136"/>
      <c r="F65" s="315"/>
      <c r="G65" s="108"/>
      <c r="H65" s="108"/>
      <c r="I65" s="108"/>
    </row>
    <row r="66" spans="2:9" x14ac:dyDescent="0.2">
      <c r="B66" s="108"/>
      <c r="C66" s="294"/>
      <c r="D66" s="108"/>
      <c r="E66" s="136"/>
      <c r="F66" s="294"/>
      <c r="G66" s="108"/>
      <c r="H66" s="108"/>
      <c r="I66" s="108"/>
    </row>
  </sheetData>
  <phoneticPr fontId="6" type="noConversion"/>
  <pageMargins left="0.6692913385826772" right="0.27559055118110237" top="0.51181102362204722" bottom="0" header="0.23622047244094491" footer="0.57999999999999996"/>
  <pageSetup paperSize="9" scale="95" orientation="landscape" r:id="rId1"/>
  <headerFooter alignWithMargins="0">
    <oddHeader>&amp;R&amp;P. strana</oddHeader>
    <oddFooter>&amp;LV Jilemnici 28.5.2019
&amp;RIng. Miroslava Kynčlová
vedoucí finančního odboru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/>
  <dimension ref="A1:L170"/>
  <sheetViews>
    <sheetView workbookViewId="0">
      <pane ySplit="3" topLeftCell="A16" activePane="bottomLeft" state="frozen"/>
      <selection pane="bottomLeft" activeCell="D157" sqref="D157:I162"/>
    </sheetView>
  </sheetViews>
  <sheetFormatPr defaultColWidth="7.85546875" defaultRowHeight="12.75" x14ac:dyDescent="0.2"/>
  <cols>
    <col min="1" max="1" width="4" style="86" customWidth="1"/>
    <col min="2" max="2" width="4.42578125" style="86" customWidth="1"/>
    <col min="3" max="4" width="5.28515625" style="86" customWidth="1"/>
    <col min="5" max="5" width="27.85546875" style="86" customWidth="1"/>
    <col min="6" max="6" width="7.7109375" style="104" customWidth="1"/>
    <col min="7" max="7" width="7.140625" style="104" customWidth="1"/>
    <col min="8" max="8" width="7.5703125" style="135" customWidth="1"/>
    <col min="9" max="9" width="9.28515625" style="104" customWidth="1"/>
    <col min="10" max="10" width="5.85546875" style="86" customWidth="1"/>
    <col min="11" max="11" width="7.28515625" style="155" customWidth="1"/>
    <col min="12" max="12" width="18.7109375" style="223" customWidth="1"/>
    <col min="13" max="16384" width="7.85546875" style="86"/>
  </cols>
  <sheetData>
    <row r="1" spans="1:12" ht="18" x14ac:dyDescent="0.25">
      <c r="A1" s="96" t="s">
        <v>451</v>
      </c>
      <c r="B1" s="23"/>
      <c r="C1" s="97"/>
      <c r="D1" s="23"/>
      <c r="E1" s="23"/>
      <c r="F1" s="140"/>
      <c r="G1" s="140"/>
      <c r="H1" s="132"/>
      <c r="I1" s="140"/>
      <c r="J1" s="99"/>
      <c r="K1" s="98"/>
      <c r="L1" s="205"/>
    </row>
    <row r="2" spans="1:12" x14ac:dyDescent="0.2">
      <c r="A2" s="24"/>
      <c r="B2" s="24"/>
      <c r="C2" s="24"/>
      <c r="D2" s="24"/>
      <c r="E2" s="24"/>
      <c r="F2" s="151" t="s">
        <v>2</v>
      </c>
      <c r="G2" s="151"/>
      <c r="H2" s="133" t="s">
        <v>98</v>
      </c>
      <c r="I2" s="151" t="s">
        <v>5</v>
      </c>
      <c r="J2" s="25" t="s">
        <v>5</v>
      </c>
      <c r="K2" s="226" t="s">
        <v>191</v>
      </c>
      <c r="L2" s="206" t="s">
        <v>19</v>
      </c>
    </row>
    <row r="3" spans="1:12" ht="13.5" thickBot="1" x14ac:dyDescent="0.25">
      <c r="A3" s="26"/>
      <c r="B3" s="26" t="s">
        <v>20</v>
      </c>
      <c r="C3" s="27" t="s">
        <v>21</v>
      </c>
      <c r="D3" s="26" t="s">
        <v>22</v>
      </c>
      <c r="E3" s="26" t="s">
        <v>23</v>
      </c>
      <c r="F3" s="130" t="s">
        <v>335</v>
      </c>
      <c r="G3" s="351" t="s">
        <v>127</v>
      </c>
      <c r="H3" s="131" t="s">
        <v>93</v>
      </c>
      <c r="I3" s="448" t="s">
        <v>379</v>
      </c>
      <c r="J3" s="27" t="s">
        <v>4</v>
      </c>
      <c r="K3" s="154" t="s">
        <v>335</v>
      </c>
      <c r="L3" s="28"/>
    </row>
    <row r="4" spans="1:12" x14ac:dyDescent="0.2">
      <c r="A4" s="101" t="s">
        <v>24</v>
      </c>
      <c r="B4" s="69"/>
      <c r="C4" s="101"/>
      <c r="D4" s="69"/>
      <c r="E4" s="101" t="s">
        <v>25</v>
      </c>
      <c r="F4" s="68"/>
      <c r="G4" s="68"/>
      <c r="H4" s="134"/>
      <c r="I4" s="68"/>
      <c r="J4" s="30"/>
      <c r="K4" s="102"/>
      <c r="L4" s="95"/>
    </row>
    <row r="5" spans="1:12" x14ac:dyDescent="0.2">
      <c r="A5" s="87" t="s">
        <v>26</v>
      </c>
      <c r="B5" s="32"/>
      <c r="C5" s="87"/>
      <c r="D5" s="32"/>
      <c r="E5" s="32"/>
      <c r="F5" s="64">
        <f>SUM(F6:F12)</f>
        <v>74036</v>
      </c>
      <c r="G5" s="64">
        <f>SUM(G6:G12)</f>
        <v>0</v>
      </c>
      <c r="H5" s="64">
        <f>SUM(H6:H12)</f>
        <v>74036</v>
      </c>
      <c r="I5" s="432">
        <f>SUM(I6:I12)</f>
        <v>77630.219230000002</v>
      </c>
      <c r="J5" s="183">
        <f t="shared" ref="J5:J12" si="0">I5/$H5*100</f>
        <v>104.85469127181371</v>
      </c>
      <c r="K5" s="299">
        <f>SUM(K6:K12)</f>
        <v>3594.2192299999961</v>
      </c>
      <c r="L5" s="409"/>
    </row>
    <row r="6" spans="1:12" x14ac:dyDescent="0.2">
      <c r="A6" s="100" t="s">
        <v>27</v>
      </c>
      <c r="B6" s="29">
        <v>1111</v>
      </c>
      <c r="C6" s="100"/>
      <c r="D6" s="103"/>
      <c r="E6" s="29" t="s">
        <v>107</v>
      </c>
      <c r="F6" s="63">
        <f>15500+550</f>
        <v>16050</v>
      </c>
      <c r="G6" s="63"/>
      <c r="H6" s="63">
        <f t="shared" ref="H6:H12" si="1">SUM(F6:G6)</f>
        <v>16050</v>
      </c>
      <c r="I6" s="433">
        <v>17750.757229999999</v>
      </c>
      <c r="J6" s="34">
        <f t="shared" si="0"/>
        <v>110.5966182554517</v>
      </c>
      <c r="K6" s="227">
        <f t="shared" ref="K6:K12" si="2">I6-H6</f>
        <v>1700.7572299999993</v>
      </c>
      <c r="L6" s="34" t="s">
        <v>112</v>
      </c>
    </row>
    <row r="7" spans="1:12" x14ac:dyDescent="0.2">
      <c r="A7" s="100"/>
      <c r="B7" s="29">
        <v>1112</v>
      </c>
      <c r="C7" s="100"/>
      <c r="D7" s="100"/>
      <c r="E7" s="29" t="s">
        <v>197</v>
      </c>
      <c r="F7" s="63">
        <f>450+50</f>
        <v>500</v>
      </c>
      <c r="G7" s="63"/>
      <c r="H7" s="63">
        <f t="shared" si="1"/>
        <v>500</v>
      </c>
      <c r="I7" s="433">
        <v>423.26906000000002</v>
      </c>
      <c r="J7" s="34">
        <f t="shared" si="0"/>
        <v>84.653812000000002</v>
      </c>
      <c r="K7" s="227">
        <f t="shared" si="2"/>
        <v>-76.730939999999975</v>
      </c>
      <c r="L7" s="34" t="s">
        <v>112</v>
      </c>
    </row>
    <row r="8" spans="1:12" x14ac:dyDescent="0.2">
      <c r="A8" s="100"/>
      <c r="B8" s="29">
        <v>1113</v>
      </c>
      <c r="C8" s="100"/>
      <c r="D8" s="100"/>
      <c r="E8" s="29" t="s">
        <v>109</v>
      </c>
      <c r="F8" s="63">
        <v>1450</v>
      </c>
      <c r="G8" s="63"/>
      <c r="H8" s="63">
        <f t="shared" si="1"/>
        <v>1450</v>
      </c>
      <c r="I8" s="433">
        <v>1672.49503</v>
      </c>
      <c r="J8" s="34">
        <f t="shared" si="0"/>
        <v>115.34448482758621</v>
      </c>
      <c r="K8" s="227">
        <f t="shared" si="2"/>
        <v>222.49503000000004</v>
      </c>
      <c r="L8" s="34" t="s">
        <v>112</v>
      </c>
    </row>
    <row r="9" spans="1:12" x14ac:dyDescent="0.2">
      <c r="A9" s="100"/>
      <c r="B9" s="29">
        <v>1121</v>
      </c>
      <c r="C9" s="100"/>
      <c r="D9" s="100"/>
      <c r="E9" s="29" t="s">
        <v>110</v>
      </c>
      <c r="F9" s="63">
        <f>15600+400</f>
        <v>16000</v>
      </c>
      <c r="G9" s="63"/>
      <c r="H9" s="63">
        <f t="shared" si="1"/>
        <v>16000</v>
      </c>
      <c r="I9" s="433">
        <v>15358.06286</v>
      </c>
      <c r="J9" s="34">
        <f t="shared" si="0"/>
        <v>95.987892875</v>
      </c>
      <c r="K9" s="227">
        <f t="shared" si="2"/>
        <v>-641.93714</v>
      </c>
      <c r="L9" s="34" t="s">
        <v>112</v>
      </c>
    </row>
    <row r="10" spans="1:12" x14ac:dyDescent="0.2">
      <c r="A10" s="100"/>
      <c r="B10" s="29">
        <v>1211</v>
      </c>
      <c r="C10" s="100"/>
      <c r="D10" s="100"/>
      <c r="E10" s="29" t="s">
        <v>108</v>
      </c>
      <c r="F10" s="63">
        <v>35600</v>
      </c>
      <c r="G10" s="63"/>
      <c r="H10" s="63">
        <f t="shared" si="1"/>
        <v>35600</v>
      </c>
      <c r="I10" s="433">
        <v>37790.253579999997</v>
      </c>
      <c r="J10" s="34">
        <f t="shared" si="0"/>
        <v>106.15239769662921</v>
      </c>
      <c r="K10" s="227">
        <f t="shared" si="2"/>
        <v>2190.2535799999969</v>
      </c>
      <c r="L10" s="34" t="s">
        <v>112</v>
      </c>
    </row>
    <row r="11" spans="1:12" x14ac:dyDescent="0.2">
      <c r="A11" s="100"/>
      <c r="B11" s="29">
        <v>1111</v>
      </c>
      <c r="C11" s="100"/>
      <c r="D11" s="29">
        <v>2</v>
      </c>
      <c r="E11" s="29" t="s">
        <v>120</v>
      </c>
      <c r="F11" s="63">
        <v>1900</v>
      </c>
      <c r="G11" s="63"/>
      <c r="H11" s="63">
        <f>SUM(F11:G11)</f>
        <v>1900</v>
      </c>
      <c r="I11" s="433">
        <v>2099.64147</v>
      </c>
      <c r="J11" s="34">
        <f t="shared" si="0"/>
        <v>110.50744578947369</v>
      </c>
      <c r="K11" s="227">
        <f t="shared" si="2"/>
        <v>199.64147000000003</v>
      </c>
      <c r="L11" s="207"/>
    </row>
    <row r="12" spans="1:12" x14ac:dyDescent="0.2">
      <c r="A12" s="100"/>
      <c r="B12" s="29">
        <v>1122</v>
      </c>
      <c r="C12" s="100"/>
      <c r="D12" s="100"/>
      <c r="E12" s="29" t="s">
        <v>111</v>
      </c>
      <c r="F12" s="63">
        <v>2536</v>
      </c>
      <c r="G12" s="63"/>
      <c r="H12" s="63">
        <f t="shared" si="1"/>
        <v>2536</v>
      </c>
      <c r="I12" s="433">
        <v>2535.7399999999998</v>
      </c>
      <c r="J12" s="34">
        <f t="shared" si="0"/>
        <v>99.989747634069388</v>
      </c>
      <c r="K12" s="227">
        <f t="shared" si="2"/>
        <v>-0.26000000000021828</v>
      </c>
      <c r="L12" s="103" t="s">
        <v>154</v>
      </c>
    </row>
    <row r="13" spans="1:12" x14ac:dyDescent="0.2">
      <c r="A13" s="87" t="s">
        <v>28</v>
      </c>
      <c r="B13" s="32"/>
      <c r="C13" s="87"/>
      <c r="D13" s="32"/>
      <c r="E13" s="32"/>
      <c r="F13" s="64"/>
      <c r="G13" s="64"/>
      <c r="H13" s="64"/>
      <c r="I13" s="432"/>
      <c r="J13" s="34"/>
      <c r="K13" s="228"/>
      <c r="L13" s="310"/>
    </row>
    <row r="14" spans="1:12" x14ac:dyDescent="0.2">
      <c r="A14" s="100"/>
      <c r="B14" s="100"/>
      <c r="C14" s="100"/>
      <c r="D14" s="100"/>
      <c r="E14" s="32" t="s">
        <v>147</v>
      </c>
      <c r="F14" s="64">
        <f>SUM(F15:F24)</f>
        <v>4582</v>
      </c>
      <c r="G14" s="64">
        <f>SUM(G15:G24)</f>
        <v>0</v>
      </c>
      <c r="H14" s="64">
        <f>SUM(H15:H24)</f>
        <v>4582</v>
      </c>
      <c r="I14" s="432">
        <f>SUM(I15:I24)</f>
        <v>4744.1499999999996</v>
      </c>
      <c r="J14" s="183">
        <f t="shared" ref="J14:J25" si="3">I14/$H14*100</f>
        <v>103.53884766477519</v>
      </c>
      <c r="K14" s="299">
        <f>SUM(K15:K24)</f>
        <v>162.14999999999975</v>
      </c>
      <c r="L14" s="310"/>
    </row>
    <row r="15" spans="1:12" x14ac:dyDescent="0.2">
      <c r="A15" s="100"/>
      <c r="B15" s="29">
        <v>1361</v>
      </c>
      <c r="D15" s="103" t="s">
        <v>134</v>
      </c>
      <c r="E15" s="29" t="s">
        <v>29</v>
      </c>
      <c r="F15" s="63">
        <v>180</v>
      </c>
      <c r="G15" s="63"/>
      <c r="H15" s="63">
        <f t="shared" ref="H15:H23" si="4">SUM(F15:G15)</f>
        <v>180</v>
      </c>
      <c r="I15" s="433">
        <f>13.45+99.19+2.12+86</f>
        <v>200.76</v>
      </c>
      <c r="J15" s="34">
        <f t="shared" si="3"/>
        <v>111.53333333333333</v>
      </c>
      <c r="K15" s="227">
        <f t="shared" ref="K15:K24" si="5">I15-H15</f>
        <v>20.759999999999991</v>
      </c>
      <c r="L15" s="208"/>
    </row>
    <row r="16" spans="1:12" x14ac:dyDescent="0.2">
      <c r="A16" s="100"/>
      <c r="B16" s="29">
        <v>1361</v>
      </c>
      <c r="C16" s="100"/>
      <c r="D16" s="29">
        <v>7</v>
      </c>
      <c r="E16" s="29" t="s">
        <v>164</v>
      </c>
      <c r="F16" s="63">
        <v>700</v>
      </c>
      <c r="G16" s="63"/>
      <c r="H16" s="63">
        <f t="shared" si="4"/>
        <v>700</v>
      </c>
      <c r="I16" s="433">
        <v>660.51</v>
      </c>
      <c r="J16" s="34">
        <f t="shared" si="3"/>
        <v>94.358571428571423</v>
      </c>
      <c r="K16" s="227">
        <f t="shared" si="5"/>
        <v>-39.490000000000009</v>
      </c>
      <c r="L16" s="208"/>
    </row>
    <row r="17" spans="1:12" x14ac:dyDescent="0.2">
      <c r="A17" s="100"/>
      <c r="B17" s="29">
        <v>1361</v>
      </c>
      <c r="C17" s="100"/>
      <c r="D17" s="29">
        <v>10.23</v>
      </c>
      <c r="E17" s="105" t="s">
        <v>166</v>
      </c>
      <c r="F17" s="63">
        <f>60+25</f>
        <v>85</v>
      </c>
      <c r="G17" s="63"/>
      <c r="H17" s="63">
        <f t="shared" si="4"/>
        <v>85</v>
      </c>
      <c r="I17" s="433">
        <f>67.675+53.855</f>
        <v>121.53</v>
      </c>
      <c r="J17" s="34">
        <f t="shared" si="3"/>
        <v>142.97647058823532</v>
      </c>
      <c r="K17" s="227">
        <f t="shared" si="5"/>
        <v>36.53</v>
      </c>
      <c r="L17" s="208"/>
    </row>
    <row r="18" spans="1:12" x14ac:dyDescent="0.2">
      <c r="A18" s="100"/>
      <c r="B18" s="29">
        <v>1361</v>
      </c>
      <c r="C18" s="100"/>
      <c r="D18" s="29">
        <v>11</v>
      </c>
      <c r="E18" s="29" t="s">
        <v>30</v>
      </c>
      <c r="F18" s="63">
        <v>150</v>
      </c>
      <c r="G18" s="63"/>
      <c r="H18" s="63">
        <f t="shared" si="4"/>
        <v>150</v>
      </c>
      <c r="I18" s="433">
        <v>153.44999999999999</v>
      </c>
      <c r="J18" s="34">
        <f t="shared" si="3"/>
        <v>102.3</v>
      </c>
      <c r="K18" s="227">
        <f t="shared" si="5"/>
        <v>3.4499999999999886</v>
      </c>
      <c r="L18" s="208"/>
    </row>
    <row r="19" spans="1:12" x14ac:dyDescent="0.2">
      <c r="A19" s="100"/>
      <c r="B19" s="29">
        <v>1361</v>
      </c>
      <c r="C19" s="100"/>
      <c r="D19" s="29">
        <v>24</v>
      </c>
      <c r="E19" s="29" t="s">
        <v>167</v>
      </c>
      <c r="F19" s="63">
        <v>30</v>
      </c>
      <c r="G19" s="63"/>
      <c r="H19" s="63">
        <f t="shared" si="4"/>
        <v>30</v>
      </c>
      <c r="I19" s="433">
        <v>25.6</v>
      </c>
      <c r="J19" s="34">
        <f t="shared" si="3"/>
        <v>85.333333333333343</v>
      </c>
      <c r="K19" s="227">
        <f t="shared" si="5"/>
        <v>-4.3999999999999986</v>
      </c>
      <c r="L19" s="208"/>
    </row>
    <row r="20" spans="1:12" x14ac:dyDescent="0.2">
      <c r="A20" s="100"/>
      <c r="B20" s="29">
        <v>1361</v>
      </c>
      <c r="C20" s="100"/>
      <c r="D20" s="29">
        <v>26</v>
      </c>
      <c r="E20" s="29" t="s">
        <v>168</v>
      </c>
      <c r="F20" s="63">
        <v>2200</v>
      </c>
      <c r="G20" s="63"/>
      <c r="H20" s="63">
        <f t="shared" si="4"/>
        <v>2200</v>
      </c>
      <c r="I20" s="63">
        <f>2585.855+0.095</f>
        <v>2585.9499999999998</v>
      </c>
      <c r="J20" s="34">
        <f t="shared" si="3"/>
        <v>117.54318181818182</v>
      </c>
      <c r="K20" s="227">
        <f t="shared" si="5"/>
        <v>385.94999999999982</v>
      </c>
      <c r="L20" s="208"/>
    </row>
    <row r="21" spans="1:12" x14ac:dyDescent="0.2">
      <c r="A21" s="100"/>
      <c r="B21" s="29">
        <v>1353</v>
      </c>
      <c r="C21" s="100"/>
      <c r="D21" s="29">
        <v>26</v>
      </c>
      <c r="E21" s="29" t="s">
        <v>196</v>
      </c>
      <c r="F21" s="63">
        <v>400</v>
      </c>
      <c r="G21" s="63"/>
      <c r="H21" s="63">
        <f t="shared" si="4"/>
        <v>400</v>
      </c>
      <c r="I21" s="63">
        <v>323.5</v>
      </c>
      <c r="J21" s="34">
        <f t="shared" si="3"/>
        <v>80.875</v>
      </c>
      <c r="K21" s="227">
        <f t="shared" si="5"/>
        <v>-76.5</v>
      </c>
      <c r="L21" s="208"/>
    </row>
    <row r="22" spans="1:12" x14ac:dyDescent="0.2">
      <c r="A22" s="100"/>
      <c r="B22" s="29">
        <v>1361</v>
      </c>
      <c r="C22" s="100"/>
      <c r="D22" s="29">
        <v>32.33</v>
      </c>
      <c r="E22" s="29" t="s">
        <v>131</v>
      </c>
      <c r="F22" s="63">
        <f>700+50</f>
        <v>750</v>
      </c>
      <c r="G22" s="63"/>
      <c r="H22" s="63">
        <f t="shared" si="4"/>
        <v>750</v>
      </c>
      <c r="I22" s="63">
        <f>544.9+70.15</f>
        <v>615.04999999999995</v>
      </c>
      <c r="J22" s="34">
        <f t="shared" si="3"/>
        <v>82.006666666666661</v>
      </c>
      <c r="K22" s="227">
        <f t="shared" si="5"/>
        <v>-134.95000000000005</v>
      </c>
      <c r="L22" s="208"/>
    </row>
    <row r="23" spans="1:12" x14ac:dyDescent="0.2">
      <c r="A23" s="100"/>
      <c r="B23" s="29">
        <v>1361</v>
      </c>
      <c r="C23" s="100"/>
      <c r="D23" s="29">
        <v>35</v>
      </c>
      <c r="E23" s="29" t="s">
        <v>230</v>
      </c>
      <c r="F23" s="63">
        <v>75</v>
      </c>
      <c r="G23" s="63"/>
      <c r="H23" s="63">
        <f t="shared" si="4"/>
        <v>75</v>
      </c>
      <c r="I23" s="63">
        <v>39.299999999999997</v>
      </c>
      <c r="J23" s="34">
        <f t="shared" si="3"/>
        <v>52.399999999999991</v>
      </c>
      <c r="K23" s="227">
        <f t="shared" si="5"/>
        <v>-35.700000000000003</v>
      </c>
      <c r="L23" s="208"/>
    </row>
    <row r="24" spans="1:12" x14ac:dyDescent="0.2">
      <c r="A24" s="100"/>
      <c r="B24" s="29">
        <v>1361</v>
      </c>
      <c r="C24" s="100"/>
      <c r="D24" s="29">
        <v>40</v>
      </c>
      <c r="E24" s="29" t="s">
        <v>31</v>
      </c>
      <c r="F24" s="63">
        <v>12</v>
      </c>
      <c r="G24" s="63"/>
      <c r="H24" s="63">
        <f>SUM(F24:G24)</f>
        <v>12</v>
      </c>
      <c r="I24" s="63">
        <v>18.5</v>
      </c>
      <c r="J24" s="34">
        <f t="shared" si="3"/>
        <v>154.16666666666669</v>
      </c>
      <c r="K24" s="227">
        <f t="shared" si="5"/>
        <v>6.5</v>
      </c>
      <c r="L24" s="208"/>
    </row>
    <row r="25" spans="1:12" x14ac:dyDescent="0.2">
      <c r="A25" s="100"/>
      <c r="B25" s="100"/>
      <c r="C25" s="100"/>
      <c r="D25" s="100"/>
      <c r="E25" s="32" t="s">
        <v>260</v>
      </c>
      <c r="F25" s="64">
        <f>SUM(F26:F27)</f>
        <v>5160</v>
      </c>
      <c r="G25" s="64">
        <f>SUM(G26:G27)</f>
        <v>0</v>
      </c>
      <c r="H25" s="64">
        <f>SUM(H26:H27)</f>
        <v>5160</v>
      </c>
      <c r="I25" s="64">
        <f>SUM(I26:I27)</f>
        <v>5311.5341600000002</v>
      </c>
      <c r="J25" s="183">
        <f t="shared" si="3"/>
        <v>102.9367085271318</v>
      </c>
      <c r="K25" s="299">
        <f>SUM(K26:K27)</f>
        <v>151.53416000000041</v>
      </c>
      <c r="L25" s="103"/>
    </row>
    <row r="26" spans="1:12" x14ac:dyDescent="0.2">
      <c r="A26" s="100"/>
      <c r="B26" s="29">
        <v>1334</v>
      </c>
      <c r="C26" s="100"/>
      <c r="D26" s="29"/>
      <c r="E26" s="29" t="s">
        <v>376</v>
      </c>
      <c r="F26" s="63">
        <v>160</v>
      </c>
      <c r="G26" s="63"/>
      <c r="H26" s="63">
        <f>SUM(F26:G26)</f>
        <v>160</v>
      </c>
      <c r="I26" s="63">
        <v>125.28</v>
      </c>
      <c r="J26" s="34"/>
      <c r="K26" s="227">
        <f t="shared" ref="K26:K33" si="6">I26-H26</f>
        <v>-34.72</v>
      </c>
      <c r="L26" s="208"/>
    </row>
    <row r="27" spans="1:12" x14ac:dyDescent="0.2">
      <c r="A27" s="100"/>
      <c r="B27" s="29">
        <v>1381</v>
      </c>
      <c r="C27" s="100"/>
      <c r="D27" s="29">
        <v>401</v>
      </c>
      <c r="E27" s="29" t="s">
        <v>390</v>
      </c>
      <c r="F27" s="63">
        <v>5000</v>
      </c>
      <c r="G27" s="63"/>
      <c r="H27" s="63">
        <f>SUM(F27:G27)</f>
        <v>5000</v>
      </c>
      <c r="I27" s="63">
        <v>5186.2541600000004</v>
      </c>
      <c r="J27" s="34">
        <f t="shared" ref="J27:J35" si="7">I27/$H27*100</f>
        <v>103.7250832</v>
      </c>
      <c r="K27" s="227">
        <f t="shared" si="6"/>
        <v>186.25416000000041</v>
      </c>
      <c r="L27" s="208"/>
    </row>
    <row r="28" spans="1:12" x14ac:dyDescent="0.2">
      <c r="A28" s="100"/>
      <c r="B28" s="100"/>
      <c r="C28" s="100"/>
      <c r="D28" s="100"/>
      <c r="E28" s="32" t="s">
        <v>148</v>
      </c>
      <c r="F28" s="64">
        <f>SUM(F29:F33)</f>
        <v>3343</v>
      </c>
      <c r="G28" s="64"/>
      <c r="H28" s="64">
        <f>SUM(H29:H33)</f>
        <v>3343</v>
      </c>
      <c r="I28" s="64">
        <f>SUM(I29:I33)</f>
        <v>3695.5804600000001</v>
      </c>
      <c r="J28" s="183">
        <f t="shared" si="7"/>
        <v>110.54682799880347</v>
      </c>
      <c r="K28" s="299">
        <f t="shared" si="6"/>
        <v>352.58046000000013</v>
      </c>
      <c r="L28" s="310"/>
    </row>
    <row r="29" spans="1:12" x14ac:dyDescent="0.2">
      <c r="A29" s="100"/>
      <c r="B29" s="29">
        <v>1340</v>
      </c>
      <c r="C29" s="100"/>
      <c r="D29" s="29">
        <v>240</v>
      </c>
      <c r="E29" s="29" t="s">
        <v>102</v>
      </c>
      <c r="F29" s="63">
        <v>3074</v>
      </c>
      <c r="G29" s="63"/>
      <c r="H29" s="63">
        <f>SUM(F29:G29)</f>
        <v>3074</v>
      </c>
      <c r="I29" s="63">
        <v>3258.8536399999998</v>
      </c>
      <c r="J29" s="34">
        <f t="shared" si="7"/>
        <v>106.0134560832791</v>
      </c>
      <c r="K29" s="227">
        <f t="shared" si="6"/>
        <v>184.85363999999981</v>
      </c>
      <c r="L29" s="103" t="s">
        <v>267</v>
      </c>
    </row>
    <row r="30" spans="1:12" x14ac:dyDescent="0.2">
      <c r="A30" s="100"/>
      <c r="B30" s="29">
        <v>1341</v>
      </c>
      <c r="C30" s="100"/>
      <c r="D30" s="29">
        <v>5</v>
      </c>
      <c r="E30" s="29" t="s">
        <v>104</v>
      </c>
      <c r="F30" s="63">
        <v>129</v>
      </c>
      <c r="G30" s="63"/>
      <c r="H30" s="63">
        <f>SUM(F30:G30)</f>
        <v>129</v>
      </c>
      <c r="I30" s="63">
        <v>130.83199999999999</v>
      </c>
      <c r="J30" s="34">
        <f t="shared" si="7"/>
        <v>101.42015503875967</v>
      </c>
      <c r="K30" s="227">
        <f t="shared" si="6"/>
        <v>1.8319999999999936</v>
      </c>
      <c r="L30" s="103"/>
    </row>
    <row r="31" spans="1:12" x14ac:dyDescent="0.2">
      <c r="A31" s="100"/>
      <c r="B31" s="29">
        <v>1343</v>
      </c>
      <c r="C31" s="100"/>
      <c r="D31" s="29">
        <v>30</v>
      </c>
      <c r="E31" s="29" t="s">
        <v>105</v>
      </c>
      <c r="F31" s="63">
        <v>85</v>
      </c>
      <c r="G31" s="63"/>
      <c r="H31" s="63">
        <f>SUM(F31:G31)</f>
        <v>85</v>
      </c>
      <c r="I31" s="63">
        <v>126.32599999999999</v>
      </c>
      <c r="J31" s="34">
        <f t="shared" si="7"/>
        <v>148.61882352941177</v>
      </c>
      <c r="K31" s="227">
        <f t="shared" si="6"/>
        <v>41.325999999999993</v>
      </c>
      <c r="L31" s="103"/>
    </row>
    <row r="32" spans="1:12" x14ac:dyDescent="0.2">
      <c r="A32" s="100"/>
      <c r="B32" s="29">
        <v>1344</v>
      </c>
      <c r="C32" s="100"/>
      <c r="D32" s="29">
        <v>31</v>
      </c>
      <c r="E32" s="29" t="s">
        <v>106</v>
      </c>
      <c r="F32" s="63">
        <v>0</v>
      </c>
      <c r="G32" s="63"/>
      <c r="H32" s="63">
        <f>SUM(F32:G32)</f>
        <v>0</v>
      </c>
      <c r="I32" s="63">
        <v>102.5073</v>
      </c>
      <c r="J32" s="34"/>
      <c r="K32" s="227">
        <f t="shared" si="6"/>
        <v>102.5073</v>
      </c>
      <c r="L32" s="103" t="s">
        <v>391</v>
      </c>
    </row>
    <row r="33" spans="1:12" ht="13.5" customHeight="1" x14ac:dyDescent="0.2">
      <c r="A33" s="100"/>
      <c r="B33" s="29">
        <v>1345</v>
      </c>
      <c r="C33" s="100"/>
      <c r="D33" s="29">
        <v>28</v>
      </c>
      <c r="E33" s="29" t="s">
        <v>331</v>
      </c>
      <c r="F33" s="63">
        <v>55</v>
      </c>
      <c r="G33" s="63"/>
      <c r="H33" s="63">
        <f>SUM(F33:G33)</f>
        <v>55</v>
      </c>
      <c r="I33" s="63">
        <f>75.965+1.09652</f>
        <v>77.061520000000002</v>
      </c>
      <c r="J33" s="34">
        <f t="shared" si="7"/>
        <v>140.11185454545455</v>
      </c>
      <c r="K33" s="227">
        <f t="shared" si="6"/>
        <v>22.061520000000002</v>
      </c>
      <c r="L33" s="103"/>
    </row>
    <row r="34" spans="1:12" x14ac:dyDescent="0.2">
      <c r="A34" s="87" t="s">
        <v>32</v>
      </c>
      <c r="B34" s="32"/>
      <c r="C34" s="87"/>
      <c r="D34" s="32"/>
      <c r="E34" s="32"/>
      <c r="F34" s="64">
        <f>SUM(F35)</f>
        <v>4000</v>
      </c>
      <c r="G34" s="64">
        <f>SUM(G35)</f>
        <v>0</v>
      </c>
      <c r="H34" s="64">
        <f>SUM(H35:H35)</f>
        <v>4000</v>
      </c>
      <c r="I34" s="64">
        <f>SUM(I35)</f>
        <v>4083.42191</v>
      </c>
      <c r="J34" s="183">
        <f t="shared" si="7"/>
        <v>102.08554775</v>
      </c>
      <c r="K34" s="299">
        <f>SUM(K35:K35)</f>
        <v>83.421910000000025</v>
      </c>
      <c r="L34" s="209"/>
    </row>
    <row r="35" spans="1:12" ht="13.5" thickBot="1" x14ac:dyDescent="0.25">
      <c r="A35" s="100"/>
      <c r="B35" s="29">
        <v>1511</v>
      </c>
      <c r="C35" s="100" t="s">
        <v>33</v>
      </c>
      <c r="D35" s="100"/>
      <c r="E35" s="29" t="s">
        <v>174</v>
      </c>
      <c r="F35" s="63">
        <v>4000</v>
      </c>
      <c r="G35" s="63"/>
      <c r="H35" s="63">
        <f>SUM(F35:G35)</f>
        <v>4000</v>
      </c>
      <c r="I35" s="63">
        <v>4083.42191</v>
      </c>
      <c r="J35" s="34">
        <f t="shared" si="7"/>
        <v>102.08554775</v>
      </c>
      <c r="K35" s="227">
        <f>I35-H35</f>
        <v>83.421910000000025</v>
      </c>
      <c r="L35" s="103"/>
    </row>
    <row r="36" spans="1:12" ht="18" customHeight="1" thickBot="1" x14ac:dyDescent="0.3">
      <c r="A36" s="106" t="s">
        <v>34</v>
      </c>
      <c r="B36" s="107"/>
      <c r="C36" s="106"/>
      <c r="D36" s="107"/>
      <c r="E36" s="106"/>
      <c r="F36" s="65">
        <f t="shared" ref="F36:K36" si="8">SUM(F5+F14+F25+F28+F34)</f>
        <v>91121</v>
      </c>
      <c r="G36" s="65">
        <f t="shared" si="8"/>
        <v>0</v>
      </c>
      <c r="H36" s="65">
        <f t="shared" si="8"/>
        <v>91121</v>
      </c>
      <c r="I36" s="65">
        <f t="shared" si="8"/>
        <v>95464.905759999994</v>
      </c>
      <c r="J36" s="65">
        <f t="shared" si="8"/>
        <v>523.96262321252414</v>
      </c>
      <c r="K36" s="303">
        <f t="shared" si="8"/>
        <v>4343.9057599999969</v>
      </c>
      <c r="L36" s="65"/>
    </row>
    <row r="37" spans="1:12" x14ac:dyDescent="0.2">
      <c r="A37" s="101"/>
      <c r="B37" s="69"/>
      <c r="C37" s="101"/>
      <c r="D37" s="69"/>
      <c r="E37" s="101" t="s">
        <v>35</v>
      </c>
      <c r="F37" s="68"/>
      <c r="G37" s="68"/>
      <c r="H37" s="68"/>
      <c r="I37" s="68"/>
      <c r="J37" s="37"/>
      <c r="K37" s="304"/>
      <c r="L37" s="210"/>
    </row>
    <row r="38" spans="1:12" x14ac:dyDescent="0.2">
      <c r="A38" s="87" t="s">
        <v>36</v>
      </c>
      <c r="B38" s="32"/>
      <c r="C38" s="87"/>
      <c r="D38" s="32"/>
      <c r="E38" s="32"/>
      <c r="F38" s="64"/>
      <c r="G38" s="64"/>
      <c r="H38" s="64"/>
      <c r="I38" s="64"/>
      <c r="J38" s="34"/>
      <c r="K38" s="305"/>
      <c r="L38" s="209"/>
    </row>
    <row r="39" spans="1:12" x14ac:dyDescent="0.2">
      <c r="A39" s="100"/>
      <c r="B39" s="32"/>
      <c r="C39" s="100"/>
      <c r="D39" s="32"/>
      <c r="E39" s="32" t="s">
        <v>146</v>
      </c>
      <c r="F39" s="64">
        <f>SUM(F40:F60)</f>
        <v>12679</v>
      </c>
      <c r="G39" s="64">
        <f>SUM(G40:G60)</f>
        <v>564.09</v>
      </c>
      <c r="H39" s="64">
        <f>SUM(H40:H60)</f>
        <v>13243.09</v>
      </c>
      <c r="I39" s="64">
        <f>SUM(I40:I60)</f>
        <v>13986.7778</v>
      </c>
      <c r="J39" s="183">
        <f t="shared" ref="J39:J58" si="9">I39/$H39*100</f>
        <v>105.61566673638856</v>
      </c>
      <c r="K39" s="299">
        <f>SUM(K40:K60)</f>
        <v>743.68779999999992</v>
      </c>
      <c r="L39" s="103"/>
    </row>
    <row r="40" spans="1:12" x14ac:dyDescent="0.2">
      <c r="A40" s="100"/>
      <c r="B40" s="29">
        <v>2111</v>
      </c>
      <c r="C40" s="100">
        <v>1031</v>
      </c>
      <c r="D40" s="29">
        <v>201</v>
      </c>
      <c r="E40" s="29" t="s">
        <v>94</v>
      </c>
      <c r="F40" s="63">
        <v>400</v>
      </c>
      <c r="G40" s="63"/>
      <c r="H40" s="63">
        <f t="shared" ref="H40:H60" si="10">SUM(F40:G40)</f>
        <v>400</v>
      </c>
      <c r="I40" s="63">
        <v>1050.0618999999999</v>
      </c>
      <c r="J40" s="34">
        <f t="shared" si="9"/>
        <v>262.51547499999998</v>
      </c>
      <c r="K40" s="227">
        <f t="shared" ref="K40:K60" si="11">I40-H40</f>
        <v>650.06189999999992</v>
      </c>
      <c r="L40" s="103"/>
    </row>
    <row r="41" spans="1:12" x14ac:dyDescent="0.2">
      <c r="A41" s="100"/>
      <c r="B41" s="29">
        <v>2111</v>
      </c>
      <c r="C41" s="100">
        <v>2219</v>
      </c>
      <c r="D41" s="29">
        <v>43</v>
      </c>
      <c r="E41" s="29" t="s">
        <v>171</v>
      </c>
      <c r="F41" s="63">
        <v>1050</v>
      </c>
      <c r="G41" s="63"/>
      <c r="H41" s="63">
        <f t="shared" si="10"/>
        <v>1050</v>
      </c>
      <c r="I41" s="63">
        <v>1045.75</v>
      </c>
      <c r="J41" s="34">
        <f t="shared" si="9"/>
        <v>99.595238095238088</v>
      </c>
      <c r="K41" s="227">
        <f t="shared" si="11"/>
        <v>-4.25</v>
      </c>
      <c r="L41" s="103"/>
    </row>
    <row r="42" spans="1:12" x14ac:dyDescent="0.2">
      <c r="A42" s="100"/>
      <c r="B42" s="29">
        <v>2111</v>
      </c>
      <c r="C42" s="100">
        <v>3113</v>
      </c>
      <c r="D42" s="29">
        <v>302</v>
      </c>
      <c r="E42" s="29" t="s">
        <v>347</v>
      </c>
      <c r="F42" s="63">
        <v>260</v>
      </c>
      <c r="G42" s="63"/>
      <c r="H42" s="63">
        <f t="shared" si="10"/>
        <v>260</v>
      </c>
      <c r="I42" s="63">
        <v>260</v>
      </c>
      <c r="J42" s="34">
        <f t="shared" si="9"/>
        <v>100</v>
      </c>
      <c r="K42" s="227">
        <f t="shared" si="11"/>
        <v>0</v>
      </c>
      <c r="L42" s="103"/>
    </row>
    <row r="43" spans="1:12" x14ac:dyDescent="0.2">
      <c r="A43" s="100"/>
      <c r="B43" s="29">
        <v>2111</v>
      </c>
      <c r="C43" s="100">
        <v>3613</v>
      </c>
      <c r="D43" s="29">
        <v>316</v>
      </c>
      <c r="E43" s="29" t="s">
        <v>349</v>
      </c>
      <c r="F43" s="63">
        <v>100</v>
      </c>
      <c r="G43" s="63"/>
      <c r="H43" s="63">
        <f t="shared" si="10"/>
        <v>100</v>
      </c>
      <c r="I43" s="63">
        <v>107.624</v>
      </c>
      <c r="J43" s="34">
        <f t="shared" si="9"/>
        <v>107.62399999999998</v>
      </c>
      <c r="K43" s="227">
        <f t="shared" si="11"/>
        <v>7.6239999999999952</v>
      </c>
      <c r="L43" s="103"/>
    </row>
    <row r="44" spans="1:12" x14ac:dyDescent="0.2">
      <c r="A44" s="100"/>
      <c r="B44" s="29">
        <v>2111</v>
      </c>
      <c r="C44" s="100">
        <v>3314</v>
      </c>
      <c r="D44" s="29">
        <v>504</v>
      </c>
      <c r="E44" s="29" t="s">
        <v>170</v>
      </c>
      <c r="F44" s="63">
        <v>96</v>
      </c>
      <c r="G44" s="63"/>
      <c r="H44" s="63">
        <f t="shared" si="10"/>
        <v>96</v>
      </c>
      <c r="I44" s="63">
        <v>94.983000000000004</v>
      </c>
      <c r="J44" s="34">
        <f t="shared" si="9"/>
        <v>98.940625000000011</v>
      </c>
      <c r="K44" s="227">
        <f t="shared" si="11"/>
        <v>-1.0169999999999959</v>
      </c>
      <c r="L44" s="103"/>
    </row>
    <row r="45" spans="1:12" x14ac:dyDescent="0.2">
      <c r="A45" s="100"/>
      <c r="B45" s="29">
        <v>2111</v>
      </c>
      <c r="C45" s="350" t="s">
        <v>282</v>
      </c>
      <c r="D45" s="29">
        <v>41</v>
      </c>
      <c r="E45" s="29" t="s">
        <v>40</v>
      </c>
      <c r="F45" s="63">
        <v>70</v>
      </c>
      <c r="G45" s="63"/>
      <c r="H45" s="63">
        <f t="shared" si="10"/>
        <v>70</v>
      </c>
      <c r="I45" s="63">
        <v>73.674999999999997</v>
      </c>
      <c r="J45" s="34">
        <f t="shared" si="9"/>
        <v>105.25</v>
      </c>
      <c r="K45" s="227">
        <f t="shared" si="11"/>
        <v>3.6749999999999972</v>
      </c>
      <c r="L45" s="103"/>
    </row>
    <row r="46" spans="1:12" x14ac:dyDescent="0.2">
      <c r="A46" s="100"/>
      <c r="B46" s="29">
        <v>2111</v>
      </c>
      <c r="C46" s="100">
        <v>3349</v>
      </c>
      <c r="D46" s="29">
        <v>42</v>
      </c>
      <c r="E46" s="29" t="s">
        <v>37</v>
      </c>
      <c r="F46" s="63">
        <v>99</v>
      </c>
      <c r="G46" s="63"/>
      <c r="H46" s="63">
        <f t="shared" si="10"/>
        <v>99</v>
      </c>
      <c r="I46" s="63">
        <v>120.545</v>
      </c>
      <c r="J46" s="34">
        <f t="shared" si="9"/>
        <v>121.76262626262626</v>
      </c>
      <c r="K46" s="227">
        <f t="shared" si="11"/>
        <v>21.545000000000002</v>
      </c>
      <c r="L46" s="103"/>
    </row>
    <row r="47" spans="1:12" x14ac:dyDescent="0.2">
      <c r="A47" s="100"/>
      <c r="B47" s="29">
        <v>2111</v>
      </c>
      <c r="C47" s="100">
        <v>3612</v>
      </c>
      <c r="D47" s="29" t="s">
        <v>300</v>
      </c>
      <c r="E47" s="29" t="s">
        <v>175</v>
      </c>
      <c r="F47" s="63">
        <v>3578</v>
      </c>
      <c r="G47" s="63">
        <v>-568</v>
      </c>
      <c r="H47" s="63">
        <f t="shared" si="10"/>
        <v>3010</v>
      </c>
      <c r="I47" s="63">
        <f>903.947-49.333+1517.695</f>
        <v>2372.3090000000002</v>
      </c>
      <c r="J47" s="34">
        <f t="shared" si="9"/>
        <v>78.814252491694361</v>
      </c>
      <c r="K47" s="227">
        <f t="shared" si="11"/>
        <v>-637.6909999999998</v>
      </c>
      <c r="L47" s="118"/>
    </row>
    <row r="48" spans="1:12" x14ac:dyDescent="0.2">
      <c r="A48" s="100"/>
      <c r="B48" s="29">
        <v>2111</v>
      </c>
      <c r="C48" s="100">
        <v>3613</v>
      </c>
      <c r="D48" s="29">
        <v>703</v>
      </c>
      <c r="E48" s="29" t="s">
        <v>176</v>
      </c>
      <c r="F48" s="63">
        <v>331</v>
      </c>
      <c r="G48" s="63"/>
      <c r="H48" s="63">
        <f t="shared" si="10"/>
        <v>331</v>
      </c>
      <c r="I48" s="63">
        <v>308.161</v>
      </c>
      <c r="J48" s="34">
        <f t="shared" si="9"/>
        <v>93.100000000000009</v>
      </c>
      <c r="K48" s="227">
        <f t="shared" si="11"/>
        <v>-22.838999999999999</v>
      </c>
      <c r="L48" s="211"/>
    </row>
    <row r="49" spans="1:12" x14ac:dyDescent="0.2">
      <c r="A49" s="100"/>
      <c r="B49" s="29">
        <v>2111</v>
      </c>
      <c r="C49" s="100">
        <v>3613</v>
      </c>
      <c r="D49" s="29">
        <v>305</v>
      </c>
      <c r="E49" s="29" t="s">
        <v>434</v>
      </c>
      <c r="F49" s="63"/>
      <c r="G49" s="63">
        <v>962.09</v>
      </c>
      <c r="H49" s="63">
        <f t="shared" si="10"/>
        <v>962.09</v>
      </c>
      <c r="I49" s="63">
        <v>1164.1288999999999</v>
      </c>
      <c r="J49" s="34">
        <f t="shared" si="9"/>
        <v>121</v>
      </c>
      <c r="K49" s="227">
        <f t="shared" si="11"/>
        <v>202.0388999999999</v>
      </c>
      <c r="L49" s="211"/>
    </row>
    <row r="50" spans="1:12" x14ac:dyDescent="0.2">
      <c r="A50" s="100"/>
      <c r="B50" s="29">
        <v>2111</v>
      </c>
      <c r="C50" s="100">
        <v>3632</v>
      </c>
      <c r="D50" s="29">
        <v>238</v>
      </c>
      <c r="E50" s="29" t="s">
        <v>38</v>
      </c>
      <c r="F50" s="63">
        <v>150</v>
      </c>
      <c r="G50" s="63"/>
      <c r="H50" s="63">
        <f t="shared" si="10"/>
        <v>150</v>
      </c>
      <c r="I50" s="63">
        <f>156.186+33.516</f>
        <v>189.702</v>
      </c>
      <c r="J50" s="34">
        <f t="shared" si="9"/>
        <v>126.468</v>
      </c>
      <c r="K50" s="227">
        <f t="shared" si="11"/>
        <v>39.701999999999998</v>
      </c>
      <c r="L50" s="103"/>
    </row>
    <row r="51" spans="1:12" x14ac:dyDescent="0.2">
      <c r="A51" s="100"/>
      <c r="B51" s="29">
        <v>2111</v>
      </c>
      <c r="C51" s="100">
        <v>3639</v>
      </c>
      <c r="D51" s="29">
        <v>21.318999999999999</v>
      </c>
      <c r="E51" s="29" t="s">
        <v>261</v>
      </c>
      <c r="F51" s="63">
        <f>21+69</f>
        <v>90</v>
      </c>
      <c r="G51" s="63"/>
      <c r="H51" s="63">
        <f t="shared" si="10"/>
        <v>90</v>
      </c>
      <c r="I51" s="63">
        <f>30.823+6.8058</f>
        <v>37.628799999999998</v>
      </c>
      <c r="J51" s="34">
        <f t="shared" si="9"/>
        <v>41.809777777777775</v>
      </c>
      <c r="K51" s="227">
        <f t="shared" si="11"/>
        <v>-52.371200000000002</v>
      </c>
      <c r="L51" s="103"/>
    </row>
    <row r="52" spans="1:12" x14ac:dyDescent="0.2">
      <c r="A52" s="100"/>
      <c r="B52" s="29">
        <v>2111.2323999999999</v>
      </c>
      <c r="C52" s="100">
        <v>3639</v>
      </c>
      <c r="D52" s="29">
        <v>239</v>
      </c>
      <c r="E52" s="29" t="s">
        <v>145</v>
      </c>
      <c r="F52" s="63">
        <v>40</v>
      </c>
      <c r="G52" s="63"/>
      <c r="H52" s="63">
        <f t="shared" si="10"/>
        <v>40</v>
      </c>
      <c r="I52" s="63">
        <v>31.45</v>
      </c>
      <c r="J52" s="34">
        <f t="shared" si="9"/>
        <v>78.625</v>
      </c>
      <c r="K52" s="227">
        <f t="shared" si="11"/>
        <v>-8.5500000000000007</v>
      </c>
      <c r="L52" s="103"/>
    </row>
    <row r="53" spans="1:12" x14ac:dyDescent="0.2">
      <c r="A53" s="100"/>
      <c r="B53" s="29">
        <v>2111</v>
      </c>
      <c r="C53" s="100">
        <v>3639</v>
      </c>
      <c r="D53" s="29">
        <v>243</v>
      </c>
      <c r="E53" s="29" t="s">
        <v>92</v>
      </c>
      <c r="F53" s="63">
        <v>45</v>
      </c>
      <c r="G53" s="63"/>
      <c r="H53" s="63">
        <f t="shared" si="10"/>
        <v>45</v>
      </c>
      <c r="I53" s="63">
        <v>45.094999999999999</v>
      </c>
      <c r="J53" s="34">
        <f t="shared" si="9"/>
        <v>100.21111111111112</v>
      </c>
      <c r="K53" s="227">
        <f t="shared" si="11"/>
        <v>9.4999999999998863E-2</v>
      </c>
      <c r="L53" s="103"/>
    </row>
    <row r="54" spans="1:12" x14ac:dyDescent="0.2">
      <c r="A54" s="100"/>
      <c r="B54" s="29">
        <v>2111</v>
      </c>
      <c r="C54" s="100">
        <v>4351</v>
      </c>
      <c r="D54" s="29">
        <v>227</v>
      </c>
      <c r="E54" s="29" t="s">
        <v>143</v>
      </c>
      <c r="F54" s="63">
        <f>750+100</f>
        <v>850</v>
      </c>
      <c r="G54" s="63"/>
      <c r="H54" s="63">
        <f t="shared" si="10"/>
        <v>850</v>
      </c>
      <c r="I54" s="63">
        <f>743.3542+180+4.3119</f>
        <v>927.66610000000003</v>
      </c>
      <c r="J54" s="34">
        <f t="shared" si="9"/>
        <v>109.13718823529412</v>
      </c>
      <c r="K54" s="227">
        <f t="shared" si="11"/>
        <v>77.666100000000029</v>
      </c>
      <c r="L54" s="105"/>
    </row>
    <row r="55" spans="1:12" x14ac:dyDescent="0.2">
      <c r="A55" s="100"/>
      <c r="B55" s="29">
        <v>2111</v>
      </c>
      <c r="C55" s="100">
        <v>6171</v>
      </c>
      <c r="D55" s="29">
        <v>911</v>
      </c>
      <c r="E55" s="29" t="s">
        <v>177</v>
      </c>
      <c r="F55" s="63">
        <f>70+30</f>
        <v>100</v>
      </c>
      <c r="G55" s="63"/>
      <c r="H55" s="63">
        <f t="shared" si="10"/>
        <v>100</v>
      </c>
      <c r="I55" s="63">
        <f>142+0.76+21.736+1.386+18.23+30.967+10.278+2+1.973</f>
        <v>229.32999999999996</v>
      </c>
      <c r="J55" s="34">
        <f t="shared" si="9"/>
        <v>229.32999999999996</v>
      </c>
      <c r="K55" s="227">
        <f t="shared" si="11"/>
        <v>129.32999999999996</v>
      </c>
      <c r="L55" s="103"/>
    </row>
    <row r="56" spans="1:12" x14ac:dyDescent="0.2">
      <c r="A56" s="100"/>
      <c r="B56" s="29">
        <v>2119</v>
      </c>
      <c r="C56" s="100">
        <v>2121</v>
      </c>
      <c r="D56" s="29">
        <v>20</v>
      </c>
      <c r="E56" s="29" t="s">
        <v>231</v>
      </c>
      <c r="F56" s="63">
        <v>30</v>
      </c>
      <c r="G56" s="63"/>
      <c r="H56" s="63">
        <f t="shared" si="10"/>
        <v>30</v>
      </c>
      <c r="I56" s="63">
        <v>23.130019999999998</v>
      </c>
      <c r="J56" s="34">
        <f t="shared" si="9"/>
        <v>77.100066666666649</v>
      </c>
      <c r="K56" s="227">
        <f t="shared" si="11"/>
        <v>-6.8699800000000018</v>
      </c>
      <c r="L56" s="103"/>
    </row>
    <row r="57" spans="1:12" x14ac:dyDescent="0.2">
      <c r="A57" s="100"/>
      <c r="B57" s="29">
        <v>2122</v>
      </c>
      <c r="C57" s="100"/>
      <c r="D57" s="29"/>
      <c r="E57" s="29" t="s">
        <v>246</v>
      </c>
      <c r="F57" s="63">
        <v>1858</v>
      </c>
      <c r="G57" s="63"/>
      <c r="H57" s="63">
        <f t="shared" si="10"/>
        <v>1858</v>
      </c>
      <c r="I57" s="63">
        <f>228.346+646.603+444.386+8.402+648.603</f>
        <v>1976.3400000000001</v>
      </c>
      <c r="J57" s="399">
        <f t="shared" si="9"/>
        <v>106.3692142088267</v>
      </c>
      <c r="K57" s="227">
        <f t="shared" si="11"/>
        <v>118.34000000000015</v>
      </c>
      <c r="L57" s="118"/>
    </row>
    <row r="58" spans="1:12" x14ac:dyDescent="0.2">
      <c r="A58" s="100"/>
      <c r="B58" s="29">
        <v>2129</v>
      </c>
      <c r="C58" s="100">
        <v>3412</v>
      </c>
      <c r="D58" s="29">
        <v>205</v>
      </c>
      <c r="E58" s="29" t="s">
        <v>384</v>
      </c>
      <c r="F58" s="63">
        <v>2807</v>
      </c>
      <c r="G58" s="63"/>
      <c r="H58" s="63">
        <f t="shared" si="10"/>
        <v>2807</v>
      </c>
      <c r="I58" s="63">
        <v>2806.944</v>
      </c>
      <c r="J58" s="399">
        <f t="shared" si="9"/>
        <v>99.998004987531175</v>
      </c>
      <c r="K58" s="227">
        <f t="shared" si="11"/>
        <v>-5.6000000000040018E-2</v>
      </c>
      <c r="L58" s="118"/>
    </row>
    <row r="59" spans="1:12" x14ac:dyDescent="0.2">
      <c r="A59" s="100"/>
      <c r="B59" s="29">
        <v>2129</v>
      </c>
      <c r="C59" s="100">
        <v>3114</v>
      </c>
      <c r="D59" s="29">
        <v>311</v>
      </c>
      <c r="E59" s="29" t="s">
        <v>412</v>
      </c>
      <c r="F59" s="63"/>
      <c r="G59" s="63"/>
      <c r="H59" s="63"/>
      <c r="I59" s="63">
        <v>145.51347999999999</v>
      </c>
      <c r="J59" s="399"/>
      <c r="K59" s="227">
        <f t="shared" si="11"/>
        <v>145.51347999999999</v>
      </c>
      <c r="L59" s="118"/>
    </row>
    <row r="60" spans="1:12" x14ac:dyDescent="0.2">
      <c r="A60" s="100"/>
      <c r="B60" s="29">
        <v>2324</v>
      </c>
      <c r="C60" s="100">
        <v>3725</v>
      </c>
      <c r="D60" s="29">
        <v>240</v>
      </c>
      <c r="E60" s="29" t="s">
        <v>118</v>
      </c>
      <c r="F60" s="63">
        <f>65+660</f>
        <v>725</v>
      </c>
      <c r="G60" s="63">
        <v>170</v>
      </c>
      <c r="H60" s="63">
        <f t="shared" si="10"/>
        <v>895</v>
      </c>
      <c r="I60" s="63">
        <f>71.16+30+875.5806</f>
        <v>976.74059999999997</v>
      </c>
      <c r="J60" s="34">
        <f>I60/$H60*100</f>
        <v>109.13302793296089</v>
      </c>
      <c r="K60" s="227">
        <f t="shared" si="11"/>
        <v>81.740599999999972</v>
      </c>
      <c r="L60" s="310"/>
    </row>
    <row r="61" spans="1:12" ht="15" customHeight="1" x14ac:dyDescent="0.2">
      <c r="A61" s="100"/>
      <c r="B61" s="100"/>
      <c r="C61" s="100"/>
      <c r="D61" s="100"/>
      <c r="E61" s="32" t="s">
        <v>41</v>
      </c>
      <c r="F61" s="64">
        <f>SUM(F62:F72)</f>
        <v>13126</v>
      </c>
      <c r="G61" s="64">
        <f>SUM(G62:G72)</f>
        <v>0</v>
      </c>
      <c r="H61" s="64">
        <f>SUM(H62:H72)</f>
        <v>13126</v>
      </c>
      <c r="I61" s="64">
        <f>SUM(I62:I72)</f>
        <v>13354.36573</v>
      </c>
      <c r="J61" s="183">
        <f t="shared" ref="J61:J94" si="12">I61/$H61*100</f>
        <v>101.73979681548073</v>
      </c>
      <c r="K61" s="299">
        <f>SUM(K62:K72)</f>
        <v>228.36572999999959</v>
      </c>
      <c r="L61" s="103"/>
    </row>
    <row r="62" spans="1:12" x14ac:dyDescent="0.2">
      <c r="A62" s="100"/>
      <c r="B62" s="29">
        <v>2131</v>
      </c>
      <c r="C62" s="100">
        <v>1012</v>
      </c>
      <c r="D62" s="29">
        <v>38</v>
      </c>
      <c r="E62" s="29" t="s">
        <v>189</v>
      </c>
      <c r="F62" s="63">
        <v>408</v>
      </c>
      <c r="G62" s="63"/>
      <c r="H62" s="63">
        <f t="shared" ref="H62:H72" si="13">SUM(F62:G62)</f>
        <v>408</v>
      </c>
      <c r="I62" s="63">
        <v>583.31777999999997</v>
      </c>
      <c r="J62" s="34">
        <f t="shared" si="12"/>
        <v>142.97004411764703</v>
      </c>
      <c r="K62" s="227">
        <f t="shared" ref="K62:K72" si="14">I62-H62</f>
        <v>175.31777999999997</v>
      </c>
      <c r="L62" s="103" t="s">
        <v>330</v>
      </c>
    </row>
    <row r="63" spans="1:12" x14ac:dyDescent="0.2">
      <c r="A63" s="100"/>
      <c r="B63" s="29">
        <v>2132</v>
      </c>
      <c r="C63" s="100">
        <v>2121</v>
      </c>
      <c r="D63" s="29">
        <v>237</v>
      </c>
      <c r="E63" s="29" t="s">
        <v>190</v>
      </c>
      <c r="F63" s="63">
        <f>1360+24</f>
        <v>1384</v>
      </c>
      <c r="G63" s="63"/>
      <c r="H63" s="63">
        <f t="shared" si="13"/>
        <v>1384</v>
      </c>
      <c r="I63" s="63">
        <f>46.86861+1467.96994</f>
        <v>1514.8385499999999</v>
      </c>
      <c r="J63" s="34">
        <f t="shared" ref="J63:J72" si="15">I63/$H63*100</f>
        <v>109.4536524566474</v>
      </c>
      <c r="K63" s="227">
        <f t="shared" si="14"/>
        <v>130.83854999999994</v>
      </c>
      <c r="L63" s="212"/>
    </row>
    <row r="64" spans="1:12" x14ac:dyDescent="0.2">
      <c r="A64" s="100"/>
      <c r="B64" s="29">
        <v>2132</v>
      </c>
      <c r="C64" s="100">
        <v>3113</v>
      </c>
      <c r="D64" s="29">
        <v>302</v>
      </c>
      <c r="E64" s="29" t="s">
        <v>346</v>
      </c>
      <c r="F64" s="63">
        <v>195</v>
      </c>
      <c r="G64" s="63"/>
      <c r="H64" s="63">
        <f t="shared" si="13"/>
        <v>195</v>
      </c>
      <c r="I64" s="63">
        <v>195.55</v>
      </c>
      <c r="J64" s="34">
        <f t="shared" si="15"/>
        <v>100.2820512820513</v>
      </c>
      <c r="K64" s="227">
        <f t="shared" si="14"/>
        <v>0.55000000000001137</v>
      </c>
      <c r="L64" s="212"/>
    </row>
    <row r="65" spans="1:12" x14ac:dyDescent="0.2">
      <c r="A65" s="100"/>
      <c r="B65" s="29">
        <v>2132</v>
      </c>
      <c r="C65" s="100">
        <v>3613</v>
      </c>
      <c r="D65" s="29">
        <v>316</v>
      </c>
      <c r="E65" s="29" t="s">
        <v>348</v>
      </c>
      <c r="F65" s="63"/>
      <c r="G65" s="63"/>
      <c r="H65" s="63">
        <f t="shared" si="13"/>
        <v>0</v>
      </c>
      <c r="I65" s="63">
        <v>91.239000000000004</v>
      </c>
      <c r="J65" s="34"/>
      <c r="K65" s="227">
        <f t="shared" si="14"/>
        <v>91.239000000000004</v>
      </c>
      <c r="L65" s="212"/>
    </row>
    <row r="66" spans="1:12" x14ac:dyDescent="0.2">
      <c r="A66" s="100"/>
      <c r="B66" s="29">
        <v>2132</v>
      </c>
      <c r="C66" s="100">
        <v>3612</v>
      </c>
      <c r="D66" s="29" t="s">
        <v>290</v>
      </c>
      <c r="E66" s="29" t="s">
        <v>142</v>
      </c>
      <c r="F66" s="63">
        <v>7848</v>
      </c>
      <c r="G66" s="63"/>
      <c r="H66" s="63">
        <f t="shared" si="13"/>
        <v>7848</v>
      </c>
      <c r="I66" s="63">
        <f>2069.188+0.017+1652.333+10.223+4035.4981+1.323</f>
        <v>7768.5820999999996</v>
      </c>
      <c r="J66" s="34">
        <f t="shared" si="15"/>
        <v>98.988049184505599</v>
      </c>
      <c r="K66" s="227">
        <f t="shared" si="14"/>
        <v>-79.417900000000373</v>
      </c>
      <c r="L66" s="103"/>
    </row>
    <row r="67" spans="1:12" x14ac:dyDescent="0.2">
      <c r="A67" s="100"/>
      <c r="B67" s="29">
        <v>2132</v>
      </c>
      <c r="C67" s="100">
        <v>3613</v>
      </c>
      <c r="D67" s="29">
        <v>703</v>
      </c>
      <c r="E67" s="29" t="s">
        <v>42</v>
      </c>
      <c r="F67" s="63">
        <v>750</v>
      </c>
      <c r="G67" s="63"/>
      <c r="H67" s="63">
        <f t="shared" si="13"/>
        <v>750</v>
      </c>
      <c r="I67" s="63">
        <f>755.672+0.1</f>
        <v>755.77200000000005</v>
      </c>
      <c r="J67" s="34">
        <f t="shared" si="15"/>
        <v>100.76960000000001</v>
      </c>
      <c r="K67" s="227">
        <f t="shared" si="14"/>
        <v>5.7720000000000482</v>
      </c>
      <c r="L67" s="103"/>
    </row>
    <row r="68" spans="1:12" ht="13.5" customHeight="1" x14ac:dyDescent="0.2">
      <c r="A68" s="100"/>
      <c r="B68" s="29">
        <v>2132</v>
      </c>
      <c r="C68" s="100">
        <v>3634</v>
      </c>
      <c r="D68" s="29">
        <v>21</v>
      </c>
      <c r="E68" s="29" t="s">
        <v>43</v>
      </c>
      <c r="F68" s="63">
        <v>951</v>
      </c>
      <c r="G68" s="63"/>
      <c r="H68" s="63">
        <f t="shared" si="13"/>
        <v>951</v>
      </c>
      <c r="I68" s="63">
        <v>951.18096000000003</v>
      </c>
      <c r="J68" s="34">
        <f t="shared" si="15"/>
        <v>100.01902839116718</v>
      </c>
      <c r="K68" s="227">
        <f t="shared" si="14"/>
        <v>0.18096000000002732</v>
      </c>
      <c r="L68" s="103"/>
    </row>
    <row r="69" spans="1:12" x14ac:dyDescent="0.2">
      <c r="A69" s="100"/>
      <c r="B69" s="29">
        <v>2132</v>
      </c>
      <c r="C69" s="100">
        <v>3639</v>
      </c>
      <c r="D69" s="29">
        <v>21</v>
      </c>
      <c r="E69" s="29" t="s">
        <v>173</v>
      </c>
      <c r="F69" s="63">
        <f>162+275+123</f>
        <v>560</v>
      </c>
      <c r="G69" s="63"/>
      <c r="H69" s="63">
        <f t="shared" si="13"/>
        <v>560</v>
      </c>
      <c r="I69" s="63">
        <v>478.39812999999998</v>
      </c>
      <c r="J69" s="34">
        <f t="shared" si="15"/>
        <v>85.428237499999994</v>
      </c>
      <c r="K69" s="227">
        <f t="shared" si="14"/>
        <v>-81.601870000000019</v>
      </c>
      <c r="L69" s="103"/>
    </row>
    <row r="70" spans="1:12" x14ac:dyDescent="0.2">
      <c r="A70" s="100"/>
      <c r="B70" s="29">
        <v>2132</v>
      </c>
      <c r="C70" s="100">
        <v>3639</v>
      </c>
      <c r="D70" s="29">
        <v>319</v>
      </c>
      <c r="E70" s="29" t="s">
        <v>263</v>
      </c>
      <c r="F70" s="63">
        <v>274</v>
      </c>
      <c r="G70" s="63"/>
      <c r="H70" s="63">
        <f t="shared" si="13"/>
        <v>274</v>
      </c>
      <c r="I70" s="63">
        <v>274.428</v>
      </c>
      <c r="J70" s="34">
        <f t="shared" si="15"/>
        <v>100.15620437956206</v>
      </c>
      <c r="K70" s="227">
        <f t="shared" si="14"/>
        <v>0.42799999999999727</v>
      </c>
      <c r="L70" s="103"/>
    </row>
    <row r="71" spans="1:12" x14ac:dyDescent="0.2">
      <c r="A71" s="100"/>
      <c r="B71" s="29">
        <v>2133</v>
      </c>
      <c r="C71" s="100">
        <v>3639</v>
      </c>
      <c r="D71" s="29">
        <v>34</v>
      </c>
      <c r="E71" s="29" t="s">
        <v>172</v>
      </c>
      <c r="F71" s="63">
        <v>44</v>
      </c>
      <c r="G71" s="63"/>
      <c r="H71" s="63">
        <f t="shared" si="13"/>
        <v>44</v>
      </c>
      <c r="I71" s="63">
        <v>29.05921</v>
      </c>
      <c r="J71" s="34">
        <f t="shared" si="15"/>
        <v>66.043659090909088</v>
      </c>
      <c r="K71" s="227">
        <f t="shared" si="14"/>
        <v>-14.94079</v>
      </c>
      <c r="L71" s="103"/>
    </row>
    <row r="72" spans="1:12" x14ac:dyDescent="0.2">
      <c r="A72" s="100"/>
      <c r="B72" s="29">
        <v>2132</v>
      </c>
      <c r="C72" s="100">
        <v>4355</v>
      </c>
      <c r="D72" s="29">
        <v>311</v>
      </c>
      <c r="E72" s="29" t="s">
        <v>269</v>
      </c>
      <c r="F72" s="63">
        <v>712</v>
      </c>
      <c r="G72" s="63"/>
      <c r="H72" s="63">
        <f t="shared" si="13"/>
        <v>712</v>
      </c>
      <c r="I72" s="63">
        <v>712</v>
      </c>
      <c r="J72" s="34">
        <f t="shared" si="15"/>
        <v>100</v>
      </c>
      <c r="K72" s="227">
        <f t="shared" si="14"/>
        <v>0</v>
      </c>
      <c r="L72" s="103"/>
    </row>
    <row r="73" spans="1:12" ht="14.25" customHeight="1" x14ac:dyDescent="0.2">
      <c r="A73" s="100"/>
      <c r="B73" s="100"/>
      <c r="C73" s="100"/>
      <c r="D73" s="100"/>
      <c r="E73" s="32" t="s">
        <v>89</v>
      </c>
      <c r="F73" s="64">
        <f>SUM(F74:F77)</f>
        <v>74</v>
      </c>
      <c r="G73" s="64"/>
      <c r="H73" s="64">
        <f>SUM(H74:H77)</f>
        <v>74</v>
      </c>
      <c r="I73" s="64">
        <f>SUM(I74:I77)</f>
        <v>76.962980000000002</v>
      </c>
      <c r="J73" s="183">
        <f t="shared" si="12"/>
        <v>104.00402702702702</v>
      </c>
      <c r="K73" s="299">
        <f>SUM(K74:K77)</f>
        <v>2.9629799999999964</v>
      </c>
      <c r="L73" s="213"/>
    </row>
    <row r="74" spans="1:12" x14ac:dyDescent="0.2">
      <c r="A74" s="100"/>
      <c r="B74" s="29">
        <v>2141</v>
      </c>
      <c r="C74" s="100">
        <v>6310</v>
      </c>
      <c r="D74" s="29">
        <v>314</v>
      </c>
      <c r="E74" s="29" t="s">
        <v>274</v>
      </c>
      <c r="F74" s="63">
        <v>15</v>
      </c>
      <c r="G74" s="63"/>
      <c r="H74" s="63">
        <f>SUM(F74:G74)</f>
        <v>15</v>
      </c>
      <c r="I74" s="63">
        <f>9.10672+0.63002+0.6786</f>
        <v>10.415339999999999</v>
      </c>
      <c r="J74" s="34">
        <f t="shared" si="12"/>
        <v>69.43559999999998</v>
      </c>
      <c r="K74" s="227">
        <f>I74-H74</f>
        <v>-4.5846600000000013</v>
      </c>
      <c r="L74" s="103"/>
    </row>
    <row r="75" spans="1:12" x14ac:dyDescent="0.2">
      <c r="A75" s="100"/>
      <c r="B75" s="29">
        <v>2143</v>
      </c>
      <c r="C75" s="100"/>
      <c r="D75" s="29"/>
      <c r="E75" s="29" t="s">
        <v>283</v>
      </c>
      <c r="F75" s="63"/>
      <c r="G75" s="63"/>
      <c r="H75" s="63"/>
      <c r="I75" s="63">
        <v>0.14964</v>
      </c>
      <c r="J75" s="34"/>
      <c r="K75" s="227">
        <f>I75-H75</f>
        <v>0.14964</v>
      </c>
      <c r="L75" s="103"/>
    </row>
    <row r="76" spans="1:12" x14ac:dyDescent="0.2">
      <c r="A76" s="100"/>
      <c r="B76" s="29">
        <v>2141</v>
      </c>
      <c r="C76" s="100">
        <v>6310</v>
      </c>
      <c r="D76" s="29">
        <v>245</v>
      </c>
      <c r="E76" s="29" t="s">
        <v>178</v>
      </c>
      <c r="F76" s="63">
        <v>54</v>
      </c>
      <c r="G76" s="63"/>
      <c r="H76" s="63">
        <f>SUM(F76:G76)</f>
        <v>54</v>
      </c>
      <c r="I76" s="63">
        <v>54.658999999999999</v>
      </c>
      <c r="J76" s="34">
        <f t="shared" si="12"/>
        <v>101.22037037037038</v>
      </c>
      <c r="K76" s="227">
        <f>I76-H76</f>
        <v>0.65899999999999892</v>
      </c>
      <c r="L76" s="103"/>
    </row>
    <row r="77" spans="1:12" ht="13.5" customHeight="1" x14ac:dyDescent="0.2">
      <c r="A77" s="100"/>
      <c r="B77" s="29">
        <v>2141</v>
      </c>
      <c r="C77" s="100">
        <v>6310</v>
      </c>
      <c r="D77" s="29">
        <v>318</v>
      </c>
      <c r="E77" s="29" t="s">
        <v>310</v>
      </c>
      <c r="F77" s="63">
        <v>5</v>
      </c>
      <c r="G77" s="63"/>
      <c r="H77" s="63">
        <f>SUM(F77:G77)</f>
        <v>5</v>
      </c>
      <c r="I77" s="63">
        <f>0.587+11.152</f>
        <v>11.738999999999999</v>
      </c>
      <c r="J77" s="34">
        <f t="shared" si="12"/>
        <v>234.78</v>
      </c>
      <c r="K77" s="227">
        <f>I77-H77</f>
        <v>6.738999999999999</v>
      </c>
      <c r="L77" s="103"/>
    </row>
    <row r="78" spans="1:12" x14ac:dyDescent="0.2">
      <c r="A78" s="87" t="s">
        <v>130</v>
      </c>
      <c r="B78" s="32"/>
      <c r="C78" s="87"/>
      <c r="D78" s="32"/>
      <c r="E78" s="32"/>
      <c r="F78" s="64">
        <f>SUM(F79:F85)</f>
        <v>1527</v>
      </c>
      <c r="G78" s="64">
        <f>SUM(G79:G85)</f>
        <v>0</v>
      </c>
      <c r="H78" s="64">
        <f>SUM(H79:H85)</f>
        <v>1527</v>
      </c>
      <c r="I78" s="64">
        <f>SUM(I79:I85)</f>
        <v>867.43534</v>
      </c>
      <c r="J78" s="183">
        <f t="shared" si="12"/>
        <v>56.8065055664702</v>
      </c>
      <c r="K78" s="299">
        <f>SUM(K79:K85)</f>
        <v>-659.56466</v>
      </c>
      <c r="L78" s="209"/>
    </row>
    <row r="79" spans="1:12" x14ac:dyDescent="0.2">
      <c r="A79" s="100"/>
      <c r="B79" s="29">
        <v>2212</v>
      </c>
      <c r="C79" s="100">
        <v>6171</v>
      </c>
      <c r="D79" s="29">
        <v>11</v>
      </c>
      <c r="E79" s="29" t="s">
        <v>135</v>
      </c>
      <c r="F79" s="63">
        <v>5</v>
      </c>
      <c r="G79" s="63"/>
      <c r="H79" s="63">
        <f t="shared" ref="H79:H94" si="16">SUM(F79:G79)</f>
        <v>5</v>
      </c>
      <c r="I79" s="63">
        <v>3</v>
      </c>
      <c r="J79" s="34">
        <f t="shared" si="12"/>
        <v>60</v>
      </c>
      <c r="K79" s="227">
        <f t="shared" ref="K79:K85" si="17">I79-H79</f>
        <v>-2</v>
      </c>
      <c r="L79" s="209"/>
    </row>
    <row r="80" spans="1:12" x14ac:dyDescent="0.2">
      <c r="B80" s="29">
        <v>2212</v>
      </c>
      <c r="C80" s="100">
        <v>6171</v>
      </c>
      <c r="D80" s="29">
        <v>14.33</v>
      </c>
      <c r="E80" s="29" t="s">
        <v>245</v>
      </c>
      <c r="F80" s="63">
        <f>65+7</f>
        <v>72</v>
      </c>
      <c r="G80" s="63"/>
      <c r="H80" s="63">
        <f t="shared" si="16"/>
        <v>72</v>
      </c>
      <c r="I80" s="63">
        <f>60.61093+0.8+4.9</f>
        <v>66.310929999999999</v>
      </c>
      <c r="J80" s="34">
        <f t="shared" si="12"/>
        <v>92.098513888888888</v>
      </c>
      <c r="K80" s="227">
        <f t="shared" si="17"/>
        <v>-5.689070000000001</v>
      </c>
      <c r="L80" s="103"/>
    </row>
    <row r="81" spans="1:12" x14ac:dyDescent="0.2">
      <c r="A81" s="88"/>
      <c r="B81" s="29">
        <v>2212</v>
      </c>
      <c r="C81" s="100">
        <v>2169</v>
      </c>
      <c r="D81" s="29">
        <v>15</v>
      </c>
      <c r="E81" s="29" t="s">
        <v>163</v>
      </c>
      <c r="F81" s="63">
        <v>40</v>
      </c>
      <c r="G81" s="63"/>
      <c r="H81" s="63">
        <f t="shared" si="16"/>
        <v>40</v>
      </c>
      <c r="I81" s="63">
        <v>0</v>
      </c>
      <c r="J81" s="34">
        <f t="shared" si="12"/>
        <v>0</v>
      </c>
      <c r="K81" s="227">
        <f t="shared" si="17"/>
        <v>-40</v>
      </c>
      <c r="L81" s="361"/>
    </row>
    <row r="82" spans="1:12" x14ac:dyDescent="0.2">
      <c r="A82" s="100"/>
      <c r="B82" s="29">
        <v>2212</v>
      </c>
      <c r="C82" s="200" t="s">
        <v>186</v>
      </c>
      <c r="D82" s="29">
        <v>17</v>
      </c>
      <c r="E82" s="29" t="s">
        <v>133</v>
      </c>
      <c r="F82" s="63">
        <v>60</v>
      </c>
      <c r="G82" s="63"/>
      <c r="H82" s="63">
        <f t="shared" si="16"/>
        <v>60</v>
      </c>
      <c r="I82" s="63">
        <v>5.8</v>
      </c>
      <c r="J82" s="34">
        <f t="shared" si="12"/>
        <v>9.6666666666666661</v>
      </c>
      <c r="K82" s="227">
        <f t="shared" si="17"/>
        <v>-54.2</v>
      </c>
      <c r="L82" s="103"/>
    </row>
    <row r="83" spans="1:12" x14ac:dyDescent="0.2">
      <c r="A83" s="100"/>
      <c r="B83" s="29">
        <v>2212</v>
      </c>
      <c r="C83" s="100">
        <v>6171</v>
      </c>
      <c r="D83" s="29">
        <v>25.26</v>
      </c>
      <c r="E83" s="29" t="s">
        <v>132</v>
      </c>
      <c r="F83" s="63">
        <v>1200</v>
      </c>
      <c r="G83" s="63"/>
      <c r="H83" s="63">
        <f t="shared" si="16"/>
        <v>1200</v>
      </c>
      <c r="I83" s="63">
        <v>606.42430999999999</v>
      </c>
      <c r="J83" s="34">
        <f t="shared" si="12"/>
        <v>50.535359166666673</v>
      </c>
      <c r="K83" s="227">
        <f t="shared" si="17"/>
        <v>-593.57569000000001</v>
      </c>
      <c r="L83" s="103"/>
    </row>
    <row r="84" spans="1:12" x14ac:dyDescent="0.2">
      <c r="A84" s="100"/>
      <c r="B84" s="29">
        <v>2212</v>
      </c>
      <c r="C84" s="100">
        <v>6171</v>
      </c>
      <c r="D84" s="29">
        <v>30.13</v>
      </c>
      <c r="E84" s="29" t="s">
        <v>312</v>
      </c>
      <c r="F84" s="63">
        <v>0</v>
      </c>
      <c r="G84" s="63"/>
      <c r="H84" s="63">
        <f t="shared" si="16"/>
        <v>0</v>
      </c>
      <c r="I84" s="63">
        <v>3</v>
      </c>
      <c r="J84" s="34"/>
      <c r="K84" s="227">
        <f t="shared" si="17"/>
        <v>3</v>
      </c>
      <c r="L84" s="103"/>
    </row>
    <row r="85" spans="1:12" x14ac:dyDescent="0.2">
      <c r="A85" s="100"/>
      <c r="B85" s="29">
        <v>2212</v>
      </c>
      <c r="C85" s="100">
        <v>5311</v>
      </c>
      <c r="D85" s="29">
        <v>16</v>
      </c>
      <c r="E85" s="29" t="s">
        <v>44</v>
      </c>
      <c r="F85" s="63">
        <v>150</v>
      </c>
      <c r="G85" s="63"/>
      <c r="H85" s="63">
        <f t="shared" si="16"/>
        <v>150</v>
      </c>
      <c r="I85" s="63">
        <v>182.90010000000001</v>
      </c>
      <c r="J85" s="34">
        <f t="shared" si="12"/>
        <v>121.93340000000002</v>
      </c>
      <c r="K85" s="227">
        <f t="shared" si="17"/>
        <v>32.900100000000009</v>
      </c>
      <c r="L85" s="103"/>
    </row>
    <row r="86" spans="1:12" x14ac:dyDescent="0.2">
      <c r="A86" s="87" t="s">
        <v>129</v>
      </c>
      <c r="B86" s="29"/>
      <c r="C86" s="100"/>
      <c r="D86" s="29"/>
      <c r="E86" s="29"/>
      <c r="F86" s="64">
        <f>SUM(F87:F94)</f>
        <v>0</v>
      </c>
      <c r="G86" s="64">
        <f>SUM(G87:G94)</f>
        <v>1835.8228100000001</v>
      </c>
      <c r="H86" s="64">
        <f>SUM(H87:H94)</f>
        <v>1835.8228100000001</v>
      </c>
      <c r="I86" s="64">
        <f>SUM(I87:I94)</f>
        <v>1854.9988100000003</v>
      </c>
      <c r="J86" s="183">
        <f t="shared" si="12"/>
        <v>101.04454525216408</v>
      </c>
      <c r="K86" s="299">
        <f>SUM(K87:K94)</f>
        <v>19.176000000000002</v>
      </c>
      <c r="L86" s="310"/>
    </row>
    <row r="87" spans="1:12" x14ac:dyDescent="0.2">
      <c r="A87" s="100"/>
      <c r="B87" s="29">
        <v>2321</v>
      </c>
      <c r="C87" s="100">
        <v>2199</v>
      </c>
      <c r="D87" s="29"/>
      <c r="E87" s="29" t="s">
        <v>266</v>
      </c>
      <c r="F87" s="63"/>
      <c r="G87" s="63">
        <f>10+32+20</f>
        <v>62</v>
      </c>
      <c r="H87" s="63">
        <f t="shared" si="16"/>
        <v>62</v>
      </c>
      <c r="I87" s="63">
        <f>10+32+20</f>
        <v>62</v>
      </c>
      <c r="J87" s="34">
        <f t="shared" si="12"/>
        <v>100</v>
      </c>
      <c r="K87" s="227">
        <f t="shared" ref="K87:K94" si="18">I87-H87</f>
        <v>0</v>
      </c>
      <c r="L87" s="103"/>
    </row>
    <row r="88" spans="1:12" x14ac:dyDescent="0.2">
      <c r="A88" s="100"/>
      <c r="B88" s="29">
        <v>2321</v>
      </c>
      <c r="C88" s="100">
        <v>2321</v>
      </c>
      <c r="D88" s="29"/>
      <c r="E88" s="29" t="s">
        <v>402</v>
      </c>
      <c r="F88" s="63"/>
      <c r="G88" s="63">
        <v>948</v>
      </c>
      <c r="H88" s="63">
        <f t="shared" si="16"/>
        <v>948</v>
      </c>
      <c r="I88" s="63">
        <v>948</v>
      </c>
      <c r="J88" s="34">
        <f t="shared" si="12"/>
        <v>100</v>
      </c>
      <c r="K88" s="227">
        <f t="shared" si="18"/>
        <v>0</v>
      </c>
      <c r="L88" s="103"/>
    </row>
    <row r="89" spans="1:12" x14ac:dyDescent="0.2">
      <c r="A89" s="100"/>
      <c r="B89" s="29">
        <v>2222</v>
      </c>
      <c r="C89" s="100">
        <v>6402</v>
      </c>
      <c r="D89" s="29"/>
      <c r="E89" s="29" t="s">
        <v>435</v>
      </c>
      <c r="F89" s="63"/>
      <c r="G89" s="63">
        <v>0.49099999999999999</v>
      </c>
      <c r="H89" s="63">
        <f t="shared" si="16"/>
        <v>0.49099999999999999</v>
      </c>
      <c r="I89" s="63">
        <v>0.49099999999999999</v>
      </c>
      <c r="J89" s="34">
        <f t="shared" si="12"/>
        <v>100</v>
      </c>
      <c r="K89" s="227">
        <f t="shared" si="18"/>
        <v>0</v>
      </c>
      <c r="L89" s="103"/>
    </row>
    <row r="90" spans="1:12" x14ac:dyDescent="0.2">
      <c r="A90" s="100"/>
      <c r="B90" s="29">
        <v>2229</v>
      </c>
      <c r="C90" s="100">
        <v>4355</v>
      </c>
      <c r="D90" s="29"/>
      <c r="E90" s="29" t="s">
        <v>389</v>
      </c>
      <c r="F90" s="63"/>
      <c r="G90" s="63">
        <v>608.69500000000005</v>
      </c>
      <c r="H90" s="63">
        <f t="shared" si="16"/>
        <v>608.69500000000005</v>
      </c>
      <c r="I90" s="63">
        <v>608.69500000000005</v>
      </c>
      <c r="J90" s="34">
        <f t="shared" si="12"/>
        <v>100</v>
      </c>
      <c r="K90" s="227">
        <f t="shared" si="18"/>
        <v>0</v>
      </c>
      <c r="L90" s="103"/>
    </row>
    <row r="91" spans="1:12" x14ac:dyDescent="0.2">
      <c r="A91" s="100"/>
      <c r="B91" s="29">
        <v>2229</v>
      </c>
      <c r="C91" s="100">
        <v>6402</v>
      </c>
      <c r="D91" s="29">
        <v>301</v>
      </c>
      <c r="E91" s="29" t="s">
        <v>426</v>
      </c>
      <c r="F91" s="63"/>
      <c r="G91" s="63">
        <v>27.920809999999999</v>
      </c>
      <c r="H91" s="63">
        <f t="shared" si="16"/>
        <v>27.920809999999999</v>
      </c>
      <c r="I91" s="63">
        <v>27.920809999999999</v>
      </c>
      <c r="J91" s="34">
        <f t="shared" si="12"/>
        <v>100</v>
      </c>
      <c r="K91" s="227">
        <f t="shared" si="18"/>
        <v>0</v>
      </c>
      <c r="L91" s="103"/>
    </row>
    <row r="92" spans="1:12" x14ac:dyDescent="0.2">
      <c r="A92" s="100"/>
      <c r="B92" s="29">
        <v>2324</v>
      </c>
      <c r="C92" s="100">
        <v>4349.3420999999998</v>
      </c>
      <c r="D92" s="29">
        <v>105.22799999999999</v>
      </c>
      <c r="E92" s="29" t="s">
        <v>392</v>
      </c>
      <c r="F92" s="63"/>
      <c r="G92" s="63">
        <f>30+20</f>
        <v>50</v>
      </c>
      <c r="H92" s="63">
        <f t="shared" si="16"/>
        <v>50</v>
      </c>
      <c r="I92" s="63">
        <f>5+63.976</f>
        <v>68.975999999999999</v>
      </c>
      <c r="J92" s="34">
        <f t="shared" si="12"/>
        <v>137.952</v>
      </c>
      <c r="K92" s="227">
        <f t="shared" si="18"/>
        <v>18.975999999999999</v>
      </c>
      <c r="L92" s="103"/>
    </row>
    <row r="93" spans="1:12" x14ac:dyDescent="0.2">
      <c r="A93" s="100"/>
      <c r="B93" s="29">
        <v>2324</v>
      </c>
      <c r="C93" s="100">
        <v>1036</v>
      </c>
      <c r="D93" s="29">
        <v>109</v>
      </c>
      <c r="E93" s="29" t="s">
        <v>425</v>
      </c>
      <c r="F93" s="63"/>
      <c r="G93" s="63">
        <v>99.715999999999994</v>
      </c>
      <c r="H93" s="63">
        <f t="shared" si="16"/>
        <v>99.715999999999994</v>
      </c>
      <c r="I93" s="63">
        <v>99.715999999999994</v>
      </c>
      <c r="J93" s="34">
        <f t="shared" si="12"/>
        <v>100</v>
      </c>
      <c r="K93" s="227">
        <f t="shared" si="18"/>
        <v>0</v>
      </c>
      <c r="L93" s="103"/>
    </row>
    <row r="94" spans="1:12" ht="13.5" thickBot="1" x14ac:dyDescent="0.25">
      <c r="A94" s="100"/>
      <c r="B94" s="29">
        <v>2324</v>
      </c>
      <c r="C94" s="100">
        <v>5512</v>
      </c>
      <c r="D94" s="29">
        <v>223</v>
      </c>
      <c r="E94" s="29" t="s">
        <v>306</v>
      </c>
      <c r="F94" s="63"/>
      <c r="G94" s="63">
        <v>39</v>
      </c>
      <c r="H94" s="63">
        <f t="shared" si="16"/>
        <v>39</v>
      </c>
      <c r="I94" s="63">
        <f>28+11.2</f>
        <v>39.200000000000003</v>
      </c>
      <c r="J94" s="34">
        <f t="shared" si="12"/>
        <v>100.51282051282051</v>
      </c>
      <c r="K94" s="227">
        <f t="shared" si="18"/>
        <v>0.20000000000000284</v>
      </c>
      <c r="L94" s="103"/>
    </row>
    <row r="95" spans="1:12" ht="16.5" thickBot="1" x14ac:dyDescent="0.3">
      <c r="A95" s="106" t="s">
        <v>45</v>
      </c>
      <c r="B95" s="109"/>
      <c r="C95" s="110"/>
      <c r="D95" s="109"/>
      <c r="E95" s="109"/>
      <c r="F95" s="65">
        <f>SUM(F39+F61+F73+F78+F86)</f>
        <v>27406</v>
      </c>
      <c r="G95" s="65">
        <f>SUM(G39+G61+G73+G78+G86)</f>
        <v>2399.9128100000003</v>
      </c>
      <c r="H95" s="65">
        <f>SUM(H39+H61+H73+H78+H86)</f>
        <v>29805.912810000002</v>
      </c>
      <c r="I95" s="65">
        <f>SUM(I39+I61+I73+I78+I86)</f>
        <v>30140.540660000002</v>
      </c>
      <c r="J95" s="36">
        <f>I95/$H95*100</f>
        <v>101.12268948826735</v>
      </c>
      <c r="K95" s="303">
        <f>SUM(K39+K61+K73+K78+K86)</f>
        <v>334.62784999999946</v>
      </c>
      <c r="L95" s="214"/>
    </row>
    <row r="96" spans="1:12" x14ac:dyDescent="0.2">
      <c r="A96" s="101" t="s">
        <v>149</v>
      </c>
      <c r="B96" s="69"/>
      <c r="C96" s="101"/>
      <c r="D96" s="69"/>
      <c r="E96" s="101" t="s">
        <v>46</v>
      </c>
      <c r="F96" s="68"/>
      <c r="G96" s="68"/>
      <c r="H96" s="68"/>
      <c r="I96" s="68"/>
      <c r="J96" s="30"/>
      <c r="K96" s="30"/>
      <c r="L96" s="210"/>
    </row>
    <row r="97" spans="1:12" x14ac:dyDescent="0.2">
      <c r="A97" s="87" t="s">
        <v>47</v>
      </c>
      <c r="B97" s="32"/>
      <c r="C97" s="87"/>
      <c r="D97" s="32"/>
      <c r="E97" s="32"/>
      <c r="F97" s="64"/>
      <c r="G97" s="64"/>
      <c r="H97" s="64"/>
      <c r="I97" s="64"/>
      <c r="J97" s="31"/>
      <c r="K97" s="265"/>
      <c r="L97" s="209"/>
    </row>
    <row r="98" spans="1:12" x14ac:dyDescent="0.2">
      <c r="A98" s="100"/>
      <c r="B98" s="29">
        <v>3111</v>
      </c>
      <c r="C98" s="100">
        <v>2121</v>
      </c>
      <c r="D98" s="29">
        <v>20</v>
      </c>
      <c r="E98" s="29" t="s">
        <v>179</v>
      </c>
      <c r="F98" s="63">
        <v>50</v>
      </c>
      <c r="G98" s="63"/>
      <c r="H98" s="63">
        <f>SUM(F98:G98)</f>
        <v>50</v>
      </c>
      <c r="I98" s="63">
        <v>233.84700000000001</v>
      </c>
      <c r="J98" s="34">
        <f t="shared" ref="J98:J103" si="19">I98/$H98*100</f>
        <v>467.69400000000002</v>
      </c>
      <c r="K98" s="227">
        <f>I98-H98</f>
        <v>183.84700000000001</v>
      </c>
      <c r="L98" s="103"/>
    </row>
    <row r="99" spans="1:12" x14ac:dyDescent="0.2">
      <c r="A99" s="100"/>
      <c r="B99" s="29">
        <v>3111</v>
      </c>
      <c r="C99" s="100">
        <v>3612</v>
      </c>
      <c r="D99" s="29">
        <v>326</v>
      </c>
      <c r="E99" s="29" t="s">
        <v>345</v>
      </c>
      <c r="F99" s="63">
        <f>2020+424</f>
        <v>2444</v>
      </c>
      <c r="G99" s="63"/>
      <c r="H99" s="63">
        <f>SUM(F99:G99)</f>
        <v>2444</v>
      </c>
      <c r="I99" s="63">
        <v>181.5</v>
      </c>
      <c r="J99" s="34">
        <f t="shared" si="19"/>
        <v>7.4263502454991821</v>
      </c>
      <c r="K99" s="227">
        <f>I99-H99</f>
        <v>-2262.5</v>
      </c>
      <c r="L99" s="103"/>
    </row>
    <row r="100" spans="1:12" x14ac:dyDescent="0.2">
      <c r="A100" s="100"/>
      <c r="B100" s="29">
        <v>3112</v>
      </c>
      <c r="C100" s="100">
        <v>3612</v>
      </c>
      <c r="D100" s="29">
        <v>45</v>
      </c>
      <c r="E100" s="29" t="s">
        <v>180</v>
      </c>
      <c r="F100" s="63">
        <v>5000</v>
      </c>
      <c r="G100" s="63"/>
      <c r="H100" s="63">
        <f>SUM(F100:G100)</f>
        <v>5000</v>
      </c>
      <c r="I100" s="63">
        <v>1631.491</v>
      </c>
      <c r="J100" s="34">
        <f t="shared" si="19"/>
        <v>32.629819999999995</v>
      </c>
      <c r="K100" s="227">
        <f>I100-H100</f>
        <v>-3368.509</v>
      </c>
      <c r="L100" s="103"/>
    </row>
    <row r="101" spans="1:12" x14ac:dyDescent="0.2">
      <c r="A101" s="100"/>
      <c r="B101" s="29">
        <v>3112</v>
      </c>
      <c r="C101" s="100">
        <v>5311</v>
      </c>
      <c r="D101" s="29">
        <v>321</v>
      </c>
      <c r="E101" s="29" t="s">
        <v>329</v>
      </c>
      <c r="F101" s="63">
        <v>300</v>
      </c>
      <c r="G101" s="63"/>
      <c r="H101" s="63">
        <f>SUM(F101:G101)</f>
        <v>300</v>
      </c>
      <c r="I101" s="63">
        <v>390</v>
      </c>
      <c r="J101" s="34">
        <f t="shared" si="19"/>
        <v>130</v>
      </c>
      <c r="K101" s="227">
        <f>I101-H101</f>
        <v>90</v>
      </c>
      <c r="L101" s="103" t="s">
        <v>356</v>
      </c>
    </row>
    <row r="102" spans="1:12" ht="13.5" thickBot="1" x14ac:dyDescent="0.25">
      <c r="A102" s="100"/>
      <c r="B102" s="29">
        <v>3112</v>
      </c>
      <c r="C102" s="100">
        <v>3612</v>
      </c>
      <c r="D102" s="29">
        <v>245</v>
      </c>
      <c r="E102" s="29" t="s">
        <v>181</v>
      </c>
      <c r="F102" s="63">
        <v>356</v>
      </c>
      <c r="G102" s="63"/>
      <c r="H102" s="63">
        <f>SUM(F102:G102)</f>
        <v>356</v>
      </c>
      <c r="I102" s="63">
        <v>356.041</v>
      </c>
      <c r="J102" s="34">
        <f t="shared" si="19"/>
        <v>100.01151685393259</v>
      </c>
      <c r="K102" s="227">
        <f>I102-H102</f>
        <v>4.0999999999996817E-2</v>
      </c>
      <c r="L102" s="103"/>
    </row>
    <row r="103" spans="1:12" ht="15.75" customHeight="1" thickBot="1" x14ac:dyDescent="0.3">
      <c r="A103" s="106" t="s">
        <v>48</v>
      </c>
      <c r="B103" s="109"/>
      <c r="C103" s="110"/>
      <c r="D103" s="109"/>
      <c r="E103" s="109"/>
      <c r="F103" s="65">
        <f>SUM(F98:F102)</f>
        <v>8150</v>
      </c>
      <c r="G103" s="65">
        <f>SUM(G98:G102)</f>
        <v>0</v>
      </c>
      <c r="H103" s="65">
        <f>SUM(H98:H102)</f>
        <v>8150</v>
      </c>
      <c r="I103" s="65">
        <f>SUM(I98:I102)</f>
        <v>2792.8789999999999</v>
      </c>
      <c r="J103" s="36">
        <f t="shared" si="19"/>
        <v>34.268453987730055</v>
      </c>
      <c r="K103" s="300">
        <f>SUM(K98:K102)</f>
        <v>-5357.1210000000001</v>
      </c>
      <c r="L103" s="431"/>
    </row>
    <row r="104" spans="1:12" x14ac:dyDescent="0.2">
      <c r="A104" s="101" t="s">
        <v>49</v>
      </c>
      <c r="B104" s="70"/>
      <c r="C104" s="111"/>
      <c r="D104" s="70"/>
      <c r="E104" s="101" t="s">
        <v>50</v>
      </c>
      <c r="F104" s="66"/>
      <c r="G104" s="66"/>
      <c r="H104" s="68"/>
      <c r="I104" s="66"/>
      <c r="J104" s="37"/>
      <c r="K104" s="37"/>
      <c r="L104" s="215"/>
    </row>
    <row r="105" spans="1:12" x14ac:dyDescent="0.2">
      <c r="A105" s="87" t="s">
        <v>51</v>
      </c>
      <c r="B105" s="32"/>
      <c r="C105" s="87" t="s">
        <v>307</v>
      </c>
      <c r="D105" s="32" t="s">
        <v>139</v>
      </c>
      <c r="E105" s="32"/>
      <c r="F105" s="31">
        <f>SUM(F106:F135)</f>
        <v>27910</v>
      </c>
      <c r="G105" s="64">
        <f>SUM(G106:G135)</f>
        <v>10518.21876</v>
      </c>
      <c r="H105" s="64">
        <f>SUM(H106:H135)</f>
        <v>38428.218760000011</v>
      </c>
      <c r="I105" s="64">
        <f>SUM(I106:I135)</f>
        <v>38449.013190000005</v>
      </c>
      <c r="J105" s="31">
        <f>I105/$H105*100</f>
        <v>100.05411239623119</v>
      </c>
      <c r="K105" s="299">
        <f>SUM(K106:K135)</f>
        <v>20.794429999999849</v>
      </c>
      <c r="L105" s="216"/>
    </row>
    <row r="106" spans="1:12" x14ac:dyDescent="0.2">
      <c r="A106" s="100"/>
      <c r="B106" s="29">
        <v>4112</v>
      </c>
      <c r="C106" s="29"/>
      <c r="D106" s="29"/>
      <c r="E106" s="29" t="s">
        <v>182</v>
      </c>
      <c r="F106" s="34">
        <v>18081.3</v>
      </c>
      <c r="G106" s="63"/>
      <c r="H106" s="63">
        <f t="shared" ref="H106:H135" si="20">SUM(F106:G106)</f>
        <v>18081.3</v>
      </c>
      <c r="I106" s="63">
        <v>18081.3</v>
      </c>
      <c r="J106" s="34">
        <f>I106/$H106*100</f>
        <v>100</v>
      </c>
      <c r="K106" s="227">
        <f t="shared" ref="K106:K135" si="21">I106-H106</f>
        <v>0</v>
      </c>
      <c r="L106" s="118"/>
    </row>
    <row r="107" spans="1:12" x14ac:dyDescent="0.2">
      <c r="A107" s="100"/>
      <c r="B107" s="29">
        <v>4111</v>
      </c>
      <c r="C107" s="29">
        <v>110</v>
      </c>
      <c r="D107" s="29"/>
      <c r="E107" s="184" t="s">
        <v>410</v>
      </c>
      <c r="F107" s="63">
        <v>200</v>
      </c>
      <c r="G107" s="63">
        <v>240</v>
      </c>
      <c r="H107" s="63">
        <f t="shared" si="20"/>
        <v>440</v>
      </c>
      <c r="I107" s="63">
        <f>200+240</f>
        <v>440</v>
      </c>
      <c r="J107" s="34">
        <f t="shared" ref="J107:J134" si="22">I107/$H107*100</f>
        <v>100</v>
      </c>
      <c r="K107" s="227">
        <f t="shared" si="21"/>
        <v>0</v>
      </c>
      <c r="L107" s="118"/>
    </row>
    <row r="108" spans="1:12" x14ac:dyDescent="0.2">
      <c r="A108" s="100"/>
      <c r="B108" s="29">
        <v>4113</v>
      </c>
      <c r="C108" s="29">
        <v>251</v>
      </c>
      <c r="D108" s="225"/>
      <c r="E108" s="184" t="s">
        <v>358</v>
      </c>
      <c r="F108" s="63">
        <v>250</v>
      </c>
      <c r="G108" s="63"/>
      <c r="H108" s="63">
        <f t="shared" si="20"/>
        <v>250</v>
      </c>
      <c r="I108" s="63">
        <v>250</v>
      </c>
      <c r="J108" s="34">
        <f t="shared" si="22"/>
        <v>100</v>
      </c>
      <c r="K108" s="227">
        <f t="shared" si="21"/>
        <v>0</v>
      </c>
      <c r="L108" s="118"/>
    </row>
    <row r="109" spans="1:12" x14ac:dyDescent="0.2">
      <c r="A109" s="100"/>
      <c r="B109" s="29">
        <v>4116</v>
      </c>
      <c r="C109" s="29">
        <v>314</v>
      </c>
      <c r="D109" s="225" t="s">
        <v>281</v>
      </c>
      <c r="E109" s="368" t="s">
        <v>340</v>
      </c>
      <c r="F109" s="63">
        <v>2530</v>
      </c>
      <c r="G109" s="63">
        <v>687.5</v>
      </c>
      <c r="H109" s="63">
        <f t="shared" si="20"/>
        <v>3217.5</v>
      </c>
      <c r="I109" s="63">
        <v>3217.5</v>
      </c>
      <c r="J109" s="34">
        <f t="shared" si="22"/>
        <v>100</v>
      </c>
      <c r="K109" s="227">
        <f t="shared" si="21"/>
        <v>0</v>
      </c>
      <c r="L109" s="396"/>
    </row>
    <row r="110" spans="1:12" x14ac:dyDescent="0.2">
      <c r="A110" s="100"/>
      <c r="B110" s="29">
        <v>4116</v>
      </c>
      <c r="C110" s="29"/>
      <c r="D110" s="225" t="s">
        <v>236</v>
      </c>
      <c r="E110" s="184" t="s">
        <v>233</v>
      </c>
      <c r="F110" s="63">
        <f>192+180+540</f>
        <v>912</v>
      </c>
      <c r="G110" s="63">
        <v>-410</v>
      </c>
      <c r="H110" s="63">
        <f t="shared" si="20"/>
        <v>502</v>
      </c>
      <c r="I110" s="63">
        <f>90+360+82</f>
        <v>532</v>
      </c>
      <c r="J110" s="34">
        <f t="shared" si="22"/>
        <v>105.97609561752988</v>
      </c>
      <c r="K110" s="227">
        <f t="shared" si="21"/>
        <v>30</v>
      </c>
      <c r="L110" s="118"/>
    </row>
    <row r="111" spans="1:12" x14ac:dyDescent="0.2">
      <c r="A111" s="100"/>
      <c r="B111" s="29">
        <v>4116</v>
      </c>
      <c r="C111" s="29">
        <v>314</v>
      </c>
      <c r="D111" s="225" t="s">
        <v>419</v>
      </c>
      <c r="E111" s="368" t="s">
        <v>296</v>
      </c>
      <c r="F111" s="63">
        <v>430</v>
      </c>
      <c r="G111" s="63">
        <v>88</v>
      </c>
      <c r="H111" s="63">
        <f t="shared" si="20"/>
        <v>518</v>
      </c>
      <c r="I111" s="63">
        <v>518</v>
      </c>
      <c r="J111" s="34">
        <f t="shared" si="22"/>
        <v>100</v>
      </c>
      <c r="K111" s="227">
        <f t="shared" si="21"/>
        <v>0</v>
      </c>
      <c r="L111" s="118"/>
    </row>
    <row r="112" spans="1:12" x14ac:dyDescent="0.2">
      <c r="A112" s="100"/>
      <c r="B112" s="29">
        <v>4116</v>
      </c>
      <c r="C112" s="29">
        <v>3005</v>
      </c>
      <c r="D112" s="29">
        <v>3005</v>
      </c>
      <c r="E112" s="420" t="s">
        <v>327</v>
      </c>
      <c r="F112" s="63">
        <v>860</v>
      </c>
      <c r="G112" s="63">
        <v>221.9</v>
      </c>
      <c r="H112" s="63">
        <f t="shared" si="20"/>
        <v>1081.9000000000001</v>
      </c>
      <c r="I112" s="63">
        <v>1081.1897799999999</v>
      </c>
      <c r="J112" s="34">
        <f t="shared" si="22"/>
        <v>99.934354376559739</v>
      </c>
      <c r="K112" s="227">
        <f t="shared" si="21"/>
        <v>-0.71022000000016305</v>
      </c>
      <c r="L112" s="118"/>
    </row>
    <row r="113" spans="1:12" x14ac:dyDescent="0.2">
      <c r="A113" s="100"/>
      <c r="B113" s="29">
        <v>4116</v>
      </c>
      <c r="C113" s="29">
        <v>250</v>
      </c>
      <c r="D113" s="29"/>
      <c r="E113" s="184" t="s">
        <v>366</v>
      </c>
      <c r="F113" s="63">
        <v>1342</v>
      </c>
      <c r="G113" s="63">
        <f>-18.06133-771.42436</f>
        <v>-789.48568999999998</v>
      </c>
      <c r="H113" s="63">
        <f t="shared" si="20"/>
        <v>552.51431000000002</v>
      </c>
      <c r="I113" s="63">
        <v>552.51431000000002</v>
      </c>
      <c r="J113" s="34">
        <f t="shared" si="22"/>
        <v>100</v>
      </c>
      <c r="K113" s="227">
        <f t="shared" si="21"/>
        <v>0</v>
      </c>
      <c r="L113" s="118"/>
    </row>
    <row r="114" spans="1:12" x14ac:dyDescent="0.2">
      <c r="A114" s="100"/>
      <c r="B114" s="29">
        <v>4116</v>
      </c>
      <c r="C114" s="29">
        <v>6206</v>
      </c>
      <c r="D114" s="29">
        <v>6206</v>
      </c>
      <c r="E114" s="420" t="s">
        <v>328</v>
      </c>
      <c r="F114" s="63">
        <v>879</v>
      </c>
      <c r="G114" s="63">
        <v>50.230870000000003</v>
      </c>
      <c r="H114" s="63">
        <f t="shared" si="20"/>
        <v>929.23086999999998</v>
      </c>
      <c r="I114" s="63">
        <v>929.23086999999998</v>
      </c>
      <c r="J114" s="34">
        <f t="shared" si="22"/>
        <v>100</v>
      </c>
      <c r="K114" s="227">
        <f t="shared" si="21"/>
        <v>0</v>
      </c>
      <c r="L114" s="118"/>
    </row>
    <row r="115" spans="1:12" x14ac:dyDescent="0.2">
      <c r="A115" s="100"/>
      <c r="B115" s="29">
        <v>4116</v>
      </c>
      <c r="C115" s="29">
        <v>103.102</v>
      </c>
      <c r="D115" s="29"/>
      <c r="E115" s="184" t="s">
        <v>341</v>
      </c>
      <c r="F115" s="63"/>
      <c r="G115" s="63">
        <v>975</v>
      </c>
      <c r="H115" s="63">
        <f t="shared" si="20"/>
        <v>975</v>
      </c>
      <c r="I115" s="63">
        <v>975</v>
      </c>
      <c r="J115" s="34">
        <f t="shared" si="22"/>
        <v>100</v>
      </c>
      <c r="K115" s="227">
        <f t="shared" si="21"/>
        <v>0</v>
      </c>
      <c r="L115" s="118"/>
    </row>
    <row r="116" spans="1:12" x14ac:dyDescent="0.2">
      <c r="A116" s="100"/>
      <c r="B116" s="29">
        <v>4116</v>
      </c>
      <c r="C116" s="29">
        <v>312</v>
      </c>
      <c r="D116" s="29"/>
      <c r="E116" s="184" t="s">
        <v>388</v>
      </c>
      <c r="F116" s="63"/>
      <c r="G116" s="63">
        <f>30.53604+22.26531</f>
        <v>52.801349999999999</v>
      </c>
      <c r="H116" s="63">
        <f t="shared" si="20"/>
        <v>52.801349999999999</v>
      </c>
      <c r="I116" s="63">
        <v>52.801000000000002</v>
      </c>
      <c r="J116" s="34">
        <f t="shared" si="22"/>
        <v>99.9993371381603</v>
      </c>
      <c r="K116" s="227">
        <f t="shared" si="21"/>
        <v>-3.4999999999740794E-4</v>
      </c>
      <c r="L116" s="118"/>
    </row>
    <row r="117" spans="1:12" x14ac:dyDescent="0.2">
      <c r="A117" s="100"/>
      <c r="B117" s="29">
        <v>4116</v>
      </c>
      <c r="C117" s="29">
        <v>223</v>
      </c>
      <c r="D117" s="29"/>
      <c r="E117" s="184" t="s">
        <v>399</v>
      </c>
      <c r="F117" s="63"/>
      <c r="G117" s="63">
        <f>150+42.037</f>
        <v>192.03700000000001</v>
      </c>
      <c r="H117" s="63">
        <f t="shared" si="20"/>
        <v>192.03700000000001</v>
      </c>
      <c r="I117" s="63">
        <v>192.03700000000001</v>
      </c>
      <c r="J117" s="34">
        <f t="shared" si="22"/>
        <v>100</v>
      </c>
      <c r="K117" s="227">
        <f t="shared" si="21"/>
        <v>0</v>
      </c>
      <c r="L117" s="118"/>
    </row>
    <row r="118" spans="1:12" x14ac:dyDescent="0.2">
      <c r="A118" s="100"/>
      <c r="B118" s="29">
        <v>4116</v>
      </c>
      <c r="C118" s="29">
        <v>304</v>
      </c>
      <c r="D118" s="29"/>
      <c r="E118" s="184" t="s">
        <v>403</v>
      </c>
      <c r="F118" s="63"/>
      <c r="G118" s="63">
        <v>338.34840000000003</v>
      </c>
      <c r="H118" s="63">
        <f t="shared" si="20"/>
        <v>338.34840000000003</v>
      </c>
      <c r="I118" s="63">
        <v>338.34840000000003</v>
      </c>
      <c r="J118" s="34">
        <f t="shared" si="22"/>
        <v>100</v>
      </c>
      <c r="K118" s="227">
        <f t="shared" si="21"/>
        <v>0</v>
      </c>
      <c r="L118" s="118"/>
    </row>
    <row r="119" spans="1:12" x14ac:dyDescent="0.2">
      <c r="A119" s="100"/>
      <c r="B119" s="29">
        <v>4116</v>
      </c>
      <c r="C119" s="29">
        <v>301</v>
      </c>
      <c r="D119" s="29"/>
      <c r="E119" s="184" t="s">
        <v>401</v>
      </c>
      <c r="F119" s="63"/>
      <c r="G119" s="63">
        <v>260.96640000000002</v>
      </c>
      <c r="H119" s="63">
        <f t="shared" si="20"/>
        <v>260.96640000000002</v>
      </c>
      <c r="I119" s="63">
        <v>260.96640000000002</v>
      </c>
      <c r="J119" s="34">
        <f t="shared" si="22"/>
        <v>100</v>
      </c>
      <c r="K119" s="227">
        <f t="shared" si="21"/>
        <v>0</v>
      </c>
      <c r="L119" s="118"/>
    </row>
    <row r="120" spans="1:12" x14ac:dyDescent="0.2">
      <c r="A120" s="100"/>
      <c r="B120" s="29">
        <v>4116</v>
      </c>
      <c r="C120" s="29">
        <v>303</v>
      </c>
      <c r="D120" s="29"/>
      <c r="E120" s="184" t="s">
        <v>416</v>
      </c>
      <c r="F120" s="63"/>
      <c r="G120" s="63">
        <v>385.3064</v>
      </c>
      <c r="H120" s="63">
        <f t="shared" si="20"/>
        <v>385.3064</v>
      </c>
      <c r="I120" s="63">
        <v>385.3064</v>
      </c>
      <c r="J120" s="34">
        <f t="shared" si="22"/>
        <v>100</v>
      </c>
      <c r="K120" s="227">
        <f t="shared" si="21"/>
        <v>0</v>
      </c>
      <c r="L120" s="118"/>
    </row>
    <row r="121" spans="1:12" x14ac:dyDescent="0.2">
      <c r="A121" s="100"/>
      <c r="B121" s="29">
        <v>4116</v>
      </c>
      <c r="C121" s="29">
        <v>314</v>
      </c>
      <c r="D121" s="29">
        <v>15002</v>
      </c>
      <c r="E121" s="184" t="s">
        <v>406</v>
      </c>
      <c r="F121" s="63"/>
      <c r="G121" s="63">
        <f>24.45+40.05</f>
        <v>64.5</v>
      </c>
      <c r="H121" s="63">
        <f t="shared" si="20"/>
        <v>64.5</v>
      </c>
      <c r="I121" s="63">
        <v>64.5</v>
      </c>
      <c r="J121" s="34">
        <f t="shared" si="22"/>
        <v>100</v>
      </c>
      <c r="K121" s="227">
        <f t="shared" si="21"/>
        <v>0</v>
      </c>
      <c r="L121" s="118"/>
    </row>
    <row r="122" spans="1:12" x14ac:dyDescent="0.2">
      <c r="A122" s="100"/>
      <c r="B122" s="29">
        <v>4116</v>
      </c>
      <c r="C122" s="29">
        <v>201</v>
      </c>
      <c r="D122" s="29"/>
      <c r="E122" s="184" t="s">
        <v>432</v>
      </c>
      <c r="F122" s="63"/>
      <c r="G122" s="63">
        <v>26.934999999999999</v>
      </c>
      <c r="H122" s="63">
        <f t="shared" si="20"/>
        <v>26.934999999999999</v>
      </c>
      <c r="I122" s="63">
        <v>26.934999999999999</v>
      </c>
      <c r="J122" s="34">
        <f t="shared" si="22"/>
        <v>100</v>
      </c>
      <c r="K122" s="227">
        <f t="shared" si="21"/>
        <v>0</v>
      </c>
      <c r="L122" s="118"/>
    </row>
    <row r="123" spans="1:12" x14ac:dyDescent="0.2">
      <c r="A123" s="100"/>
      <c r="B123" s="29">
        <v>4121</v>
      </c>
      <c r="C123" s="29"/>
      <c r="D123" s="29" t="s">
        <v>273</v>
      </c>
      <c r="E123" s="184" t="s">
        <v>256</v>
      </c>
      <c r="F123" s="34">
        <f>130+50+0.7</f>
        <v>180.7</v>
      </c>
      <c r="G123" s="63"/>
      <c r="H123" s="63">
        <f t="shared" si="20"/>
        <v>180.7</v>
      </c>
      <c r="I123" s="63">
        <f>10.5+10.5+10.5+9+76.74+7.5+9+3+32+25.5+10.5+70.2-I124</f>
        <v>150.5</v>
      </c>
      <c r="J123" s="34">
        <f t="shared" si="22"/>
        <v>83.287216380741569</v>
      </c>
      <c r="K123" s="227">
        <f t="shared" si="21"/>
        <v>-30.199999999999989</v>
      </c>
      <c r="L123" s="118"/>
    </row>
    <row r="124" spans="1:12" x14ac:dyDescent="0.2">
      <c r="A124" s="100"/>
      <c r="B124" s="29">
        <v>4121</v>
      </c>
      <c r="C124" s="29"/>
      <c r="D124" s="29">
        <v>321</v>
      </c>
      <c r="E124" s="184" t="s">
        <v>187</v>
      </c>
      <c r="F124" s="63">
        <f>65+60</f>
        <v>125</v>
      </c>
      <c r="G124" s="63"/>
      <c r="H124" s="63">
        <f t="shared" si="20"/>
        <v>125</v>
      </c>
      <c r="I124" s="63">
        <f>61.74+62.7</f>
        <v>124.44</v>
      </c>
      <c r="J124" s="34">
        <f t="shared" si="22"/>
        <v>99.551999999999992</v>
      </c>
      <c r="K124" s="227">
        <f t="shared" si="21"/>
        <v>-0.56000000000000227</v>
      </c>
      <c r="L124" s="118" t="s">
        <v>0</v>
      </c>
    </row>
    <row r="125" spans="1:12" x14ac:dyDescent="0.2">
      <c r="A125" s="100"/>
      <c r="B125" s="29">
        <v>4122</v>
      </c>
      <c r="C125" s="29">
        <v>249</v>
      </c>
      <c r="D125" s="29"/>
      <c r="E125" s="184" t="s">
        <v>387</v>
      </c>
      <c r="F125" s="63"/>
      <c r="G125" s="63">
        <f>1.507+47.1177+5.2353</f>
        <v>53.86</v>
      </c>
      <c r="H125" s="63">
        <f t="shared" si="20"/>
        <v>53.86</v>
      </c>
      <c r="I125" s="63">
        <v>53.86</v>
      </c>
      <c r="J125" s="34">
        <f t="shared" si="22"/>
        <v>100</v>
      </c>
      <c r="K125" s="227">
        <f t="shared" si="21"/>
        <v>0</v>
      </c>
      <c r="L125" s="118"/>
    </row>
    <row r="126" spans="1:12" x14ac:dyDescent="0.2">
      <c r="A126" s="100"/>
      <c r="B126" s="29">
        <v>4122</v>
      </c>
      <c r="C126" s="29">
        <v>223</v>
      </c>
      <c r="D126" s="29"/>
      <c r="E126" s="184" t="s">
        <v>411</v>
      </c>
      <c r="F126" s="63"/>
      <c r="G126" s="63">
        <v>38.335230000000003</v>
      </c>
      <c r="H126" s="63">
        <f t="shared" si="20"/>
        <v>38.335230000000003</v>
      </c>
      <c r="I126" s="63">
        <v>38.335230000000003</v>
      </c>
      <c r="J126" s="34">
        <f t="shared" si="22"/>
        <v>100</v>
      </c>
      <c r="K126" s="227">
        <f t="shared" si="21"/>
        <v>0</v>
      </c>
      <c r="L126" s="118"/>
    </row>
    <row r="127" spans="1:12" x14ac:dyDescent="0.2">
      <c r="A127" s="100"/>
      <c r="B127" s="29">
        <v>4122</v>
      </c>
      <c r="C127" s="29">
        <v>201</v>
      </c>
      <c r="D127" s="29"/>
      <c r="E127" s="184" t="s">
        <v>398</v>
      </c>
      <c r="F127" s="63"/>
      <c r="G127" s="63">
        <v>14.215</v>
      </c>
      <c r="H127" s="63">
        <f t="shared" si="20"/>
        <v>14.215</v>
      </c>
      <c r="I127" s="63">
        <v>14.215</v>
      </c>
      <c r="J127" s="34">
        <f t="shared" si="22"/>
        <v>100</v>
      </c>
      <c r="K127" s="227">
        <f t="shared" si="21"/>
        <v>0</v>
      </c>
      <c r="L127" s="118"/>
    </row>
    <row r="128" spans="1:12" x14ac:dyDescent="0.2">
      <c r="A128" s="100"/>
      <c r="B128" s="29">
        <v>4122</v>
      </c>
      <c r="C128" s="29">
        <v>102</v>
      </c>
      <c r="D128" s="29"/>
      <c r="E128" s="184" t="s">
        <v>353</v>
      </c>
      <c r="F128" s="63">
        <v>500</v>
      </c>
      <c r="G128" s="63">
        <v>-500</v>
      </c>
      <c r="H128" s="63">
        <f t="shared" si="20"/>
        <v>0</v>
      </c>
      <c r="I128" s="63">
        <v>0</v>
      </c>
      <c r="J128" s="34"/>
      <c r="K128" s="227">
        <f t="shared" si="21"/>
        <v>0</v>
      </c>
      <c r="L128" s="118" t="s">
        <v>449</v>
      </c>
    </row>
    <row r="129" spans="1:12" x14ac:dyDescent="0.2">
      <c r="A129" s="100"/>
      <c r="B129" s="29">
        <v>4122</v>
      </c>
      <c r="C129" s="29"/>
      <c r="D129" s="29"/>
      <c r="E129" s="184" t="s">
        <v>361</v>
      </c>
      <c r="F129" s="63">
        <v>120</v>
      </c>
      <c r="G129" s="63">
        <v>-120</v>
      </c>
      <c r="H129" s="63">
        <f t="shared" si="20"/>
        <v>0</v>
      </c>
      <c r="I129" s="63"/>
      <c r="J129" s="34"/>
      <c r="K129" s="227">
        <f t="shared" si="21"/>
        <v>0</v>
      </c>
      <c r="L129" s="118" t="s">
        <v>450</v>
      </c>
    </row>
    <row r="130" spans="1:12" x14ac:dyDescent="0.2">
      <c r="A130" s="100"/>
      <c r="B130" s="29">
        <v>4122</v>
      </c>
      <c r="C130" s="29">
        <v>307</v>
      </c>
      <c r="D130" s="225" t="s">
        <v>284</v>
      </c>
      <c r="E130" s="29" t="s">
        <v>309</v>
      </c>
      <c r="F130" s="63"/>
      <c r="G130" s="63">
        <f>5011.205+3340.803</f>
        <v>8352.0079999999998</v>
      </c>
      <c r="H130" s="63">
        <f t="shared" si="20"/>
        <v>8352.0079999999998</v>
      </c>
      <c r="I130" s="63">
        <v>8352.0079999999998</v>
      </c>
      <c r="J130" s="34">
        <f t="shared" si="22"/>
        <v>100</v>
      </c>
      <c r="K130" s="227">
        <f t="shared" si="21"/>
        <v>0</v>
      </c>
      <c r="L130" s="118"/>
    </row>
    <row r="131" spans="1:12" x14ac:dyDescent="0.2">
      <c r="A131" s="100"/>
      <c r="B131" s="29">
        <v>4122</v>
      </c>
      <c r="C131" s="29">
        <v>227</v>
      </c>
      <c r="D131" s="29">
        <v>13305</v>
      </c>
      <c r="E131" s="393" t="s">
        <v>308</v>
      </c>
      <c r="F131" s="63">
        <v>1500</v>
      </c>
      <c r="G131" s="63">
        <v>200</v>
      </c>
      <c r="H131" s="63">
        <f t="shared" si="20"/>
        <v>1700</v>
      </c>
      <c r="I131" s="63">
        <v>1700</v>
      </c>
      <c r="J131" s="34">
        <f t="shared" si="22"/>
        <v>100</v>
      </c>
      <c r="K131" s="227">
        <f t="shared" si="21"/>
        <v>0</v>
      </c>
      <c r="L131" s="118"/>
    </row>
    <row r="132" spans="1:12" x14ac:dyDescent="0.2">
      <c r="A132" s="100"/>
      <c r="B132" s="29">
        <v>4122</v>
      </c>
      <c r="C132" s="29">
        <v>301</v>
      </c>
      <c r="D132" s="29"/>
      <c r="E132" s="393" t="s">
        <v>408</v>
      </c>
      <c r="F132" s="63"/>
      <c r="G132" s="63">
        <v>59.761800000000001</v>
      </c>
      <c r="H132" s="63">
        <f t="shared" si="20"/>
        <v>59.761800000000001</v>
      </c>
      <c r="I132" s="63">
        <v>59.761800000000001</v>
      </c>
      <c r="J132" s="34">
        <f t="shared" si="22"/>
        <v>100</v>
      </c>
      <c r="K132" s="227">
        <f t="shared" si="21"/>
        <v>0</v>
      </c>
      <c r="L132" s="118"/>
    </row>
    <row r="133" spans="1:12" x14ac:dyDescent="0.2">
      <c r="A133" s="100"/>
      <c r="B133" s="29">
        <v>4122</v>
      </c>
      <c r="C133" s="29">
        <v>312</v>
      </c>
      <c r="D133" s="29"/>
      <c r="E133" s="393" t="s">
        <v>417</v>
      </c>
      <c r="F133" s="63"/>
      <c r="G133" s="63">
        <v>15</v>
      </c>
      <c r="H133" s="63">
        <f t="shared" si="20"/>
        <v>15</v>
      </c>
      <c r="I133" s="63">
        <v>15</v>
      </c>
      <c r="J133" s="34">
        <f t="shared" si="22"/>
        <v>100</v>
      </c>
      <c r="K133" s="227">
        <f t="shared" si="21"/>
        <v>0</v>
      </c>
      <c r="L133" s="118"/>
    </row>
    <row r="134" spans="1:12" x14ac:dyDescent="0.2">
      <c r="A134" s="100"/>
      <c r="B134" s="29">
        <v>4122</v>
      </c>
      <c r="C134" s="29">
        <v>650</v>
      </c>
      <c r="D134" s="29"/>
      <c r="E134" s="393" t="s">
        <v>433</v>
      </c>
      <c r="F134" s="63"/>
      <c r="G134" s="63">
        <v>20.998999999999999</v>
      </c>
      <c r="H134" s="63">
        <f t="shared" si="20"/>
        <v>20.998999999999999</v>
      </c>
      <c r="I134" s="63">
        <v>20.998999999999999</v>
      </c>
      <c r="J134" s="34">
        <f t="shared" si="22"/>
        <v>100</v>
      </c>
      <c r="K134" s="227">
        <f t="shared" si="21"/>
        <v>0</v>
      </c>
      <c r="L134" s="118"/>
    </row>
    <row r="135" spans="1:12" ht="13.5" customHeight="1" x14ac:dyDescent="0.2">
      <c r="A135" s="100"/>
      <c r="B135" s="29">
        <v>4132</v>
      </c>
      <c r="C135" s="100"/>
      <c r="D135" s="29"/>
      <c r="E135" s="29" t="s">
        <v>436</v>
      </c>
      <c r="F135" s="63"/>
      <c r="G135" s="63"/>
      <c r="H135" s="63">
        <f t="shared" si="20"/>
        <v>0</v>
      </c>
      <c r="I135" s="63">
        <v>22.265000000000001</v>
      </c>
      <c r="J135" s="34"/>
      <c r="K135" s="227">
        <f t="shared" si="21"/>
        <v>22.265000000000001</v>
      </c>
      <c r="L135" s="361"/>
    </row>
    <row r="136" spans="1:12" x14ac:dyDescent="0.2">
      <c r="A136" s="87" t="s">
        <v>52</v>
      </c>
      <c r="B136" s="32"/>
      <c r="C136" s="87"/>
      <c r="D136" s="32"/>
      <c r="E136" s="32"/>
      <c r="F136" s="64">
        <f>SUM(F137:F144)</f>
        <v>2600</v>
      </c>
      <c r="G136" s="64">
        <f>SUM(G137:G144)</f>
        <v>17585.502630000003</v>
      </c>
      <c r="H136" s="64">
        <f>SUM(H137:H144)</f>
        <v>20185.502630000003</v>
      </c>
      <c r="I136" s="64">
        <f>SUM(I137:I144)</f>
        <v>20186.201680000002</v>
      </c>
      <c r="J136" s="31">
        <f>I136/$H136*100</f>
        <v>100.0034631290229</v>
      </c>
      <c r="K136" s="299">
        <f>SUM(K137:K144)</f>
        <v>0.69904999999999973</v>
      </c>
      <c r="L136" s="103"/>
    </row>
    <row r="137" spans="1:12" x14ac:dyDescent="0.2">
      <c r="A137" s="87"/>
      <c r="B137" s="33">
        <v>4222</v>
      </c>
      <c r="C137" s="33">
        <v>216</v>
      </c>
      <c r="D137" s="32"/>
      <c r="E137" s="332" t="s">
        <v>294</v>
      </c>
      <c r="F137" s="352"/>
      <c r="G137" s="352">
        <v>10000</v>
      </c>
      <c r="H137" s="63">
        <f>SUM(F137:G137)</f>
        <v>10000</v>
      </c>
      <c r="I137" s="352">
        <v>10000</v>
      </c>
      <c r="J137" s="34">
        <f>I137/$H137*100</f>
        <v>100</v>
      </c>
      <c r="K137" s="227">
        <f t="shared" ref="K137:K144" si="23">I137-H137</f>
        <v>0</v>
      </c>
      <c r="L137" s="118"/>
    </row>
    <row r="138" spans="1:12" x14ac:dyDescent="0.2">
      <c r="A138" s="87"/>
      <c r="B138" s="33"/>
      <c r="C138" s="33"/>
      <c r="D138" s="32"/>
      <c r="E138" s="332" t="s">
        <v>422</v>
      </c>
      <c r="F138" s="352"/>
      <c r="G138" s="352"/>
      <c r="H138" s="63"/>
      <c r="I138" s="352"/>
      <c r="J138" s="34"/>
      <c r="K138" s="227">
        <f t="shared" si="23"/>
        <v>0</v>
      </c>
      <c r="L138" s="118"/>
    </row>
    <row r="139" spans="1:12" x14ac:dyDescent="0.2">
      <c r="A139" s="87"/>
      <c r="B139" s="33">
        <v>4222</v>
      </c>
      <c r="C139" s="33">
        <v>252</v>
      </c>
      <c r="D139" s="32"/>
      <c r="E139" s="184" t="s">
        <v>361</v>
      </c>
      <c r="F139" s="352"/>
      <c r="G139" s="352">
        <v>120</v>
      </c>
      <c r="H139" s="63">
        <f t="shared" ref="H139:H144" si="24">SUM(F139:G139)</f>
        <v>120</v>
      </c>
      <c r="I139" s="352">
        <v>120</v>
      </c>
      <c r="J139" s="34">
        <f t="shared" ref="J139:J146" si="25">I139/$H139*100</f>
        <v>100</v>
      </c>
      <c r="K139" s="227">
        <f t="shared" si="23"/>
        <v>0</v>
      </c>
      <c r="L139" s="429"/>
    </row>
    <row r="140" spans="1:12" x14ac:dyDescent="0.2">
      <c r="A140" s="87"/>
      <c r="B140" s="33">
        <v>4216</v>
      </c>
      <c r="C140" s="33">
        <v>203</v>
      </c>
      <c r="D140" s="32"/>
      <c r="E140" s="184" t="s">
        <v>415</v>
      </c>
      <c r="F140" s="352"/>
      <c r="G140" s="352">
        <v>6671.7923199999996</v>
      </c>
      <c r="H140" s="63">
        <f t="shared" si="24"/>
        <v>6671.7923199999996</v>
      </c>
      <c r="I140" s="352">
        <v>6671.7923199999996</v>
      </c>
      <c r="J140" s="34">
        <f t="shared" si="25"/>
        <v>100</v>
      </c>
      <c r="K140" s="227">
        <f t="shared" si="23"/>
        <v>0</v>
      </c>
      <c r="L140" s="429"/>
    </row>
    <row r="141" spans="1:12" x14ac:dyDescent="0.2">
      <c r="A141" s="87"/>
      <c r="B141" s="33">
        <v>4216</v>
      </c>
      <c r="C141" s="33">
        <v>223</v>
      </c>
      <c r="D141" s="32"/>
      <c r="E141" s="332" t="s">
        <v>323</v>
      </c>
      <c r="F141" s="352">
        <v>2500</v>
      </c>
      <c r="G141" s="352"/>
      <c r="H141" s="63">
        <f t="shared" si="24"/>
        <v>2500</v>
      </c>
      <c r="I141" s="352">
        <v>2500</v>
      </c>
      <c r="J141" s="34">
        <f t="shared" si="25"/>
        <v>100</v>
      </c>
      <c r="K141" s="227">
        <f t="shared" si="23"/>
        <v>0</v>
      </c>
      <c r="L141" s="118"/>
    </row>
    <row r="142" spans="1:12" x14ac:dyDescent="0.2">
      <c r="A142" s="87"/>
      <c r="B142" s="33">
        <v>4216</v>
      </c>
      <c r="C142" s="33">
        <v>312</v>
      </c>
      <c r="D142" s="32"/>
      <c r="E142" s="184" t="s">
        <v>388</v>
      </c>
      <c r="F142" s="352"/>
      <c r="G142" s="352">
        <v>22.28595</v>
      </c>
      <c r="H142" s="63">
        <f t="shared" si="24"/>
        <v>22.28595</v>
      </c>
      <c r="I142" s="352">
        <v>22.984999999999999</v>
      </c>
      <c r="J142" s="34">
        <f t="shared" si="25"/>
        <v>103.13672964356466</v>
      </c>
      <c r="K142" s="227">
        <f t="shared" si="23"/>
        <v>0.69904999999999973</v>
      </c>
      <c r="L142" s="118"/>
    </row>
    <row r="143" spans="1:12" x14ac:dyDescent="0.2">
      <c r="A143" s="87"/>
      <c r="B143" s="33">
        <v>4216</v>
      </c>
      <c r="C143" s="33">
        <v>250</v>
      </c>
      <c r="D143" s="32"/>
      <c r="E143" s="184" t="s">
        <v>366</v>
      </c>
      <c r="F143" s="352"/>
      <c r="G143" s="352">
        <v>771.42435999999998</v>
      </c>
      <c r="H143" s="63">
        <f t="shared" si="24"/>
        <v>771.42435999999998</v>
      </c>
      <c r="I143" s="352">
        <v>771.42435999999998</v>
      </c>
      <c r="J143" s="34">
        <f t="shared" si="25"/>
        <v>100</v>
      </c>
      <c r="K143" s="227">
        <f t="shared" si="23"/>
        <v>0</v>
      </c>
      <c r="L143" s="118"/>
    </row>
    <row r="144" spans="1:12" ht="13.5" thickBot="1" x14ac:dyDescent="0.25">
      <c r="A144" s="87"/>
      <c r="B144" s="33">
        <v>4222</v>
      </c>
      <c r="C144" s="33">
        <v>223</v>
      </c>
      <c r="D144" s="32"/>
      <c r="E144" s="332" t="s">
        <v>338</v>
      </c>
      <c r="F144" s="352">
        <v>100</v>
      </c>
      <c r="G144" s="352"/>
      <c r="H144" s="63">
        <f t="shared" si="24"/>
        <v>100</v>
      </c>
      <c r="I144" s="352">
        <v>100</v>
      </c>
      <c r="J144" s="34">
        <f t="shared" si="25"/>
        <v>100</v>
      </c>
      <c r="K144" s="227">
        <f t="shared" si="23"/>
        <v>0</v>
      </c>
      <c r="L144" s="118" t="s">
        <v>324</v>
      </c>
    </row>
    <row r="145" spans="1:12" ht="14.25" customHeight="1" thickBot="1" x14ac:dyDescent="0.3">
      <c r="A145" s="106" t="s">
        <v>53</v>
      </c>
      <c r="B145" s="109"/>
      <c r="C145" s="110"/>
      <c r="D145" s="109"/>
      <c r="E145" s="109"/>
      <c r="F145" s="112">
        <f>SUM(F105+F136)</f>
        <v>30510</v>
      </c>
      <c r="G145" s="112">
        <f>SUM(G105+G136)</f>
        <v>28103.721390000002</v>
      </c>
      <c r="H145" s="112">
        <f>SUM(H105+H136)</f>
        <v>58613.721390000013</v>
      </c>
      <c r="I145" s="112">
        <f>SUM(I105+I136)</f>
        <v>58635.214870000011</v>
      </c>
      <c r="J145" s="36">
        <f t="shared" si="25"/>
        <v>100.03666970717826</v>
      </c>
      <c r="K145" s="300">
        <f>SUM(K105+K136)</f>
        <v>21.493479999999849</v>
      </c>
      <c r="L145" s="112"/>
    </row>
    <row r="146" spans="1:12" ht="16.5" thickBot="1" x14ac:dyDescent="0.3">
      <c r="A146" s="442" t="s">
        <v>11</v>
      </c>
      <c r="B146" s="443"/>
      <c r="C146" s="444"/>
      <c r="D146" s="444"/>
      <c r="E146" s="445"/>
      <c r="F146" s="446">
        <f>SUM(F36+F95+F103+F145)</f>
        <v>157187</v>
      </c>
      <c r="G146" s="446">
        <f>SUM(G36+G95+G103+G145)</f>
        <v>30503.634200000004</v>
      </c>
      <c r="H146" s="446">
        <f>SUM(H36+H95+H103+H145)</f>
        <v>187690.63420000003</v>
      </c>
      <c r="I146" s="446">
        <f>SUM(I36+I95+I103+I145)</f>
        <v>187033.54029</v>
      </c>
      <c r="J146" s="446">
        <f t="shared" si="25"/>
        <v>99.649905860886037</v>
      </c>
      <c r="K146" s="300">
        <f>SUM(K36+K95+K103+K145)</f>
        <v>-657.09391000000346</v>
      </c>
      <c r="L146" s="447"/>
    </row>
    <row r="147" spans="1:12" ht="24" customHeight="1" thickBot="1" x14ac:dyDescent="0.25">
      <c r="A147" s="97"/>
      <c r="B147" s="23"/>
      <c r="C147" s="97"/>
      <c r="D147" s="23"/>
      <c r="E147" s="23"/>
      <c r="F147" s="140"/>
      <c r="G147" s="140"/>
      <c r="H147" s="140"/>
      <c r="I147" s="140"/>
      <c r="J147" s="99"/>
      <c r="K147" s="301"/>
      <c r="L147" s="205"/>
    </row>
    <row r="148" spans="1:12" ht="13.5" thickBot="1" x14ac:dyDescent="0.25">
      <c r="A148" s="38"/>
      <c r="B148" s="39"/>
      <c r="C148" s="38"/>
      <c r="D148" s="39"/>
      <c r="E148" s="40"/>
      <c r="F148" s="401" t="s">
        <v>335</v>
      </c>
      <c r="G148" s="397" t="str">
        <f>G3</f>
        <v>Změna</v>
      </c>
      <c r="H148" s="141" t="s">
        <v>99</v>
      </c>
      <c r="I148" s="397" t="str">
        <f>I3</f>
        <v>4.Q.2018</v>
      </c>
      <c r="J148" s="369" t="s">
        <v>4</v>
      </c>
      <c r="K148" s="229" t="s">
        <v>90</v>
      </c>
      <c r="L148" s="217"/>
    </row>
    <row r="149" spans="1:12" x14ac:dyDescent="0.2">
      <c r="A149" s="38" t="s">
        <v>54</v>
      </c>
      <c r="B149" s="23"/>
      <c r="C149" s="97"/>
      <c r="D149" s="23"/>
      <c r="E149" s="113" t="s">
        <v>55</v>
      </c>
      <c r="F149" s="137">
        <f>F36</f>
        <v>91121</v>
      </c>
      <c r="G149" s="137">
        <f>G36</f>
        <v>0</v>
      </c>
      <c r="H149" s="137">
        <f>H36</f>
        <v>91121</v>
      </c>
      <c r="I149" s="137">
        <f>I36</f>
        <v>95464.905759999994</v>
      </c>
      <c r="J149" s="335">
        <f t="shared" ref="J149:J155" si="26">I149/$H149*100</f>
        <v>104.767184030026</v>
      </c>
      <c r="K149" s="227">
        <f>K36</f>
        <v>4343.9057599999969</v>
      </c>
      <c r="L149" s="218"/>
    </row>
    <row r="150" spans="1:12" x14ac:dyDescent="0.2">
      <c r="A150" s="97"/>
      <c r="B150" s="23"/>
      <c r="C150" s="97"/>
      <c r="D150" s="23"/>
      <c r="E150" s="56" t="s">
        <v>56</v>
      </c>
      <c r="F150" s="323">
        <f>F95</f>
        <v>27406</v>
      </c>
      <c r="G150" s="323">
        <f>G95</f>
        <v>2399.9128100000003</v>
      </c>
      <c r="H150" s="41">
        <f>H95</f>
        <v>29805.912810000002</v>
      </c>
      <c r="I150" s="323">
        <f>I95</f>
        <v>30140.540660000002</v>
      </c>
      <c r="J150" s="335">
        <f t="shared" si="26"/>
        <v>101.12268948826735</v>
      </c>
      <c r="K150" s="227">
        <f>K95</f>
        <v>334.62784999999946</v>
      </c>
      <c r="L150" s="219"/>
    </row>
    <row r="151" spans="1:12" x14ac:dyDescent="0.2">
      <c r="A151" s="97"/>
      <c r="B151" s="23"/>
      <c r="C151" s="97"/>
      <c r="D151" s="23"/>
      <c r="E151" s="56" t="s">
        <v>57</v>
      </c>
      <c r="F151" s="138">
        <f>F105</f>
        <v>27910</v>
      </c>
      <c r="G151" s="138">
        <f>G105</f>
        <v>10518.21876</v>
      </c>
      <c r="H151" s="138">
        <f>H105</f>
        <v>38428.218760000011</v>
      </c>
      <c r="I151" s="138">
        <f>I105</f>
        <v>38449.013190000005</v>
      </c>
      <c r="J151" s="335">
        <f t="shared" si="26"/>
        <v>100.05411239623119</v>
      </c>
      <c r="K151" s="227">
        <f>K105</f>
        <v>20.794429999999849</v>
      </c>
      <c r="L151" s="309"/>
    </row>
    <row r="152" spans="1:12" x14ac:dyDescent="0.2">
      <c r="A152" s="97"/>
      <c r="B152" s="23"/>
      <c r="C152" s="97"/>
      <c r="D152" s="23"/>
      <c r="E152" s="114" t="s">
        <v>58</v>
      </c>
      <c r="F152" s="156">
        <f>SUM(F149:F151)</f>
        <v>146437</v>
      </c>
      <c r="G152" s="156">
        <f>SUM(G149:G151)</f>
        <v>12918.13157</v>
      </c>
      <c r="H152" s="156">
        <f>SUM(H149:H151)</f>
        <v>159355.13157000003</v>
      </c>
      <c r="I152" s="156">
        <f>SUM(I149:I151)</f>
        <v>164054.45960999999</v>
      </c>
      <c r="J152" s="336">
        <f t="shared" si="26"/>
        <v>102.94896561767494</v>
      </c>
      <c r="K152" s="299">
        <f>SUM(K149:K151)</f>
        <v>4699.3280399999967</v>
      </c>
      <c r="L152" s="220"/>
    </row>
    <row r="153" spans="1:12" x14ac:dyDescent="0.2">
      <c r="A153" s="97"/>
      <c r="B153" s="23"/>
      <c r="C153" s="97"/>
      <c r="D153" s="23"/>
      <c r="E153" s="56" t="s">
        <v>59</v>
      </c>
      <c r="F153" s="139">
        <f>F103</f>
        <v>8150</v>
      </c>
      <c r="G153" s="139">
        <f>G103</f>
        <v>0</v>
      </c>
      <c r="H153" s="139">
        <f>H103</f>
        <v>8150</v>
      </c>
      <c r="I153" s="139">
        <f>I103</f>
        <v>2792.8789999999999</v>
      </c>
      <c r="J153" s="335">
        <f t="shared" si="26"/>
        <v>34.268453987730055</v>
      </c>
      <c r="K153" s="227">
        <f>K103</f>
        <v>-5357.1210000000001</v>
      </c>
      <c r="L153" s="218" t="s">
        <v>1</v>
      </c>
    </row>
    <row r="154" spans="1:12" x14ac:dyDescent="0.2">
      <c r="A154" s="97"/>
      <c r="B154" s="23"/>
      <c r="C154" s="97"/>
      <c r="D154" s="23"/>
      <c r="E154" s="56" t="s">
        <v>60</v>
      </c>
      <c r="F154" s="139">
        <f>F136</f>
        <v>2600</v>
      </c>
      <c r="G154" s="139">
        <f>G136</f>
        <v>17585.502630000003</v>
      </c>
      <c r="H154" s="139">
        <f>H136</f>
        <v>20185.502630000003</v>
      </c>
      <c r="I154" s="139">
        <f>I136</f>
        <v>20186.201680000002</v>
      </c>
      <c r="J154" s="335">
        <f t="shared" si="26"/>
        <v>100.0034631290229</v>
      </c>
      <c r="K154" s="227">
        <f>K136</f>
        <v>0.69904999999999973</v>
      </c>
      <c r="L154" s="218"/>
    </row>
    <row r="155" spans="1:12" ht="13.5" thickBot="1" x14ac:dyDescent="0.25">
      <c r="A155" s="115"/>
      <c r="B155" s="23"/>
      <c r="C155" s="97"/>
      <c r="D155" s="23"/>
      <c r="E155" s="116" t="s">
        <v>61</v>
      </c>
      <c r="F155" s="324">
        <f>SUM(F152:F154)</f>
        <v>157187</v>
      </c>
      <c r="G155" s="324">
        <f>SUM(G152:G154)</f>
        <v>30503.6342</v>
      </c>
      <c r="H155" s="146">
        <f>SUM(H152:H154)</f>
        <v>187690.63420000003</v>
      </c>
      <c r="I155" s="324">
        <f>SUM(I152:I154)</f>
        <v>187033.54028999998</v>
      </c>
      <c r="J155" s="337">
        <f t="shared" si="26"/>
        <v>99.649905860886022</v>
      </c>
      <c r="K155" s="319">
        <f>SUM(K152:K154)</f>
        <v>-657.09391000000346</v>
      </c>
      <c r="L155" s="221"/>
    </row>
    <row r="156" spans="1:12" x14ac:dyDescent="0.2">
      <c r="L156" s="222"/>
    </row>
    <row r="157" spans="1:12" x14ac:dyDescent="0.2">
      <c r="A157" s="15"/>
      <c r="B157" s="120"/>
      <c r="C157" s="120"/>
      <c r="D157" s="466"/>
      <c r="E157" s="467"/>
      <c r="F157" s="136"/>
      <c r="G157" s="136"/>
      <c r="H157" s="328"/>
      <c r="I157" s="136"/>
      <c r="K157" s="185"/>
      <c r="L157" s="117"/>
    </row>
    <row r="158" spans="1:12" x14ac:dyDescent="0.2">
      <c r="A158" s="120"/>
      <c r="B158" s="120"/>
      <c r="C158" s="120"/>
      <c r="D158" s="296"/>
      <c r="E158" s="467"/>
      <c r="F158" s="136"/>
      <c r="G158" s="136"/>
      <c r="H158" s="295"/>
      <c r="I158" s="136"/>
      <c r="K158" s="185"/>
      <c r="L158" s="117"/>
    </row>
    <row r="159" spans="1:12" x14ac:dyDescent="0.2">
      <c r="A159" s="120"/>
      <c r="B159" s="120"/>
      <c r="C159" s="120"/>
      <c r="D159" s="296"/>
      <c r="E159" s="467"/>
      <c r="F159" s="136"/>
      <c r="G159" s="136"/>
      <c r="H159" s="295"/>
      <c r="I159" s="136"/>
      <c r="K159" s="185"/>
      <c r="L159" s="222"/>
    </row>
    <row r="160" spans="1:12" x14ac:dyDescent="0.2">
      <c r="A160" s="120"/>
      <c r="B160" s="120"/>
      <c r="C160" s="120"/>
      <c r="D160" s="296"/>
      <c r="E160" s="467"/>
      <c r="F160" s="136"/>
      <c r="G160" s="136"/>
      <c r="H160" s="329"/>
      <c r="I160" s="136"/>
      <c r="L160" s="117"/>
    </row>
    <row r="161" spans="1:12" x14ac:dyDescent="0.2">
      <c r="A161" s="120"/>
      <c r="B161" s="120"/>
      <c r="C161" s="120"/>
      <c r="D161" s="296"/>
      <c r="E161" s="135"/>
      <c r="F161" s="136"/>
      <c r="G161" s="136"/>
      <c r="H161" s="329"/>
      <c r="I161" s="136"/>
      <c r="K161" s="185"/>
      <c r="L161" s="117"/>
    </row>
    <row r="162" spans="1:12" x14ac:dyDescent="0.2">
      <c r="A162" s="15"/>
      <c r="B162" s="120"/>
      <c r="C162" s="120"/>
      <c r="D162" s="296"/>
      <c r="E162" s="468"/>
      <c r="F162" s="136"/>
      <c r="G162" s="136"/>
      <c r="H162" s="330"/>
      <c r="I162" s="136"/>
      <c r="K162" s="185"/>
      <c r="L162" s="117"/>
    </row>
    <row r="163" spans="1:12" x14ac:dyDescent="0.2">
      <c r="E163" s="117"/>
      <c r="L163" s="117"/>
    </row>
    <row r="164" spans="1:12" x14ac:dyDescent="0.2">
      <c r="E164" s="117"/>
      <c r="L164" s="117"/>
    </row>
    <row r="165" spans="1:12" x14ac:dyDescent="0.2">
      <c r="E165" s="117"/>
      <c r="F165" s="302"/>
      <c r="G165" s="302"/>
      <c r="I165" s="302"/>
      <c r="L165" s="117"/>
    </row>
    <row r="166" spans="1:12" x14ac:dyDescent="0.2">
      <c r="L166" s="306"/>
    </row>
    <row r="167" spans="1:12" x14ac:dyDescent="0.2">
      <c r="L167" s="222"/>
    </row>
    <row r="170" spans="1:12" x14ac:dyDescent="0.2">
      <c r="L170" s="222"/>
    </row>
  </sheetData>
  <phoneticPr fontId="6" type="noConversion"/>
  <pageMargins left="0.69" right="0.15748031496062992" top="0.43" bottom="0.15748031496062992" header="0.19685039370078741" footer="0.15748031496062992"/>
  <pageSetup paperSize="9" scale="95" fitToWidth="0" fitToHeight="0" orientation="landscape" r:id="rId1"/>
  <headerFooter alignWithMargins="0">
    <oddHeader>&amp;R&amp;P+1.strana</oddHeader>
    <oddFooter xml:space="preserve">&amp;R
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/>
  <dimension ref="A1:FW143"/>
  <sheetViews>
    <sheetView zoomScaleNormal="100" workbookViewId="0">
      <pane xSplit="4" ySplit="4" topLeftCell="E77" activePane="bottomRight" state="frozen"/>
      <selection pane="topRight" activeCell="E1" sqref="E1"/>
      <selection pane="bottomLeft" activeCell="A5" sqref="A5"/>
      <selection pane="bottomRight" activeCell="AB2" sqref="AB2"/>
    </sheetView>
  </sheetViews>
  <sheetFormatPr defaultColWidth="7.85546875" defaultRowHeight="12.75" x14ac:dyDescent="0.2"/>
  <cols>
    <col min="1" max="1" width="3.28515625" style="86" customWidth="1"/>
    <col min="2" max="2" width="4.85546875" style="89" customWidth="1"/>
    <col min="3" max="3" width="5.28515625" style="89" bestFit="1" customWidth="1"/>
    <col min="4" max="4" width="27.42578125" style="193" customWidth="1"/>
    <col min="5" max="6" width="7.140625" style="86" customWidth="1"/>
    <col min="7" max="7" width="7.140625" style="108" customWidth="1"/>
    <col min="8" max="8" width="5.85546875" style="177" bestFit="1" customWidth="1"/>
    <col min="9" max="9" width="6.28515625" style="177" customWidth="1"/>
    <col min="10" max="10" width="6.85546875" style="108" customWidth="1"/>
    <col min="11" max="11" width="6.140625" style="108" customWidth="1"/>
    <col min="12" max="12" width="7.85546875" style="108" customWidth="1"/>
    <col min="13" max="13" width="7" style="108" customWidth="1"/>
    <col min="14" max="14" width="7" style="86" customWidth="1"/>
    <col min="15" max="15" width="7" style="108" customWidth="1"/>
    <col min="16" max="16" width="4.5703125" style="108" customWidth="1"/>
    <col min="17" max="17" width="7" style="108" customWidth="1"/>
    <col min="18" max="18" width="24.140625" style="108" customWidth="1"/>
    <col min="19" max="19" width="23.28515625" style="177" hidden="1" customWidth="1"/>
    <col min="20" max="20" width="23.28515625" style="322" hidden="1" customWidth="1"/>
    <col min="21" max="21" width="5.7109375" style="86" customWidth="1"/>
    <col min="22" max="22" width="6" style="86" customWidth="1"/>
    <col min="23" max="23" width="3.7109375" style="108" hidden="1" customWidth="1"/>
    <col min="24" max="16384" width="7.85546875" style="86"/>
  </cols>
  <sheetData>
    <row r="1" spans="1:23" ht="18.75" thickBot="1" x14ac:dyDescent="0.3">
      <c r="A1" s="96" t="s">
        <v>489</v>
      </c>
      <c r="B1" s="268"/>
      <c r="C1" s="268"/>
      <c r="D1" s="267"/>
      <c r="E1" s="267"/>
      <c r="F1" s="267"/>
      <c r="G1" s="268"/>
      <c r="H1" s="268"/>
      <c r="I1" s="268"/>
      <c r="J1" s="268"/>
      <c r="K1" s="268"/>
      <c r="L1" s="268"/>
      <c r="M1" s="268"/>
      <c r="N1" s="267"/>
      <c r="O1" s="268"/>
      <c r="P1" s="268"/>
      <c r="Q1" s="422"/>
      <c r="R1" s="424"/>
      <c r="S1" s="268"/>
      <c r="T1" s="320"/>
      <c r="U1" s="23"/>
      <c r="V1" s="108"/>
    </row>
    <row r="2" spans="1:23" x14ac:dyDescent="0.2">
      <c r="A2" s="122"/>
      <c r="B2" s="90"/>
      <c r="C2" s="90"/>
      <c r="D2" s="90"/>
      <c r="E2" s="150"/>
      <c r="F2" s="150" t="s">
        <v>336</v>
      </c>
      <c r="G2" s="150"/>
      <c r="H2" s="472" t="s">
        <v>3</v>
      </c>
      <c r="I2" s="473"/>
      <c r="J2" s="365"/>
      <c r="K2" s="42" t="s">
        <v>100</v>
      </c>
      <c r="L2" s="150"/>
      <c r="M2" s="150"/>
      <c r="N2" s="150" t="s">
        <v>380</v>
      </c>
      <c r="O2" s="150"/>
      <c r="P2" s="150"/>
      <c r="Q2" s="342"/>
      <c r="R2" s="150"/>
      <c r="S2" s="325"/>
      <c r="T2" s="378"/>
      <c r="U2" s="387"/>
      <c r="V2" s="269"/>
      <c r="W2" s="269"/>
    </row>
    <row r="3" spans="1:23" x14ac:dyDescent="0.2">
      <c r="A3" s="82"/>
      <c r="B3" s="32"/>
      <c r="C3" s="32"/>
      <c r="D3" s="370"/>
      <c r="E3" s="43">
        <v>2018</v>
      </c>
      <c r="F3" s="44">
        <v>2018</v>
      </c>
      <c r="G3" s="81">
        <v>2018</v>
      </c>
      <c r="H3" s="158">
        <v>2018</v>
      </c>
      <c r="I3" s="159">
        <v>2018</v>
      </c>
      <c r="J3" s="43">
        <v>2018</v>
      </c>
      <c r="K3" s="44">
        <v>2018</v>
      </c>
      <c r="L3" s="81">
        <v>2018</v>
      </c>
      <c r="M3" s="43">
        <v>2018</v>
      </c>
      <c r="N3" s="44">
        <v>2018</v>
      </c>
      <c r="O3" s="81">
        <v>2018</v>
      </c>
      <c r="P3" s="81"/>
      <c r="Q3" s="343" t="s">
        <v>90</v>
      </c>
      <c r="R3" s="81"/>
      <c r="S3" s="159" t="s">
        <v>337</v>
      </c>
      <c r="T3" s="379">
        <v>2017</v>
      </c>
      <c r="U3" s="333" t="s">
        <v>151</v>
      </c>
      <c r="V3" s="388" t="s">
        <v>161</v>
      </c>
      <c r="W3" s="388"/>
    </row>
    <row r="4" spans="1:23" ht="13.5" thickBot="1" x14ac:dyDescent="0.25">
      <c r="A4" s="45" t="s">
        <v>62</v>
      </c>
      <c r="B4" s="27" t="s">
        <v>21</v>
      </c>
      <c r="C4" s="27" t="s">
        <v>22</v>
      </c>
      <c r="D4" s="371" t="s">
        <v>63</v>
      </c>
      <c r="E4" s="45" t="s">
        <v>64</v>
      </c>
      <c r="F4" s="27" t="s">
        <v>65</v>
      </c>
      <c r="G4" s="46" t="s">
        <v>66</v>
      </c>
      <c r="H4" s="160" t="s">
        <v>64</v>
      </c>
      <c r="I4" s="405" t="s">
        <v>65</v>
      </c>
      <c r="J4" s="341" t="s">
        <v>64</v>
      </c>
      <c r="K4" s="27" t="s">
        <v>65</v>
      </c>
      <c r="L4" s="46" t="s">
        <v>66</v>
      </c>
      <c r="M4" s="45" t="s">
        <v>64</v>
      </c>
      <c r="N4" s="27" t="s">
        <v>65</v>
      </c>
      <c r="O4" s="46" t="s">
        <v>66</v>
      </c>
      <c r="P4" s="46" t="s">
        <v>4</v>
      </c>
      <c r="Q4" s="344">
        <v>2018</v>
      </c>
      <c r="R4" s="46" t="s">
        <v>19</v>
      </c>
      <c r="S4" s="405">
        <v>2017</v>
      </c>
      <c r="T4" s="380" t="s">
        <v>265</v>
      </c>
      <c r="U4" s="334" t="s">
        <v>150</v>
      </c>
      <c r="V4" s="389" t="s">
        <v>155</v>
      </c>
      <c r="W4" s="389" t="s">
        <v>305</v>
      </c>
    </row>
    <row r="5" spans="1:23" x14ac:dyDescent="0.2">
      <c r="A5" s="123">
        <v>10</v>
      </c>
      <c r="B5" s="62"/>
      <c r="C5" s="62"/>
      <c r="D5" s="364" t="s">
        <v>67</v>
      </c>
      <c r="E5" s="47">
        <f t="shared" ref="E5:L5" si="0">SUM(E6:E9)</f>
        <v>1313</v>
      </c>
      <c r="F5" s="48">
        <f t="shared" si="0"/>
        <v>540</v>
      </c>
      <c r="G5" s="152">
        <f t="shared" si="0"/>
        <v>1853</v>
      </c>
      <c r="H5" s="161">
        <f t="shared" si="0"/>
        <v>140.86599999999999</v>
      </c>
      <c r="I5" s="162">
        <f t="shared" si="0"/>
        <v>0</v>
      </c>
      <c r="J5" s="47">
        <f t="shared" si="0"/>
        <v>1453.866</v>
      </c>
      <c r="K5" s="48">
        <f t="shared" si="0"/>
        <v>540</v>
      </c>
      <c r="L5" s="152">
        <f t="shared" si="0"/>
        <v>1993.866</v>
      </c>
      <c r="M5" s="47">
        <f>SUM(M6:M9)</f>
        <v>1068.5601799999999</v>
      </c>
      <c r="N5" s="48">
        <f>SUM(N6:N9)</f>
        <v>50.335999999999999</v>
      </c>
      <c r="O5" s="152">
        <f>SUM(O6:O9)</f>
        <v>1118.89618</v>
      </c>
      <c r="P5" s="152">
        <f>O5/$L5*100</f>
        <v>56.116919592389856</v>
      </c>
      <c r="Q5" s="345">
        <f>SUM(Q6:Q9)</f>
        <v>874.96982000000014</v>
      </c>
      <c r="R5" s="152"/>
      <c r="S5" s="162">
        <f>SUM(S6:S9)</f>
        <v>0</v>
      </c>
      <c r="T5" s="381">
        <f>SUM(T6:T9)</f>
        <v>1603.866</v>
      </c>
      <c r="U5" s="49"/>
      <c r="V5" s="67"/>
    </row>
    <row r="6" spans="1:23" x14ac:dyDescent="0.2">
      <c r="A6" s="124"/>
      <c r="B6" s="29">
        <v>1031</v>
      </c>
      <c r="C6" s="29">
        <v>201</v>
      </c>
      <c r="D6" s="184" t="s">
        <v>192</v>
      </c>
      <c r="E6" s="41">
        <f>569+494</f>
        <v>1063</v>
      </c>
      <c r="F6" s="29">
        <v>400</v>
      </c>
      <c r="G6" s="51">
        <f>E6+F6</f>
        <v>1463</v>
      </c>
      <c r="H6" s="169">
        <f>14.215+26.935</f>
        <v>41.15</v>
      </c>
      <c r="I6" s="164"/>
      <c r="J6" s="41">
        <f t="shared" ref="J6:K9" si="1">E6+H6</f>
        <v>1104.1500000000001</v>
      </c>
      <c r="K6" s="29">
        <f t="shared" si="1"/>
        <v>400</v>
      </c>
      <c r="L6" s="51">
        <f>SUM(J6:K6)</f>
        <v>1504.15</v>
      </c>
      <c r="M6" s="41">
        <f>1019.18018-N7</f>
        <v>968.84417999999994</v>
      </c>
      <c r="N6" s="29"/>
      <c r="O6" s="51">
        <f>M6+N6</f>
        <v>968.84417999999994</v>
      </c>
      <c r="P6" s="51">
        <f>O6/$L6*100</f>
        <v>64.411407107003953</v>
      </c>
      <c r="Q6" s="346">
        <f>L6-O6</f>
        <v>535.30582000000015</v>
      </c>
      <c r="R6" s="51"/>
      <c r="S6" s="164"/>
      <c r="T6" s="382">
        <f>L6-S6</f>
        <v>1504.15</v>
      </c>
      <c r="U6" s="285" t="s">
        <v>68</v>
      </c>
      <c r="V6" s="272" t="s">
        <v>116</v>
      </c>
    </row>
    <row r="7" spans="1:23" x14ac:dyDescent="0.2">
      <c r="A7" s="124"/>
      <c r="B7" s="29">
        <v>1031</v>
      </c>
      <c r="C7" s="29">
        <v>201</v>
      </c>
      <c r="D7" s="184" t="s">
        <v>344</v>
      </c>
      <c r="E7" s="41"/>
      <c r="F7" s="29">
        <v>140</v>
      </c>
      <c r="G7" s="51">
        <f>E7+F7</f>
        <v>140</v>
      </c>
      <c r="H7" s="163"/>
      <c r="I7" s="164"/>
      <c r="J7" s="41"/>
      <c r="K7" s="29">
        <f t="shared" si="1"/>
        <v>140</v>
      </c>
      <c r="L7" s="51">
        <f>SUM(J7:K7)</f>
        <v>140</v>
      </c>
      <c r="M7" s="41"/>
      <c r="N7" s="426">
        <v>50.335999999999999</v>
      </c>
      <c r="O7" s="51">
        <f>M7+N7</f>
        <v>50.335999999999999</v>
      </c>
      <c r="P7" s="51">
        <f t="shared" ref="P7:P9" si="2">O7/$L7*100</f>
        <v>35.95428571428571</v>
      </c>
      <c r="Q7" s="346">
        <f>L7-O7</f>
        <v>89.664000000000001</v>
      </c>
      <c r="R7" s="51" t="s">
        <v>427</v>
      </c>
      <c r="S7" s="164"/>
      <c r="T7" s="382"/>
      <c r="U7" s="285" t="s">
        <v>334</v>
      </c>
      <c r="V7" s="272" t="s">
        <v>116</v>
      </c>
    </row>
    <row r="8" spans="1:23" x14ac:dyDescent="0.2">
      <c r="A8" s="124"/>
      <c r="B8" s="29">
        <v>1037</v>
      </c>
      <c r="C8" s="29">
        <v>202</v>
      </c>
      <c r="D8" s="184" t="s">
        <v>333</v>
      </c>
      <c r="E8" s="41">
        <v>250</v>
      </c>
      <c r="F8" s="29"/>
      <c r="G8" s="51">
        <f>E8+F8</f>
        <v>250</v>
      </c>
      <c r="H8" s="163"/>
      <c r="I8" s="164"/>
      <c r="J8" s="41">
        <f t="shared" si="1"/>
        <v>250</v>
      </c>
      <c r="K8" s="29">
        <f t="shared" si="1"/>
        <v>0</v>
      </c>
      <c r="L8" s="51">
        <f>SUM(J8:K8)</f>
        <v>250</v>
      </c>
      <c r="M8" s="41"/>
      <c r="N8" s="29"/>
      <c r="O8" s="51">
        <f>M8+N8</f>
        <v>0</v>
      </c>
      <c r="P8" s="51">
        <f t="shared" si="2"/>
        <v>0</v>
      </c>
      <c r="Q8" s="346">
        <f>L8-O8</f>
        <v>250</v>
      </c>
      <c r="R8" s="51"/>
      <c r="S8" s="164"/>
      <c r="T8" s="382"/>
      <c r="U8" s="285" t="s">
        <v>334</v>
      </c>
      <c r="V8" s="272" t="s">
        <v>116</v>
      </c>
    </row>
    <row r="9" spans="1:23" ht="13.5" customHeight="1" x14ac:dyDescent="0.2">
      <c r="A9" s="124"/>
      <c r="B9" s="29">
        <v>1036</v>
      </c>
      <c r="C9" s="29">
        <v>109</v>
      </c>
      <c r="D9" s="184" t="s">
        <v>152</v>
      </c>
      <c r="E9" s="41"/>
      <c r="F9" s="17"/>
      <c r="G9" s="51">
        <f>E9+F9</f>
        <v>0</v>
      </c>
      <c r="H9" s="169">
        <v>99.715999999999994</v>
      </c>
      <c r="I9" s="164"/>
      <c r="J9" s="41">
        <f t="shared" si="1"/>
        <v>99.715999999999994</v>
      </c>
      <c r="K9" s="17">
        <f t="shared" si="1"/>
        <v>0</v>
      </c>
      <c r="L9" s="51">
        <f>SUM(J9:K9)</f>
        <v>99.715999999999994</v>
      </c>
      <c r="M9" s="41">
        <v>99.715999999999994</v>
      </c>
      <c r="N9" s="17"/>
      <c r="O9" s="51">
        <f>M9+N9</f>
        <v>99.715999999999994</v>
      </c>
      <c r="P9" s="51">
        <f t="shared" si="2"/>
        <v>100</v>
      </c>
      <c r="Q9" s="346">
        <f>L9-O9</f>
        <v>0</v>
      </c>
      <c r="R9" s="51" t="s">
        <v>138</v>
      </c>
      <c r="S9" s="164"/>
      <c r="T9" s="382">
        <f>L9-S9</f>
        <v>99.715999999999994</v>
      </c>
      <c r="U9" s="293" t="s">
        <v>200</v>
      </c>
      <c r="V9" s="271" t="s">
        <v>242</v>
      </c>
    </row>
    <row r="10" spans="1:23" x14ac:dyDescent="0.2">
      <c r="A10" s="125">
        <v>21</v>
      </c>
      <c r="B10" s="24"/>
      <c r="C10" s="24"/>
      <c r="D10" s="372" t="s">
        <v>254</v>
      </c>
      <c r="E10" s="52">
        <f t="shared" ref="E10:L10" si="3">SUM(E11:E15)</f>
        <v>1229</v>
      </c>
      <c r="F10" s="53">
        <f t="shared" si="3"/>
        <v>860</v>
      </c>
      <c r="G10" s="54">
        <f t="shared" si="3"/>
        <v>2089</v>
      </c>
      <c r="H10" s="167">
        <f t="shared" si="3"/>
        <v>170.999</v>
      </c>
      <c r="I10" s="168">
        <f t="shared" si="3"/>
        <v>-150</v>
      </c>
      <c r="J10" s="52">
        <f t="shared" si="3"/>
        <v>1399.999</v>
      </c>
      <c r="K10" s="53">
        <f t="shared" si="3"/>
        <v>710</v>
      </c>
      <c r="L10" s="54">
        <f t="shared" si="3"/>
        <v>2109.9989999999998</v>
      </c>
      <c r="M10" s="52">
        <f>SUM(M11:M15)</f>
        <v>1113.5317399999999</v>
      </c>
      <c r="N10" s="53">
        <f>SUM(N11:N15)</f>
        <v>154.13</v>
      </c>
      <c r="O10" s="54">
        <f>SUM(O11:O15)</f>
        <v>1267.66174</v>
      </c>
      <c r="P10" s="54">
        <f t="shared" ref="P10:P58" si="4">O10/$L10*100</f>
        <v>60.07878392359428</v>
      </c>
      <c r="Q10" s="347">
        <f>SUM(Q11:Q15)</f>
        <v>842.3372599999999</v>
      </c>
      <c r="R10" s="54"/>
      <c r="S10" s="168">
        <f>SUM(S11:S15)</f>
        <v>0</v>
      </c>
      <c r="T10" s="383">
        <f>SUM(T11:T15)</f>
        <v>2109.9989999999998</v>
      </c>
      <c r="U10" s="49"/>
      <c r="V10" s="67"/>
    </row>
    <row r="11" spans="1:23" x14ac:dyDescent="0.2">
      <c r="A11" s="56"/>
      <c r="B11" s="29">
        <v>2121</v>
      </c>
      <c r="C11" s="29">
        <v>20</v>
      </c>
      <c r="D11" s="184" t="s">
        <v>91</v>
      </c>
      <c r="E11" s="41"/>
      <c r="F11" s="17">
        <v>410</v>
      </c>
      <c r="G11" s="51">
        <f>E11+F11</f>
        <v>410</v>
      </c>
      <c r="H11" s="163"/>
      <c r="I11" s="164"/>
      <c r="J11" s="41">
        <f t="shared" ref="J11:K13" si="5">E11+H11</f>
        <v>0</v>
      </c>
      <c r="K11" s="29">
        <f t="shared" si="5"/>
        <v>410</v>
      </c>
      <c r="L11" s="51">
        <f>SUM(J11:K11)</f>
        <v>410</v>
      </c>
      <c r="M11" s="41"/>
      <c r="N11" s="17">
        <v>7.5129999999999999</v>
      </c>
      <c r="O11" s="51">
        <f>M11+N11</f>
        <v>7.5129999999999999</v>
      </c>
      <c r="P11" s="51">
        <f t="shared" si="4"/>
        <v>1.832439024390244</v>
      </c>
      <c r="Q11" s="346">
        <f>L11-O11</f>
        <v>402.48700000000002</v>
      </c>
      <c r="R11" s="51"/>
      <c r="S11" s="164"/>
      <c r="T11" s="382">
        <f>L11-S11</f>
        <v>410</v>
      </c>
      <c r="U11" s="285" t="s">
        <v>68</v>
      </c>
      <c r="V11" s="272" t="s">
        <v>116</v>
      </c>
    </row>
    <row r="12" spans="1:23" x14ac:dyDescent="0.2">
      <c r="A12" s="56"/>
      <c r="B12" s="29">
        <v>2121</v>
      </c>
      <c r="C12" s="29">
        <v>237</v>
      </c>
      <c r="D12" s="184" t="s">
        <v>169</v>
      </c>
      <c r="E12" s="41">
        <f>529-150</f>
        <v>379</v>
      </c>
      <c r="F12" s="17">
        <v>150</v>
      </c>
      <c r="G12" s="51">
        <f>E12+F12</f>
        <v>529</v>
      </c>
      <c r="H12" s="163">
        <v>150</v>
      </c>
      <c r="I12" s="164">
        <f>-150</f>
        <v>-150</v>
      </c>
      <c r="J12" s="41">
        <f t="shared" si="5"/>
        <v>529</v>
      </c>
      <c r="K12" s="29">
        <f t="shared" si="5"/>
        <v>0</v>
      </c>
      <c r="L12" s="51">
        <f>SUM(J12:K12)</f>
        <v>529</v>
      </c>
      <c r="M12" s="41">
        <v>380.01794000000001</v>
      </c>
      <c r="N12" s="17"/>
      <c r="O12" s="51">
        <f>M12+N12</f>
        <v>380.01794000000001</v>
      </c>
      <c r="P12" s="51">
        <f t="shared" si="4"/>
        <v>71.837039697542536</v>
      </c>
      <c r="Q12" s="346">
        <f>L12-O12</f>
        <v>148.98205999999999</v>
      </c>
      <c r="R12" s="51"/>
      <c r="S12" s="164"/>
      <c r="T12" s="382">
        <f>L12-S12</f>
        <v>529</v>
      </c>
      <c r="U12" s="285" t="s">
        <v>68</v>
      </c>
      <c r="V12" s="272" t="s">
        <v>116</v>
      </c>
    </row>
    <row r="13" spans="1:23" x14ac:dyDescent="0.2">
      <c r="A13" s="56"/>
      <c r="B13" s="29">
        <v>2141</v>
      </c>
      <c r="C13" s="29">
        <v>101</v>
      </c>
      <c r="D13" s="184" t="s">
        <v>272</v>
      </c>
      <c r="E13" s="41">
        <f>50+80</f>
        <v>130</v>
      </c>
      <c r="F13" s="17"/>
      <c r="G13" s="51">
        <f>E13+F13</f>
        <v>130</v>
      </c>
      <c r="H13" s="163"/>
      <c r="I13" s="164"/>
      <c r="J13" s="41">
        <f t="shared" si="5"/>
        <v>130</v>
      </c>
      <c r="K13" s="29">
        <f t="shared" si="5"/>
        <v>0</v>
      </c>
      <c r="L13" s="51">
        <f>SUM(J13:K13)</f>
        <v>130</v>
      </c>
      <c r="M13" s="41">
        <v>91.628</v>
      </c>
      <c r="N13" s="17"/>
      <c r="O13" s="51">
        <f>M13+N13</f>
        <v>91.628</v>
      </c>
      <c r="P13" s="51">
        <f t="shared" si="4"/>
        <v>70.483076923076922</v>
      </c>
      <c r="Q13" s="346">
        <f>L13-O13</f>
        <v>38.372</v>
      </c>
      <c r="R13" s="51"/>
      <c r="S13" s="164"/>
      <c r="T13" s="382">
        <f>L13-S13</f>
        <v>130</v>
      </c>
      <c r="U13" s="285" t="s">
        <v>303</v>
      </c>
      <c r="V13" s="272" t="s">
        <v>116</v>
      </c>
    </row>
    <row r="14" spans="1:23" x14ac:dyDescent="0.2">
      <c r="A14" s="56"/>
      <c r="B14" s="29">
        <v>2144</v>
      </c>
      <c r="C14" s="29">
        <v>650</v>
      </c>
      <c r="D14" s="184" t="s">
        <v>165</v>
      </c>
      <c r="E14" s="41">
        <v>420</v>
      </c>
      <c r="F14" s="17"/>
      <c r="G14" s="51">
        <f>E14+F14</f>
        <v>420</v>
      </c>
      <c r="H14" s="169">
        <v>20.998999999999999</v>
      </c>
      <c r="I14" s="164"/>
      <c r="J14" s="41">
        <f>E14+H14</f>
        <v>440.99900000000002</v>
      </c>
      <c r="K14" s="29"/>
      <c r="L14" s="51">
        <f>SUM(J14:K14)</f>
        <v>440.99900000000002</v>
      </c>
      <c r="M14" s="41">
        <v>351.59480000000002</v>
      </c>
      <c r="N14" s="17"/>
      <c r="O14" s="51">
        <f>M14+N14</f>
        <v>351.59480000000002</v>
      </c>
      <c r="P14" s="51">
        <f t="shared" si="4"/>
        <v>79.726892804745589</v>
      </c>
      <c r="Q14" s="346">
        <f>L14-O14</f>
        <v>89.404200000000003</v>
      </c>
      <c r="R14" s="51" t="s">
        <v>279</v>
      </c>
      <c r="S14" s="164"/>
      <c r="T14" s="382">
        <f>L14-S14</f>
        <v>440.99900000000002</v>
      </c>
      <c r="U14" s="282" t="s">
        <v>288</v>
      </c>
      <c r="V14" s="273" t="s">
        <v>429</v>
      </c>
    </row>
    <row r="15" spans="1:23" x14ac:dyDescent="0.2">
      <c r="A15" s="56"/>
      <c r="B15" s="29">
        <v>2199</v>
      </c>
      <c r="C15" s="29">
        <v>912</v>
      </c>
      <c r="D15" s="184" t="s">
        <v>96</v>
      </c>
      <c r="E15" s="41">
        <v>300</v>
      </c>
      <c r="F15" s="17">
        <v>300</v>
      </c>
      <c r="G15" s="51">
        <f>E15+F15</f>
        <v>600</v>
      </c>
      <c r="H15" s="163"/>
      <c r="I15" s="164"/>
      <c r="J15" s="41">
        <f>E15+H15</f>
        <v>300</v>
      </c>
      <c r="K15" s="29">
        <f>F15+I15</f>
        <v>300</v>
      </c>
      <c r="L15" s="51">
        <f>SUM(J15:K15)</f>
        <v>600</v>
      </c>
      <c r="M15" s="41">
        <v>290.291</v>
      </c>
      <c r="N15" s="17">
        <v>146.61699999999999</v>
      </c>
      <c r="O15" s="51">
        <f>M15+N15</f>
        <v>436.90800000000002</v>
      </c>
      <c r="P15" s="51">
        <f t="shared" si="4"/>
        <v>72.818000000000012</v>
      </c>
      <c r="Q15" s="346">
        <f>L15-O15</f>
        <v>163.09199999999998</v>
      </c>
      <c r="R15" s="51"/>
      <c r="S15" s="164"/>
      <c r="T15" s="382">
        <f>L15-S15</f>
        <v>600</v>
      </c>
      <c r="U15" s="283" t="s">
        <v>158</v>
      </c>
      <c r="V15" s="274" t="s">
        <v>303</v>
      </c>
    </row>
    <row r="16" spans="1:23" x14ac:dyDescent="0.2">
      <c r="A16" s="125">
        <v>22</v>
      </c>
      <c r="B16" s="24"/>
      <c r="C16" s="24"/>
      <c r="D16" s="372" t="s">
        <v>69</v>
      </c>
      <c r="E16" s="52">
        <f t="shared" ref="E16:L16" si="6">SUM(E17:E27)</f>
        <v>4241</v>
      </c>
      <c r="F16" s="53">
        <f t="shared" si="6"/>
        <v>19507</v>
      </c>
      <c r="G16" s="54">
        <f t="shared" si="6"/>
        <v>23748</v>
      </c>
      <c r="H16" s="167">
        <f t="shared" si="6"/>
        <v>1687</v>
      </c>
      <c r="I16" s="168">
        <f t="shared" si="6"/>
        <v>29466</v>
      </c>
      <c r="J16" s="52">
        <f t="shared" si="6"/>
        <v>5928</v>
      </c>
      <c r="K16" s="53">
        <f t="shared" si="6"/>
        <v>48973</v>
      </c>
      <c r="L16" s="54">
        <f t="shared" si="6"/>
        <v>54901</v>
      </c>
      <c r="M16" s="52">
        <f>SUM(M17:M27)</f>
        <v>5343.8095400000002</v>
      </c>
      <c r="N16" s="53">
        <f>SUM(N17:N27)</f>
        <v>43753.175309999999</v>
      </c>
      <c r="O16" s="54">
        <f>SUM(O17:O27)</f>
        <v>49096.984849999993</v>
      </c>
      <c r="P16" s="54">
        <f t="shared" si="4"/>
        <v>89.428215970565191</v>
      </c>
      <c r="Q16" s="347">
        <f>SUM(Q17:Q27)</f>
        <v>5804.0151499999993</v>
      </c>
      <c r="R16" s="54"/>
      <c r="S16" s="168">
        <f>SUM(S17:S27)</f>
        <v>0</v>
      </c>
      <c r="T16" s="383">
        <f>SUM(T17:T27)</f>
        <v>43501</v>
      </c>
      <c r="U16" s="49"/>
      <c r="V16" s="67"/>
    </row>
    <row r="17" spans="1:23" x14ac:dyDescent="0.2">
      <c r="A17" s="124"/>
      <c r="B17" s="29">
        <v>2212</v>
      </c>
      <c r="C17" s="29">
        <v>203</v>
      </c>
      <c r="D17" s="420" t="s">
        <v>232</v>
      </c>
      <c r="E17" s="41">
        <v>170</v>
      </c>
      <c r="F17" s="17">
        <f>27950-23100+1500</f>
        <v>6350</v>
      </c>
      <c r="G17" s="51">
        <f t="shared" ref="G17:G27" si="7">E17+F17</f>
        <v>6520</v>
      </c>
      <c r="H17" s="163">
        <v>55</v>
      </c>
      <c r="I17" s="407">
        <f>24000-55</f>
        <v>23945</v>
      </c>
      <c r="J17" s="41">
        <f t="shared" ref="J17:K23" si="8">E17+H17</f>
        <v>225</v>
      </c>
      <c r="K17" s="29">
        <f t="shared" si="8"/>
        <v>30295</v>
      </c>
      <c r="L17" s="51">
        <f t="shared" ref="L17:L27" si="9">SUM(J17:K17)</f>
        <v>30520</v>
      </c>
      <c r="M17" s="41">
        <f>8.299+163.168+40.6278</f>
        <v>212.09480000000002</v>
      </c>
      <c r="N17" s="17">
        <v>27314.893820000001</v>
      </c>
      <c r="O17" s="51">
        <f t="shared" ref="O17:O27" si="10">M17+N17</f>
        <v>27526.98862</v>
      </c>
      <c r="P17" s="51">
        <f t="shared" ref="P17:P23" si="11">O17/$L17*100</f>
        <v>90.193278571428564</v>
      </c>
      <c r="Q17" s="346">
        <f t="shared" ref="Q17:Q27" si="12">L17-O17</f>
        <v>2993.0113799999999</v>
      </c>
      <c r="R17" s="51"/>
      <c r="S17" s="164"/>
      <c r="T17" s="382">
        <f>L17-S17</f>
        <v>30520</v>
      </c>
      <c r="U17" s="285" t="s">
        <v>303</v>
      </c>
      <c r="V17" s="272" t="s">
        <v>116</v>
      </c>
    </row>
    <row r="18" spans="1:23" x14ac:dyDescent="0.2">
      <c r="A18" s="124"/>
      <c r="B18" s="29">
        <v>2212</v>
      </c>
      <c r="C18" s="29">
        <v>204</v>
      </c>
      <c r="D18" s="184" t="s">
        <v>121</v>
      </c>
      <c r="E18" s="41">
        <f>3177+300</f>
        <v>3477</v>
      </c>
      <c r="F18" s="17"/>
      <c r="G18" s="51">
        <f t="shared" si="7"/>
        <v>3477</v>
      </c>
      <c r="H18" s="163">
        <f>600+805</f>
        <v>1405</v>
      </c>
      <c r="I18" s="164"/>
      <c r="J18" s="41">
        <f t="shared" si="8"/>
        <v>4882</v>
      </c>
      <c r="K18" s="29">
        <f t="shared" si="8"/>
        <v>0</v>
      </c>
      <c r="L18" s="51">
        <f t="shared" si="9"/>
        <v>4882</v>
      </c>
      <c r="M18" s="41">
        <v>4328.4047399999999</v>
      </c>
      <c r="N18" s="17"/>
      <c r="O18" s="51">
        <f t="shared" si="10"/>
        <v>4328.4047399999999</v>
      </c>
      <c r="P18" s="51">
        <f t="shared" si="11"/>
        <v>88.660482179434652</v>
      </c>
      <c r="Q18" s="346">
        <f t="shared" si="12"/>
        <v>553.59526000000005</v>
      </c>
      <c r="R18" s="51"/>
      <c r="S18" s="164"/>
      <c r="T18" s="382">
        <f>L18-S18</f>
        <v>4882</v>
      </c>
      <c r="U18" s="285" t="s">
        <v>198</v>
      </c>
      <c r="V18" s="272" t="s">
        <v>116</v>
      </c>
    </row>
    <row r="19" spans="1:23" x14ac:dyDescent="0.2">
      <c r="A19" s="124"/>
      <c r="B19" s="29">
        <v>2212</v>
      </c>
      <c r="C19" s="29">
        <v>206</v>
      </c>
      <c r="D19" s="184" t="s">
        <v>320</v>
      </c>
      <c r="E19" s="41"/>
      <c r="F19" s="17">
        <v>500</v>
      </c>
      <c r="G19" s="51">
        <f t="shared" si="7"/>
        <v>500</v>
      </c>
      <c r="H19" s="163"/>
      <c r="I19" s="164"/>
      <c r="J19" s="41">
        <f t="shared" si="8"/>
        <v>0</v>
      </c>
      <c r="K19" s="29">
        <f t="shared" si="8"/>
        <v>500</v>
      </c>
      <c r="L19" s="51">
        <f t="shared" si="9"/>
        <v>500</v>
      </c>
      <c r="M19" s="41"/>
      <c r="N19" s="17">
        <v>4.4770000000000003</v>
      </c>
      <c r="O19" s="51">
        <f t="shared" si="10"/>
        <v>4.4770000000000003</v>
      </c>
      <c r="P19" s="51">
        <f t="shared" si="11"/>
        <v>0.89539999999999997</v>
      </c>
      <c r="Q19" s="346">
        <f t="shared" si="12"/>
        <v>495.52300000000002</v>
      </c>
      <c r="R19" s="51"/>
      <c r="S19" s="164"/>
      <c r="T19" s="382"/>
      <c r="U19" s="285" t="s">
        <v>303</v>
      </c>
      <c r="V19" s="272" t="s">
        <v>116</v>
      </c>
    </row>
    <row r="20" spans="1:23" x14ac:dyDescent="0.2">
      <c r="A20" s="124"/>
      <c r="B20" s="29">
        <v>2212</v>
      </c>
      <c r="C20" s="29">
        <v>208</v>
      </c>
      <c r="D20" s="184" t="s">
        <v>291</v>
      </c>
      <c r="E20" s="41"/>
      <c r="F20" s="17">
        <f>1687+350+120</f>
        <v>2157</v>
      </c>
      <c r="G20" s="51">
        <f t="shared" si="7"/>
        <v>2157</v>
      </c>
      <c r="H20" s="163"/>
      <c r="I20" s="164"/>
      <c r="J20" s="41">
        <f t="shared" si="8"/>
        <v>0</v>
      </c>
      <c r="K20" s="29">
        <f t="shared" si="8"/>
        <v>2157</v>
      </c>
      <c r="L20" s="51">
        <f t="shared" si="9"/>
        <v>2157</v>
      </c>
      <c r="M20" s="41"/>
      <c r="N20" s="17">
        <v>2027.9349999999999</v>
      </c>
      <c r="O20" s="51">
        <f t="shared" si="10"/>
        <v>2027.9349999999999</v>
      </c>
      <c r="P20" s="51">
        <f t="shared" si="11"/>
        <v>94.01645804357905</v>
      </c>
      <c r="Q20" s="346">
        <f t="shared" si="12"/>
        <v>129.06500000000005</v>
      </c>
      <c r="R20" s="51"/>
      <c r="S20" s="164"/>
      <c r="T20" s="382">
        <f>L20-S20</f>
        <v>2157</v>
      </c>
      <c r="U20" s="285" t="s">
        <v>158</v>
      </c>
      <c r="V20" s="272" t="s">
        <v>116</v>
      </c>
    </row>
    <row r="21" spans="1:23" x14ac:dyDescent="0.2">
      <c r="A21" s="124"/>
      <c r="B21" s="29">
        <v>2212</v>
      </c>
      <c r="C21" s="29">
        <v>211</v>
      </c>
      <c r="D21" s="184" t="s">
        <v>321</v>
      </c>
      <c r="E21" s="41"/>
      <c r="F21" s="17">
        <v>400</v>
      </c>
      <c r="G21" s="51">
        <f t="shared" si="7"/>
        <v>400</v>
      </c>
      <c r="H21" s="163"/>
      <c r="I21" s="164"/>
      <c r="J21" s="41">
        <f t="shared" si="8"/>
        <v>0</v>
      </c>
      <c r="K21" s="29">
        <f t="shared" si="8"/>
        <v>400</v>
      </c>
      <c r="L21" s="51">
        <f t="shared" si="9"/>
        <v>400</v>
      </c>
      <c r="M21" s="41"/>
      <c r="N21" s="17">
        <v>0</v>
      </c>
      <c r="O21" s="51">
        <f t="shared" si="10"/>
        <v>0</v>
      </c>
      <c r="P21" s="51">
        <f t="shared" si="11"/>
        <v>0</v>
      </c>
      <c r="Q21" s="346">
        <f t="shared" si="12"/>
        <v>400</v>
      </c>
      <c r="R21" s="51"/>
      <c r="S21" s="164"/>
      <c r="T21" s="382"/>
      <c r="U21" s="285" t="s">
        <v>158</v>
      </c>
      <c r="V21" s="272" t="s">
        <v>303</v>
      </c>
    </row>
    <row r="22" spans="1:23" x14ac:dyDescent="0.2">
      <c r="A22" s="124"/>
      <c r="B22" s="29">
        <v>2212</v>
      </c>
      <c r="C22" s="29">
        <v>222</v>
      </c>
      <c r="D22" s="184" t="s">
        <v>407</v>
      </c>
      <c r="E22" s="41"/>
      <c r="F22" s="17">
        <v>752</v>
      </c>
      <c r="G22" s="51">
        <f t="shared" si="7"/>
        <v>752</v>
      </c>
      <c r="H22" s="163">
        <f>752-525</f>
        <v>227</v>
      </c>
      <c r="I22" s="164">
        <f>4800-752+525</f>
        <v>4573</v>
      </c>
      <c r="J22" s="41">
        <f t="shared" si="8"/>
        <v>227</v>
      </c>
      <c r="K22" s="29">
        <f t="shared" ref="K22:K27" si="13">F22+I22</f>
        <v>5325</v>
      </c>
      <c r="L22" s="51">
        <f t="shared" si="9"/>
        <v>5552</v>
      </c>
      <c r="M22" s="41">
        <v>227</v>
      </c>
      <c r="N22" s="17">
        <v>4922.9797699999999</v>
      </c>
      <c r="O22" s="51">
        <f t="shared" si="10"/>
        <v>5149.9797699999999</v>
      </c>
      <c r="P22" s="51">
        <f t="shared" si="11"/>
        <v>92.759001621037456</v>
      </c>
      <c r="Q22" s="346">
        <f t="shared" si="12"/>
        <v>402.02023000000008</v>
      </c>
      <c r="R22" s="51"/>
      <c r="S22" s="164"/>
      <c r="T22" s="382"/>
      <c r="U22" s="285" t="s">
        <v>158</v>
      </c>
      <c r="V22" s="272" t="s">
        <v>116</v>
      </c>
    </row>
    <row r="23" spans="1:23" x14ac:dyDescent="0.2">
      <c r="A23" s="124"/>
      <c r="B23" s="29">
        <v>2219</v>
      </c>
      <c r="C23" s="29">
        <v>48</v>
      </c>
      <c r="D23" s="184" t="s">
        <v>359</v>
      </c>
      <c r="E23" s="41"/>
      <c r="F23" s="17">
        <f>3450+2250-752</f>
        <v>4948</v>
      </c>
      <c r="G23" s="51">
        <f t="shared" si="7"/>
        <v>4948</v>
      </c>
      <c r="H23" s="163"/>
      <c r="I23" s="164"/>
      <c r="J23" s="41">
        <f t="shared" si="8"/>
        <v>0</v>
      </c>
      <c r="K23" s="29">
        <f t="shared" si="13"/>
        <v>4948</v>
      </c>
      <c r="L23" s="51">
        <f t="shared" si="9"/>
        <v>4948</v>
      </c>
      <c r="M23" s="41"/>
      <c r="N23" s="17">
        <f>59.29+4401.59972</f>
        <v>4460.8897200000001</v>
      </c>
      <c r="O23" s="51">
        <f t="shared" si="10"/>
        <v>4460.8897200000001</v>
      </c>
      <c r="P23" s="51">
        <f t="shared" si="11"/>
        <v>90.155410670978171</v>
      </c>
      <c r="Q23" s="346">
        <f t="shared" si="12"/>
        <v>487.11027999999988</v>
      </c>
      <c r="R23" s="51"/>
      <c r="S23" s="164"/>
      <c r="T23" s="382"/>
      <c r="U23" s="285" t="s">
        <v>158</v>
      </c>
      <c r="V23" s="272" t="s">
        <v>303</v>
      </c>
    </row>
    <row r="24" spans="1:23" x14ac:dyDescent="0.2">
      <c r="A24" s="124"/>
      <c r="B24" s="29">
        <v>2219</v>
      </c>
      <c r="C24" s="29">
        <v>43</v>
      </c>
      <c r="D24" s="184" t="s">
        <v>119</v>
      </c>
      <c r="E24" s="41">
        <v>35</v>
      </c>
      <c r="F24" s="17"/>
      <c r="G24" s="51">
        <f t="shared" si="7"/>
        <v>35</v>
      </c>
      <c r="H24" s="163"/>
      <c r="I24" s="164"/>
      <c r="J24" s="41">
        <f>E24+H24</f>
        <v>35</v>
      </c>
      <c r="K24" s="29">
        <f t="shared" si="13"/>
        <v>0</v>
      </c>
      <c r="L24" s="51">
        <f t="shared" si="9"/>
        <v>35</v>
      </c>
      <c r="M24" s="41">
        <v>18.585000000000001</v>
      </c>
      <c r="N24" s="17"/>
      <c r="O24" s="51">
        <f t="shared" si="10"/>
        <v>18.585000000000001</v>
      </c>
      <c r="P24" s="51">
        <f t="shared" si="4"/>
        <v>53.1</v>
      </c>
      <c r="Q24" s="346">
        <f t="shared" si="12"/>
        <v>16.414999999999999</v>
      </c>
      <c r="R24" s="51"/>
      <c r="S24" s="164"/>
      <c r="T24" s="382">
        <f>L24-S24</f>
        <v>35</v>
      </c>
      <c r="U24" s="290" t="s">
        <v>157</v>
      </c>
      <c r="V24" s="273" t="s">
        <v>288</v>
      </c>
    </row>
    <row r="25" spans="1:23" x14ac:dyDescent="0.2">
      <c r="A25" s="124"/>
      <c r="B25" s="29">
        <v>2219</v>
      </c>
      <c r="C25" s="29">
        <v>46</v>
      </c>
      <c r="D25" s="184" t="s">
        <v>301</v>
      </c>
      <c r="E25" s="41"/>
      <c r="F25" s="17">
        <v>400</v>
      </c>
      <c r="G25" s="51">
        <f t="shared" si="7"/>
        <v>400</v>
      </c>
      <c r="H25" s="163"/>
      <c r="I25" s="164"/>
      <c r="J25" s="41">
        <f>E25+H25</f>
        <v>0</v>
      </c>
      <c r="K25" s="29">
        <f t="shared" si="13"/>
        <v>400</v>
      </c>
      <c r="L25" s="51">
        <f t="shared" si="9"/>
        <v>400</v>
      </c>
      <c r="M25" s="41"/>
      <c r="N25" s="17">
        <v>74</v>
      </c>
      <c r="O25" s="51">
        <f t="shared" si="10"/>
        <v>74</v>
      </c>
      <c r="P25" s="51">
        <f t="shared" si="4"/>
        <v>18.5</v>
      </c>
      <c r="Q25" s="346">
        <f t="shared" si="12"/>
        <v>326</v>
      </c>
      <c r="R25" s="51" t="s">
        <v>363</v>
      </c>
      <c r="S25" s="164"/>
      <c r="T25" s="382">
        <f>L25-S25</f>
        <v>400</v>
      </c>
      <c r="U25" s="285" t="s">
        <v>303</v>
      </c>
      <c r="V25" s="272" t="s">
        <v>116</v>
      </c>
    </row>
    <row r="26" spans="1:23" x14ac:dyDescent="0.2">
      <c r="A26" s="124"/>
      <c r="B26" s="29">
        <v>2292</v>
      </c>
      <c r="C26" s="29">
        <v>204</v>
      </c>
      <c r="D26" s="184" t="s">
        <v>117</v>
      </c>
      <c r="E26" s="41">
        <v>497</v>
      </c>
      <c r="F26" s="17"/>
      <c r="G26" s="51">
        <f t="shared" si="7"/>
        <v>497</v>
      </c>
      <c r="H26" s="163"/>
      <c r="I26" s="164"/>
      <c r="J26" s="41">
        <f>E26+H26</f>
        <v>497</v>
      </c>
      <c r="K26" s="29">
        <f t="shared" si="13"/>
        <v>0</v>
      </c>
      <c r="L26" s="51">
        <f t="shared" si="9"/>
        <v>497</v>
      </c>
      <c r="M26" s="41">
        <v>496.35</v>
      </c>
      <c r="N26" s="17"/>
      <c r="O26" s="51">
        <f t="shared" si="10"/>
        <v>496.35</v>
      </c>
      <c r="P26" s="51">
        <f t="shared" si="4"/>
        <v>99.869215291750507</v>
      </c>
      <c r="Q26" s="346">
        <f t="shared" si="12"/>
        <v>0.64999999999997726</v>
      </c>
      <c r="R26" s="51" t="s">
        <v>365</v>
      </c>
      <c r="S26" s="164"/>
      <c r="T26" s="382">
        <f>L26-S26</f>
        <v>497</v>
      </c>
      <c r="U26" s="390" t="s">
        <v>199</v>
      </c>
      <c r="V26" s="270" t="s">
        <v>70</v>
      </c>
    </row>
    <row r="27" spans="1:23" s="419" customFormat="1" ht="12" x14ac:dyDescent="0.2">
      <c r="A27" s="411"/>
      <c r="B27" s="412">
        <v>2321</v>
      </c>
      <c r="C27" s="412">
        <v>5103</v>
      </c>
      <c r="D27" s="373" t="s">
        <v>316</v>
      </c>
      <c r="E27" s="55">
        <v>62</v>
      </c>
      <c r="F27" s="58">
        <v>4000</v>
      </c>
      <c r="G27" s="57">
        <f t="shared" si="7"/>
        <v>4062</v>
      </c>
      <c r="H27" s="413"/>
      <c r="I27" s="171">
        <v>948</v>
      </c>
      <c r="J27" s="55">
        <f>E27+H27</f>
        <v>62</v>
      </c>
      <c r="K27" s="58">
        <f t="shared" si="13"/>
        <v>4948</v>
      </c>
      <c r="L27" s="57">
        <f t="shared" si="9"/>
        <v>5010</v>
      </c>
      <c r="M27" s="55">
        <v>61.375</v>
      </c>
      <c r="N27" s="58">
        <v>4948</v>
      </c>
      <c r="O27" s="57">
        <f t="shared" si="10"/>
        <v>5009.375</v>
      </c>
      <c r="P27" s="57">
        <f t="shared" si="4"/>
        <v>99.987524950099811</v>
      </c>
      <c r="Q27" s="346">
        <f t="shared" si="12"/>
        <v>0.625</v>
      </c>
      <c r="R27" s="57" t="s">
        <v>351</v>
      </c>
      <c r="S27" s="414"/>
      <c r="T27" s="415">
        <f>L27-S27</f>
        <v>5010</v>
      </c>
      <c r="U27" s="416" t="s">
        <v>350</v>
      </c>
      <c r="V27" s="417" t="s">
        <v>70</v>
      </c>
      <c r="W27" s="418"/>
    </row>
    <row r="28" spans="1:23" x14ac:dyDescent="0.2">
      <c r="A28" s="82">
        <v>31</v>
      </c>
      <c r="B28" s="32">
        <v>3100</v>
      </c>
      <c r="C28" s="32"/>
      <c r="D28" s="364" t="s">
        <v>71</v>
      </c>
      <c r="E28" s="49">
        <f t="shared" ref="E28:O28" si="14">SUM(E29:E41)</f>
        <v>12565</v>
      </c>
      <c r="F28" s="19">
        <f t="shared" si="14"/>
        <v>6700</v>
      </c>
      <c r="G28" s="50">
        <f t="shared" si="14"/>
        <v>19265</v>
      </c>
      <c r="H28" s="172">
        <f t="shared" si="14"/>
        <v>-288.74599999999987</v>
      </c>
      <c r="I28" s="173">
        <f t="shared" si="14"/>
        <v>-23</v>
      </c>
      <c r="J28" s="49">
        <f t="shared" si="14"/>
        <v>12276.254000000001</v>
      </c>
      <c r="K28" s="19">
        <f t="shared" si="14"/>
        <v>6677</v>
      </c>
      <c r="L28" s="50">
        <f t="shared" si="14"/>
        <v>18953.254000000001</v>
      </c>
      <c r="M28" s="49">
        <f t="shared" si="14"/>
        <v>11664.043880000003</v>
      </c>
      <c r="N28" s="19">
        <f t="shared" si="14"/>
        <v>4054.2225600000002</v>
      </c>
      <c r="O28" s="50">
        <f t="shared" si="14"/>
        <v>15718.266440000001</v>
      </c>
      <c r="P28" s="54">
        <f t="shared" si="4"/>
        <v>82.931756415019819</v>
      </c>
      <c r="Q28" s="347">
        <f>SUM(Q29:Q41)</f>
        <v>3234.9875599999996</v>
      </c>
      <c r="R28" s="50"/>
      <c r="S28" s="173">
        <f>SUM(S29:S41)</f>
        <v>0</v>
      </c>
      <c r="T28" s="385">
        <f>SUM(T29:T41)</f>
        <v>13353.254000000001</v>
      </c>
      <c r="U28" s="286"/>
      <c r="V28" s="67"/>
    </row>
    <row r="29" spans="1:23" ht="12" customHeight="1" x14ac:dyDescent="0.2">
      <c r="A29" s="124"/>
      <c r="B29" s="29">
        <v>3111</v>
      </c>
      <c r="C29" s="29">
        <v>301</v>
      </c>
      <c r="D29" s="184" t="s">
        <v>209</v>
      </c>
      <c r="E29" s="41">
        <v>1463</v>
      </c>
      <c r="F29" s="17"/>
      <c r="G29" s="51">
        <f t="shared" ref="G29:G41" si="15">E29+F29</f>
        <v>1463</v>
      </c>
      <c r="H29" s="169">
        <f>260.9664+59.7618</f>
        <v>320.72820000000002</v>
      </c>
      <c r="I29" s="164"/>
      <c r="J29" s="41">
        <f t="shared" ref="J29:J40" si="16">E29+H29</f>
        <v>1783.7282</v>
      </c>
      <c r="K29" s="29"/>
      <c r="L29" s="51">
        <f t="shared" ref="L29:L38" si="17">SUM(J29:K29)</f>
        <v>1783.7282</v>
      </c>
      <c r="M29" s="41">
        <f>1463+320.7282</f>
        <v>1783.7282</v>
      </c>
      <c r="N29" s="17"/>
      <c r="O29" s="51">
        <f t="shared" ref="O29:O41" si="18">M29+N29</f>
        <v>1783.7282</v>
      </c>
      <c r="P29" s="51">
        <f t="shared" si="4"/>
        <v>100</v>
      </c>
      <c r="Q29" s="346">
        <f t="shared" ref="Q29:Q41" si="19">L29-O29</f>
        <v>0</v>
      </c>
      <c r="R29" s="51"/>
      <c r="S29" s="164"/>
      <c r="T29" s="382">
        <f t="shared" ref="T29:T34" si="20">L29-S29</f>
        <v>1783.7282</v>
      </c>
      <c r="U29" s="284" t="s">
        <v>200</v>
      </c>
      <c r="V29" s="270" t="s">
        <v>70</v>
      </c>
    </row>
    <row r="30" spans="1:23" ht="12" customHeight="1" x14ac:dyDescent="0.2">
      <c r="A30" s="124"/>
      <c r="B30" s="29">
        <v>3111</v>
      </c>
      <c r="C30" s="29">
        <v>301</v>
      </c>
      <c r="D30" s="184" t="s">
        <v>247</v>
      </c>
      <c r="E30" s="41">
        <v>223</v>
      </c>
      <c r="F30" s="17"/>
      <c r="G30" s="51">
        <f t="shared" si="15"/>
        <v>223</v>
      </c>
      <c r="H30" s="163"/>
      <c r="I30" s="164"/>
      <c r="J30" s="41">
        <f t="shared" si="16"/>
        <v>223</v>
      </c>
      <c r="K30" s="29"/>
      <c r="L30" s="51">
        <f t="shared" si="17"/>
        <v>223</v>
      </c>
      <c r="M30" s="41">
        <v>228.346</v>
      </c>
      <c r="N30" s="17"/>
      <c r="O30" s="51">
        <f t="shared" si="18"/>
        <v>228.346</v>
      </c>
      <c r="P30" s="51">
        <f t="shared" si="4"/>
        <v>102.39730941704035</v>
      </c>
      <c r="Q30" s="346">
        <f t="shared" si="19"/>
        <v>-5.3460000000000036</v>
      </c>
      <c r="R30" s="51"/>
      <c r="S30" s="164"/>
      <c r="T30" s="382">
        <f t="shared" si="20"/>
        <v>223</v>
      </c>
      <c r="U30" s="284" t="s">
        <v>200</v>
      </c>
      <c r="V30" s="270" t="s">
        <v>70</v>
      </c>
    </row>
    <row r="31" spans="1:23" x14ac:dyDescent="0.2">
      <c r="A31" s="124"/>
      <c r="B31" s="29">
        <v>3113</v>
      </c>
      <c r="C31" s="29">
        <v>300</v>
      </c>
      <c r="D31" s="184" t="s">
        <v>201</v>
      </c>
      <c r="E31" s="41">
        <f>3000+1000</f>
        <v>4000</v>
      </c>
      <c r="F31" s="17"/>
      <c r="G31" s="51">
        <f t="shared" si="15"/>
        <v>4000</v>
      </c>
      <c r="H31" s="163">
        <v>-2500</v>
      </c>
      <c r="I31" s="164"/>
      <c r="J31" s="41">
        <f t="shared" si="16"/>
        <v>1500</v>
      </c>
      <c r="K31" s="17"/>
      <c r="L31" s="51">
        <f t="shared" si="17"/>
        <v>1500</v>
      </c>
      <c r="M31" s="41">
        <v>1747.2454499999999</v>
      </c>
      <c r="N31" s="17"/>
      <c r="O31" s="51">
        <f t="shared" si="18"/>
        <v>1747.2454499999999</v>
      </c>
      <c r="P31" s="51">
        <f t="shared" si="4"/>
        <v>116.48303</v>
      </c>
      <c r="Q31" s="346">
        <f t="shared" si="19"/>
        <v>-247.24544999999989</v>
      </c>
      <c r="R31" s="51"/>
      <c r="S31" s="164"/>
      <c r="T31" s="382">
        <f t="shared" si="20"/>
        <v>1500</v>
      </c>
      <c r="U31" s="285" t="s">
        <v>158</v>
      </c>
      <c r="V31" s="272" t="s">
        <v>116</v>
      </c>
    </row>
    <row r="32" spans="1:23" ht="12.75" customHeight="1" x14ac:dyDescent="0.2">
      <c r="A32" s="124"/>
      <c r="B32" s="29">
        <v>3113</v>
      </c>
      <c r="C32" s="29">
        <v>303</v>
      </c>
      <c r="D32" s="184" t="s">
        <v>210</v>
      </c>
      <c r="E32" s="41">
        <v>2331</v>
      </c>
      <c r="F32" s="17"/>
      <c r="G32" s="51">
        <f t="shared" si="15"/>
        <v>2331</v>
      </c>
      <c r="H32" s="169">
        <f>30+385.3064</f>
        <v>415.3064</v>
      </c>
      <c r="I32" s="164"/>
      <c r="J32" s="41">
        <f t="shared" si="16"/>
        <v>2746.3063999999999</v>
      </c>
      <c r="K32" s="17"/>
      <c r="L32" s="51">
        <f t="shared" si="17"/>
        <v>2746.3063999999999</v>
      </c>
      <c r="M32" s="41">
        <f>2361+385.3064</f>
        <v>2746.3063999999999</v>
      </c>
      <c r="N32" s="17"/>
      <c r="O32" s="51">
        <f t="shared" si="18"/>
        <v>2746.3063999999999</v>
      </c>
      <c r="P32" s="51">
        <f t="shared" si="4"/>
        <v>100</v>
      </c>
      <c r="Q32" s="346">
        <f t="shared" si="19"/>
        <v>0</v>
      </c>
      <c r="R32" s="51" t="s">
        <v>368</v>
      </c>
      <c r="S32" s="164"/>
      <c r="T32" s="382">
        <f t="shared" si="20"/>
        <v>2746.3063999999999</v>
      </c>
      <c r="U32" s="284" t="s">
        <v>200</v>
      </c>
      <c r="V32" s="270" t="s">
        <v>70</v>
      </c>
    </row>
    <row r="33" spans="1:22" x14ac:dyDescent="0.2">
      <c r="A33" s="124"/>
      <c r="B33" s="29">
        <v>3113</v>
      </c>
      <c r="C33" s="29">
        <v>303.30399999999997</v>
      </c>
      <c r="D33" s="184" t="s">
        <v>248</v>
      </c>
      <c r="E33" s="41">
        <f>636+363</f>
        <v>999</v>
      </c>
      <c r="F33" s="17"/>
      <c r="G33" s="51">
        <f t="shared" si="15"/>
        <v>999</v>
      </c>
      <c r="H33" s="163"/>
      <c r="I33" s="164"/>
      <c r="J33" s="41">
        <f t="shared" si="16"/>
        <v>999</v>
      </c>
      <c r="K33" s="29"/>
      <c r="L33" s="51">
        <f t="shared" si="17"/>
        <v>999</v>
      </c>
      <c r="M33" s="41">
        <f>646.603+444.386</f>
        <v>1090.989</v>
      </c>
      <c r="N33" s="17"/>
      <c r="O33" s="51">
        <f t="shared" si="18"/>
        <v>1090.989</v>
      </c>
      <c r="P33" s="51">
        <f t="shared" si="4"/>
        <v>109.20810810810811</v>
      </c>
      <c r="Q33" s="346">
        <f t="shared" si="19"/>
        <v>-91.989000000000033</v>
      </c>
      <c r="R33" s="51"/>
      <c r="S33" s="164"/>
      <c r="T33" s="382">
        <f t="shared" si="20"/>
        <v>999</v>
      </c>
      <c r="U33" s="284" t="s">
        <v>200</v>
      </c>
      <c r="V33" s="270" t="s">
        <v>70</v>
      </c>
    </row>
    <row r="34" spans="1:22" x14ac:dyDescent="0.2">
      <c r="A34" s="124"/>
      <c r="B34" s="29">
        <v>3113</v>
      </c>
      <c r="C34" s="29">
        <v>304</v>
      </c>
      <c r="D34" s="184" t="s">
        <v>211</v>
      </c>
      <c r="E34" s="41">
        <v>1561</v>
      </c>
      <c r="F34" s="17">
        <v>1100</v>
      </c>
      <c r="G34" s="51">
        <f t="shared" si="15"/>
        <v>2661</v>
      </c>
      <c r="H34" s="169">
        <f>10+338.3484</f>
        <v>348.34840000000003</v>
      </c>
      <c r="I34" s="164"/>
      <c r="J34" s="41">
        <f t="shared" si="16"/>
        <v>1909.3484000000001</v>
      </c>
      <c r="K34" s="29">
        <f>F34+I34</f>
        <v>1100</v>
      </c>
      <c r="L34" s="51">
        <f t="shared" si="17"/>
        <v>3009.3483999999999</v>
      </c>
      <c r="M34" s="41">
        <f>10+1561+338.3484</f>
        <v>1909.3484000000001</v>
      </c>
      <c r="N34" s="17">
        <v>0</v>
      </c>
      <c r="O34" s="51">
        <f t="shared" si="18"/>
        <v>1909.3484000000001</v>
      </c>
      <c r="P34" s="51">
        <f t="shared" si="4"/>
        <v>63.447236617734262</v>
      </c>
      <c r="Q34" s="346">
        <f t="shared" si="19"/>
        <v>1099.9999999999998</v>
      </c>
      <c r="R34" s="51" t="s">
        <v>378</v>
      </c>
      <c r="S34" s="164"/>
      <c r="T34" s="382">
        <f t="shared" si="20"/>
        <v>3009.3483999999999</v>
      </c>
      <c r="U34" s="284" t="s">
        <v>200</v>
      </c>
      <c r="V34" s="270" t="s">
        <v>70</v>
      </c>
    </row>
    <row r="35" spans="1:22" x14ac:dyDescent="0.2">
      <c r="A35" s="124"/>
      <c r="B35" s="29">
        <v>3113</v>
      </c>
      <c r="C35" s="29">
        <v>4169</v>
      </c>
      <c r="D35" s="420" t="s">
        <v>370</v>
      </c>
      <c r="E35" s="41"/>
      <c r="F35" s="17">
        <v>100</v>
      </c>
      <c r="G35" s="51">
        <f t="shared" si="15"/>
        <v>100</v>
      </c>
      <c r="H35" s="169"/>
      <c r="I35" s="164"/>
      <c r="J35" s="41">
        <f t="shared" si="16"/>
        <v>0</v>
      </c>
      <c r="K35" s="29">
        <f>F35+I35</f>
        <v>100</v>
      </c>
      <c r="L35" s="51">
        <f>SUM(J35:K35)</f>
        <v>100</v>
      </c>
      <c r="M35" s="41"/>
      <c r="N35" s="17"/>
      <c r="O35" s="51">
        <f t="shared" si="18"/>
        <v>0</v>
      </c>
      <c r="P35" s="51">
        <f t="shared" si="4"/>
        <v>0</v>
      </c>
      <c r="Q35" s="346">
        <f t="shared" si="19"/>
        <v>100</v>
      </c>
      <c r="R35" s="51"/>
      <c r="S35" s="164"/>
      <c r="T35" s="382"/>
      <c r="U35" s="285" t="s">
        <v>303</v>
      </c>
      <c r="V35" s="272" t="s">
        <v>116</v>
      </c>
    </row>
    <row r="36" spans="1:22" x14ac:dyDescent="0.2">
      <c r="A36" s="124"/>
      <c r="B36" s="29">
        <v>3114</v>
      </c>
      <c r="C36" s="29">
        <v>311</v>
      </c>
      <c r="D36" s="184" t="s">
        <v>240</v>
      </c>
      <c r="E36" s="41">
        <v>140</v>
      </c>
      <c r="F36" s="17"/>
      <c r="G36" s="51">
        <f t="shared" si="15"/>
        <v>140</v>
      </c>
      <c r="H36" s="163">
        <f>49.4+1103.871-49.4</f>
        <v>1103.8710000000001</v>
      </c>
      <c r="I36" s="164"/>
      <c r="J36" s="41">
        <f t="shared" si="16"/>
        <v>1243.8710000000001</v>
      </c>
      <c r="K36" s="29"/>
      <c r="L36" s="51">
        <f t="shared" si="17"/>
        <v>1243.8710000000001</v>
      </c>
      <c r="M36" s="41">
        <v>1190.8710000000001</v>
      </c>
      <c r="N36" s="17"/>
      <c r="O36" s="51">
        <f t="shared" si="18"/>
        <v>1190.8710000000001</v>
      </c>
      <c r="P36" s="51">
        <f t="shared" si="4"/>
        <v>95.739107994317735</v>
      </c>
      <c r="Q36" s="346">
        <f t="shared" si="19"/>
        <v>53</v>
      </c>
      <c r="R36" s="51" t="s">
        <v>490</v>
      </c>
      <c r="S36" s="164"/>
      <c r="T36" s="382">
        <f>L36-S36</f>
        <v>1243.8710000000001</v>
      </c>
      <c r="U36" s="284" t="s">
        <v>200</v>
      </c>
      <c r="V36" s="270" t="s">
        <v>70</v>
      </c>
    </row>
    <row r="37" spans="1:22" x14ac:dyDescent="0.2">
      <c r="A37" s="124"/>
      <c r="B37" s="29">
        <v>3119</v>
      </c>
      <c r="C37" s="29">
        <v>1112</v>
      </c>
      <c r="D37" s="184" t="s">
        <v>259</v>
      </c>
      <c r="E37" s="41">
        <v>160</v>
      </c>
      <c r="F37" s="17"/>
      <c r="G37" s="51">
        <f t="shared" si="15"/>
        <v>160</v>
      </c>
      <c r="H37" s="163"/>
      <c r="I37" s="164"/>
      <c r="J37" s="41">
        <f t="shared" si="16"/>
        <v>160</v>
      </c>
      <c r="K37" s="29"/>
      <c r="L37" s="51">
        <f>SUM(J37:K37)</f>
        <v>160</v>
      </c>
      <c r="M37" s="41">
        <v>106.667</v>
      </c>
      <c r="N37" s="17"/>
      <c r="O37" s="51">
        <f t="shared" si="18"/>
        <v>106.667</v>
      </c>
      <c r="P37" s="51">
        <f t="shared" si="4"/>
        <v>66.666875000000005</v>
      </c>
      <c r="Q37" s="346">
        <f t="shared" si="19"/>
        <v>53.332999999999998</v>
      </c>
      <c r="R37" s="51" t="s">
        <v>295</v>
      </c>
      <c r="S37" s="164"/>
      <c r="T37" s="382">
        <f>L37-S37</f>
        <v>160</v>
      </c>
      <c r="U37" s="284" t="s">
        <v>200</v>
      </c>
      <c r="V37" s="270" t="s">
        <v>70</v>
      </c>
    </row>
    <row r="38" spans="1:22" x14ac:dyDescent="0.2">
      <c r="A38" s="124"/>
      <c r="B38" s="29">
        <v>3141</v>
      </c>
      <c r="C38" s="29">
        <v>309</v>
      </c>
      <c r="D38" s="184" t="s">
        <v>268</v>
      </c>
      <c r="E38" s="41">
        <v>1480</v>
      </c>
      <c r="F38" s="17"/>
      <c r="G38" s="51">
        <f t="shared" si="15"/>
        <v>1480</v>
      </c>
      <c r="H38" s="163"/>
      <c r="I38" s="164"/>
      <c r="J38" s="41">
        <f t="shared" si="16"/>
        <v>1480</v>
      </c>
      <c r="K38" s="29">
        <f>F38+I38</f>
        <v>0</v>
      </c>
      <c r="L38" s="51">
        <f t="shared" si="17"/>
        <v>1480</v>
      </c>
      <c r="M38" s="41">
        <v>623.08243000000004</v>
      </c>
      <c r="N38" s="17"/>
      <c r="O38" s="51">
        <f t="shared" si="18"/>
        <v>623.08243000000004</v>
      </c>
      <c r="P38" s="51">
        <f t="shared" si="4"/>
        <v>42.100164189189194</v>
      </c>
      <c r="Q38" s="346">
        <f t="shared" si="19"/>
        <v>856.91756999999996</v>
      </c>
      <c r="R38" s="51"/>
      <c r="S38" s="164"/>
      <c r="T38" s="382">
        <f>L38-S38</f>
        <v>1480</v>
      </c>
      <c r="U38" s="284" t="s">
        <v>200</v>
      </c>
      <c r="V38" s="276" t="s">
        <v>299</v>
      </c>
    </row>
    <row r="39" spans="1:22" x14ac:dyDescent="0.2">
      <c r="A39" s="124"/>
      <c r="B39" s="29">
        <v>3231</v>
      </c>
      <c r="C39" s="29">
        <v>310</v>
      </c>
      <c r="D39" s="184" t="s">
        <v>362</v>
      </c>
      <c r="E39" s="41">
        <v>206</v>
      </c>
      <c r="F39" s="17"/>
      <c r="G39" s="51">
        <f t="shared" si="15"/>
        <v>206</v>
      </c>
      <c r="H39" s="163"/>
      <c r="I39" s="164"/>
      <c r="J39" s="41">
        <f t="shared" si="16"/>
        <v>206</v>
      </c>
      <c r="K39" s="29">
        <f>F39+I39</f>
        <v>0</v>
      </c>
      <c r="L39" s="51">
        <f>SUM(J39:K39)</f>
        <v>206</v>
      </c>
      <c r="M39" s="41">
        <v>206</v>
      </c>
      <c r="N39" s="17"/>
      <c r="O39" s="51">
        <f t="shared" si="18"/>
        <v>206</v>
      </c>
      <c r="P39" s="51">
        <f t="shared" si="4"/>
        <v>100</v>
      </c>
      <c r="Q39" s="346">
        <f t="shared" si="19"/>
        <v>0</v>
      </c>
      <c r="R39" s="51"/>
      <c r="S39" s="164"/>
      <c r="T39" s="382">
        <f>L39-S39</f>
        <v>206</v>
      </c>
      <c r="U39" s="284" t="s">
        <v>200</v>
      </c>
      <c r="V39" s="270" t="s">
        <v>70</v>
      </c>
    </row>
    <row r="40" spans="1:22" x14ac:dyDescent="0.2">
      <c r="A40" s="124"/>
      <c r="B40" s="29">
        <v>3231</v>
      </c>
      <c r="C40" s="29">
        <v>310</v>
      </c>
      <c r="D40" s="184" t="s">
        <v>372</v>
      </c>
      <c r="E40" s="41"/>
      <c r="F40" s="17">
        <v>5500</v>
      </c>
      <c r="G40" s="51">
        <f t="shared" si="15"/>
        <v>5500</v>
      </c>
      <c r="H40" s="163">
        <v>23</v>
      </c>
      <c r="I40" s="164">
        <v>-23</v>
      </c>
      <c r="J40" s="41">
        <f t="shared" si="16"/>
        <v>23</v>
      </c>
      <c r="K40" s="29">
        <f>F40+I40</f>
        <v>5477</v>
      </c>
      <c r="L40" s="51">
        <f>SUM(J40:K40)</f>
        <v>5500</v>
      </c>
      <c r="M40" s="41">
        <f>0.421+14.721+7.19+0.726</f>
        <v>23.058</v>
      </c>
      <c r="N40" s="17">
        <f>4014.22256+40</f>
        <v>4054.2225600000002</v>
      </c>
      <c r="O40" s="51">
        <f t="shared" si="18"/>
        <v>4077.2805600000002</v>
      </c>
      <c r="P40" s="51">
        <f t="shared" si="4"/>
        <v>74.132373818181819</v>
      </c>
      <c r="Q40" s="346">
        <f t="shared" si="19"/>
        <v>1422.7194399999998</v>
      </c>
      <c r="R40" s="51"/>
      <c r="S40" s="164"/>
      <c r="T40" s="382"/>
      <c r="U40" s="285" t="s">
        <v>158</v>
      </c>
      <c r="V40" s="272" t="s">
        <v>116</v>
      </c>
    </row>
    <row r="41" spans="1:22" x14ac:dyDescent="0.2">
      <c r="A41" s="126"/>
      <c r="B41" s="35">
        <v>3231</v>
      </c>
      <c r="C41" s="35">
        <v>310</v>
      </c>
      <c r="D41" s="373" t="s">
        <v>249</v>
      </c>
      <c r="E41" s="55">
        <v>2</v>
      </c>
      <c r="F41" s="58"/>
      <c r="G41" s="57">
        <f t="shared" si="15"/>
        <v>2</v>
      </c>
      <c r="H41" s="174"/>
      <c r="I41" s="171"/>
      <c r="J41" s="55">
        <f>E41+H41</f>
        <v>2</v>
      </c>
      <c r="K41" s="35">
        <f>F41+I41</f>
        <v>0</v>
      </c>
      <c r="L41" s="57">
        <f>SUM(J41:K41)</f>
        <v>2</v>
      </c>
      <c r="M41" s="55">
        <v>8.4019999999999992</v>
      </c>
      <c r="N41" s="58"/>
      <c r="O41" s="57">
        <f t="shared" si="18"/>
        <v>8.4019999999999992</v>
      </c>
      <c r="P41" s="57">
        <f t="shared" si="4"/>
        <v>420.09999999999997</v>
      </c>
      <c r="Q41" s="346">
        <f t="shared" si="19"/>
        <v>-6.4019999999999992</v>
      </c>
      <c r="R41" s="57"/>
      <c r="S41" s="171"/>
      <c r="T41" s="384">
        <f>L41-S41</f>
        <v>2</v>
      </c>
      <c r="U41" s="391" t="s">
        <v>200</v>
      </c>
      <c r="V41" s="275" t="s">
        <v>70</v>
      </c>
    </row>
    <row r="42" spans="1:22" x14ac:dyDescent="0.2">
      <c r="A42" s="82">
        <v>33</v>
      </c>
      <c r="B42" s="32">
        <v>3300</v>
      </c>
      <c r="C42" s="32"/>
      <c r="D42" s="364" t="s">
        <v>72</v>
      </c>
      <c r="E42" s="49">
        <f t="shared" ref="E42:O42" si="21">SUM(E43:E54)</f>
        <v>15176</v>
      </c>
      <c r="F42" s="19">
        <f t="shared" si="21"/>
        <v>4400</v>
      </c>
      <c r="G42" s="50">
        <f t="shared" si="21"/>
        <v>19576</v>
      </c>
      <c r="H42" s="172">
        <f t="shared" si="21"/>
        <v>-1443.9186500000001</v>
      </c>
      <c r="I42" s="173">
        <f t="shared" si="21"/>
        <v>-3558.71405</v>
      </c>
      <c r="J42" s="49">
        <f t="shared" si="21"/>
        <v>13732.08135</v>
      </c>
      <c r="K42" s="19">
        <f t="shared" si="21"/>
        <v>841.28594999999996</v>
      </c>
      <c r="L42" s="50">
        <f t="shared" si="21"/>
        <v>14573.367300000002</v>
      </c>
      <c r="M42" s="49">
        <f t="shared" si="21"/>
        <v>13154.403359999998</v>
      </c>
      <c r="N42" s="19">
        <f t="shared" si="21"/>
        <v>763.58371999999997</v>
      </c>
      <c r="O42" s="50">
        <f t="shared" si="21"/>
        <v>13917.987079999999</v>
      </c>
      <c r="P42" s="50">
        <f t="shared" si="4"/>
        <v>95.502890948202463</v>
      </c>
      <c r="Q42" s="347">
        <f>SUM(Q43:Q54)</f>
        <v>655.38022000000035</v>
      </c>
      <c r="R42" s="50"/>
      <c r="S42" s="173">
        <f>SUM(S43:S54)</f>
        <v>0</v>
      </c>
      <c r="T42" s="385">
        <f>SUM(T43:T54)</f>
        <v>8658.3672999999999</v>
      </c>
      <c r="U42" s="286"/>
      <c r="V42" s="67"/>
    </row>
    <row r="43" spans="1:22" x14ac:dyDescent="0.2">
      <c r="A43" s="124"/>
      <c r="B43" s="29">
        <v>3314</v>
      </c>
      <c r="C43" s="29">
        <v>504</v>
      </c>
      <c r="D43" s="184" t="s">
        <v>115</v>
      </c>
      <c r="E43" s="41">
        <f>205+1205+1000</f>
        <v>2410</v>
      </c>
      <c r="F43" s="17"/>
      <c r="G43" s="51">
        <f t="shared" ref="G43:G54" si="22">E43+F43</f>
        <v>2410</v>
      </c>
      <c r="H43" s="163">
        <v>-1000</v>
      </c>
      <c r="I43" s="164"/>
      <c r="J43" s="41">
        <f>E43+H43</f>
        <v>1410</v>
      </c>
      <c r="K43" s="17"/>
      <c r="L43" s="51">
        <f>SUM(J43:K43)</f>
        <v>1410</v>
      </c>
      <c r="M43" s="41">
        <v>1392.6273900000001</v>
      </c>
      <c r="N43" s="17"/>
      <c r="O43" s="51">
        <f t="shared" ref="O43:O54" si="23">M43+N43</f>
        <v>1392.6273900000001</v>
      </c>
      <c r="P43" s="51">
        <f t="shared" si="4"/>
        <v>98.767900000000012</v>
      </c>
      <c r="Q43" s="346">
        <f t="shared" ref="Q43:Q54" si="24">L43-O43</f>
        <v>17.372609999999895</v>
      </c>
      <c r="R43" s="51"/>
      <c r="S43" s="164"/>
      <c r="T43" s="382">
        <f>L43-S43</f>
        <v>1410</v>
      </c>
      <c r="U43" s="56" t="s">
        <v>271</v>
      </c>
      <c r="V43" s="51" t="s">
        <v>126</v>
      </c>
    </row>
    <row r="44" spans="1:22" x14ac:dyDescent="0.2">
      <c r="A44" s="124"/>
      <c r="B44" s="29">
        <v>3315</v>
      </c>
      <c r="C44" s="29">
        <v>505</v>
      </c>
      <c r="D44" s="184" t="s">
        <v>258</v>
      </c>
      <c r="E44" s="41">
        <v>1200</v>
      </c>
      <c r="F44" s="17"/>
      <c r="G44" s="51">
        <f t="shared" si="22"/>
        <v>1200</v>
      </c>
      <c r="H44" s="163"/>
      <c r="I44" s="164"/>
      <c r="J44" s="41">
        <f>E44+H44</f>
        <v>1200</v>
      </c>
      <c r="K44" s="17"/>
      <c r="L44" s="51">
        <f>SUM(J44:K44)</f>
        <v>1200</v>
      </c>
      <c r="M44" s="41">
        <v>1200</v>
      </c>
      <c r="N44" s="17"/>
      <c r="O44" s="51">
        <f t="shared" si="23"/>
        <v>1200</v>
      </c>
      <c r="P44" s="51">
        <f t="shared" si="4"/>
        <v>100</v>
      </c>
      <c r="Q44" s="346">
        <f t="shared" si="24"/>
        <v>0</v>
      </c>
      <c r="R44" s="51"/>
      <c r="S44" s="164"/>
      <c r="T44" s="382">
        <f>L44-S44</f>
        <v>1200</v>
      </c>
      <c r="U44" s="284" t="s">
        <v>200</v>
      </c>
      <c r="V44" s="270" t="s">
        <v>70</v>
      </c>
    </row>
    <row r="45" spans="1:22" ht="12.75" customHeight="1" x14ac:dyDescent="0.2">
      <c r="A45" s="124"/>
      <c r="B45" s="29">
        <v>3322.3326000000002</v>
      </c>
      <c r="C45" s="29" t="s">
        <v>253</v>
      </c>
      <c r="D45" s="184" t="s">
        <v>140</v>
      </c>
      <c r="E45" s="41">
        <f>508+300</f>
        <v>808</v>
      </c>
      <c r="F45" s="17"/>
      <c r="G45" s="51">
        <f t="shared" si="22"/>
        <v>808</v>
      </c>
      <c r="H45" s="163"/>
      <c r="I45" s="164"/>
      <c r="J45" s="41">
        <f>E45+H45</f>
        <v>808</v>
      </c>
      <c r="K45" s="17"/>
      <c r="L45" s="51">
        <f>SUM(J45:K45)</f>
        <v>808</v>
      </c>
      <c r="M45" s="41">
        <v>567.11400000000003</v>
      </c>
      <c r="N45" s="17"/>
      <c r="O45" s="51">
        <f t="shared" si="23"/>
        <v>567.11400000000003</v>
      </c>
      <c r="P45" s="51">
        <f t="shared" si="4"/>
        <v>70.187376237623766</v>
      </c>
      <c r="Q45" s="346">
        <f t="shared" si="24"/>
        <v>240.88599999999997</v>
      </c>
      <c r="R45" s="51"/>
      <c r="S45" s="164"/>
      <c r="T45" s="382">
        <f>L45-S45</f>
        <v>808</v>
      </c>
      <c r="U45" s="287" t="s">
        <v>373</v>
      </c>
      <c r="V45" s="272" t="s">
        <v>116</v>
      </c>
    </row>
    <row r="46" spans="1:22" ht="12.75" customHeight="1" x14ac:dyDescent="0.2">
      <c r="A46" s="124"/>
      <c r="B46" s="29">
        <v>3322.3326000000002</v>
      </c>
      <c r="C46" s="29">
        <v>102</v>
      </c>
      <c r="D46" s="184" t="s">
        <v>315</v>
      </c>
      <c r="E46" s="41">
        <v>4000</v>
      </c>
      <c r="F46" s="17">
        <v>4400</v>
      </c>
      <c r="G46" s="51">
        <f t="shared" si="22"/>
        <v>8400</v>
      </c>
      <c r="H46" s="163">
        <f>-1000+975-500+1081</f>
        <v>556</v>
      </c>
      <c r="I46" s="164">
        <f>-400-2500-1081</f>
        <v>-3981</v>
      </c>
      <c r="J46" s="41">
        <f>E46+H46</f>
        <v>4556</v>
      </c>
      <c r="K46" s="29">
        <f>F46+I46</f>
        <v>419</v>
      </c>
      <c r="L46" s="51">
        <f>SUM(J46:K46)</f>
        <v>4975</v>
      </c>
      <c r="M46" s="41">
        <f>1.361+280.70636+4272.02438</f>
        <v>4554.0917399999998</v>
      </c>
      <c r="N46" s="17">
        <f>93.538+254.076</f>
        <v>347.61399999999998</v>
      </c>
      <c r="O46" s="51">
        <f t="shared" si="23"/>
        <v>4901.7057399999994</v>
      </c>
      <c r="P46" s="51">
        <f t="shared" si="4"/>
        <v>98.526748542713563</v>
      </c>
      <c r="Q46" s="346">
        <f t="shared" si="24"/>
        <v>73.294260000000577</v>
      </c>
      <c r="R46" s="51"/>
      <c r="S46" s="164"/>
      <c r="T46" s="382"/>
      <c r="U46" s="287" t="s">
        <v>373</v>
      </c>
      <c r="V46" s="272" t="s">
        <v>116</v>
      </c>
    </row>
    <row r="47" spans="1:22" ht="12.75" customHeight="1" x14ac:dyDescent="0.2">
      <c r="A47" s="124"/>
      <c r="B47" s="29">
        <v>3322</v>
      </c>
      <c r="C47" s="29">
        <v>111</v>
      </c>
      <c r="D47" s="184" t="s">
        <v>352</v>
      </c>
      <c r="E47" s="41">
        <v>1100</v>
      </c>
      <c r="F47" s="17"/>
      <c r="G47" s="51">
        <f t="shared" si="22"/>
        <v>1100</v>
      </c>
      <c r="H47" s="163">
        <v>-900</v>
      </c>
      <c r="I47" s="164"/>
      <c r="J47" s="41">
        <f t="shared" ref="J47:K52" si="25">E47+H47</f>
        <v>200</v>
      </c>
      <c r="K47" s="17"/>
      <c r="L47" s="51">
        <f t="shared" ref="L47:L52" si="26">SUM(J47:K47)</f>
        <v>200</v>
      </c>
      <c r="M47" s="41">
        <v>28.37</v>
      </c>
      <c r="N47" s="17"/>
      <c r="O47" s="51">
        <f t="shared" si="23"/>
        <v>28.37</v>
      </c>
      <c r="P47" s="51">
        <f t="shared" si="4"/>
        <v>14.185</v>
      </c>
      <c r="Q47" s="346">
        <f t="shared" si="24"/>
        <v>171.63</v>
      </c>
      <c r="R47" s="51"/>
      <c r="S47" s="164"/>
      <c r="T47" s="382"/>
      <c r="U47" s="287" t="s">
        <v>373</v>
      </c>
      <c r="V47" s="272" t="s">
        <v>116</v>
      </c>
    </row>
    <row r="48" spans="1:22" x14ac:dyDescent="0.2">
      <c r="A48" s="124"/>
      <c r="B48" s="29">
        <v>3326</v>
      </c>
      <c r="C48" s="29">
        <v>103</v>
      </c>
      <c r="D48" s="184" t="s">
        <v>235</v>
      </c>
      <c r="E48" s="41">
        <v>100</v>
      </c>
      <c r="F48" s="17"/>
      <c r="G48" s="51">
        <f t="shared" si="22"/>
        <v>100</v>
      </c>
      <c r="H48" s="163"/>
      <c r="I48" s="164"/>
      <c r="J48" s="41">
        <f t="shared" si="25"/>
        <v>100</v>
      </c>
      <c r="K48" s="17"/>
      <c r="L48" s="51">
        <f t="shared" si="26"/>
        <v>100</v>
      </c>
      <c r="M48" s="41">
        <v>6.173</v>
      </c>
      <c r="N48" s="17"/>
      <c r="O48" s="51">
        <f t="shared" si="23"/>
        <v>6.173</v>
      </c>
      <c r="P48" s="51">
        <f t="shared" si="4"/>
        <v>6.173</v>
      </c>
      <c r="Q48" s="346">
        <f t="shared" si="24"/>
        <v>93.826999999999998</v>
      </c>
      <c r="R48" s="51"/>
      <c r="S48" s="164"/>
      <c r="T48" s="382">
        <f>L48-S48</f>
        <v>100</v>
      </c>
      <c r="U48" s="287" t="s">
        <v>373</v>
      </c>
      <c r="V48" s="272" t="s">
        <v>116</v>
      </c>
    </row>
    <row r="49" spans="1:179" x14ac:dyDescent="0.2">
      <c r="A49" s="124"/>
      <c r="B49" s="29">
        <v>3349</v>
      </c>
      <c r="C49" s="29">
        <v>42</v>
      </c>
      <c r="D49" s="184" t="s">
        <v>73</v>
      </c>
      <c r="E49" s="41">
        <f>371+185</f>
        <v>556</v>
      </c>
      <c r="F49" s="17"/>
      <c r="G49" s="51">
        <f t="shared" si="22"/>
        <v>556</v>
      </c>
      <c r="H49" s="163">
        <v>-217.72</v>
      </c>
      <c r="I49" s="164"/>
      <c r="J49" s="41">
        <f t="shared" si="25"/>
        <v>338.28</v>
      </c>
      <c r="K49" s="17"/>
      <c r="L49" s="51">
        <f t="shared" si="26"/>
        <v>338.28</v>
      </c>
      <c r="M49" s="41">
        <v>323.26819999999998</v>
      </c>
      <c r="N49" s="17"/>
      <c r="O49" s="51">
        <f t="shared" si="23"/>
        <v>323.26819999999998</v>
      </c>
      <c r="P49" s="51">
        <f t="shared" si="4"/>
        <v>95.562315241811518</v>
      </c>
      <c r="Q49" s="346">
        <f t="shared" si="24"/>
        <v>15.011799999999994</v>
      </c>
      <c r="R49" s="51"/>
      <c r="S49" s="164"/>
      <c r="T49" s="382">
        <f>L49-S49</f>
        <v>338.28</v>
      </c>
      <c r="U49" s="367" t="s">
        <v>156</v>
      </c>
      <c r="V49" s="366" t="s">
        <v>208</v>
      </c>
      <c r="FW49" s="104">
        <f>SUM(M49:FV49)</f>
        <v>1095.3905152418115</v>
      </c>
    </row>
    <row r="50" spans="1:179" x14ac:dyDescent="0.2">
      <c r="A50" s="124"/>
      <c r="B50" s="29">
        <v>3392</v>
      </c>
      <c r="C50" s="29">
        <v>312</v>
      </c>
      <c r="D50" s="184" t="s">
        <v>257</v>
      </c>
      <c r="E50" s="41">
        <v>3528</v>
      </c>
      <c r="F50" s="17"/>
      <c r="G50" s="51">
        <f t="shared" si="22"/>
        <v>3528</v>
      </c>
      <c r="H50" s="169">
        <f>30.53604+22.26531+15</f>
        <v>67.801349999999999</v>
      </c>
      <c r="I50" s="407">
        <f>22.28595+400</f>
        <v>422.28595000000001</v>
      </c>
      <c r="J50" s="41">
        <f t="shared" si="25"/>
        <v>3595.8013500000002</v>
      </c>
      <c r="K50" s="426">
        <f t="shared" si="25"/>
        <v>422.28595000000001</v>
      </c>
      <c r="L50" s="51">
        <f t="shared" si="26"/>
        <v>4018.0873000000001</v>
      </c>
      <c r="M50" s="41">
        <f>3528+15+52.80135</f>
        <v>3595.8013500000002</v>
      </c>
      <c r="N50" s="17">
        <f>393.68377+22.28595</f>
        <v>415.96972</v>
      </c>
      <c r="O50" s="51">
        <f t="shared" si="23"/>
        <v>4011.7710700000002</v>
      </c>
      <c r="P50" s="51">
        <f t="shared" si="4"/>
        <v>99.842805058018527</v>
      </c>
      <c r="Q50" s="346">
        <f t="shared" si="24"/>
        <v>6.316229999999905</v>
      </c>
      <c r="R50" s="51" t="s">
        <v>286</v>
      </c>
      <c r="S50" s="164"/>
      <c r="T50" s="382">
        <f>L50-S50</f>
        <v>4018.0873000000001</v>
      </c>
      <c r="U50" s="284" t="s">
        <v>200</v>
      </c>
      <c r="V50" s="270" t="s">
        <v>70</v>
      </c>
    </row>
    <row r="51" spans="1:179" x14ac:dyDescent="0.2">
      <c r="A51" s="124"/>
      <c r="B51" s="29">
        <v>3392</v>
      </c>
      <c r="C51" s="29" t="s">
        <v>251</v>
      </c>
      <c r="D51" s="184" t="s">
        <v>250</v>
      </c>
      <c r="E51" s="41">
        <v>634</v>
      </c>
      <c r="F51" s="17"/>
      <c r="G51" s="51">
        <f t="shared" si="22"/>
        <v>634</v>
      </c>
      <c r="H51" s="165"/>
      <c r="I51" s="166"/>
      <c r="J51" s="41">
        <f t="shared" si="25"/>
        <v>634</v>
      </c>
      <c r="K51" s="17"/>
      <c r="L51" s="51">
        <f t="shared" si="26"/>
        <v>634</v>
      </c>
      <c r="M51" s="41">
        <v>648.60299999999995</v>
      </c>
      <c r="N51" s="17"/>
      <c r="O51" s="51">
        <f t="shared" si="23"/>
        <v>648.60299999999995</v>
      </c>
      <c r="P51" s="51">
        <f t="shared" si="4"/>
        <v>102.30331230283912</v>
      </c>
      <c r="Q51" s="346">
        <f t="shared" si="24"/>
        <v>-14.602999999999952</v>
      </c>
      <c r="R51" s="51"/>
      <c r="S51" s="166"/>
      <c r="T51" s="382">
        <f>L51-S51</f>
        <v>634</v>
      </c>
      <c r="U51" s="284" t="s">
        <v>200</v>
      </c>
      <c r="V51" s="270" t="s">
        <v>70</v>
      </c>
    </row>
    <row r="52" spans="1:179" x14ac:dyDescent="0.2">
      <c r="A52" s="124"/>
      <c r="B52" s="29">
        <v>3392</v>
      </c>
      <c r="C52" s="29">
        <v>325</v>
      </c>
      <c r="D52" s="184" t="s">
        <v>355</v>
      </c>
      <c r="E52" s="41">
        <v>550</v>
      </c>
      <c r="F52" s="17"/>
      <c r="G52" s="51">
        <f t="shared" si="22"/>
        <v>550</v>
      </c>
      <c r="H52" s="165">
        <v>50</v>
      </c>
      <c r="I52" s="166"/>
      <c r="J52" s="41">
        <f t="shared" si="25"/>
        <v>600</v>
      </c>
      <c r="K52" s="17"/>
      <c r="L52" s="51">
        <f t="shared" si="26"/>
        <v>600</v>
      </c>
      <c r="M52" s="41">
        <v>597.76430000000005</v>
      </c>
      <c r="N52" s="17"/>
      <c r="O52" s="51">
        <f t="shared" si="23"/>
        <v>597.76430000000005</v>
      </c>
      <c r="P52" s="51">
        <f t="shared" si="4"/>
        <v>99.627383333333341</v>
      </c>
      <c r="Q52" s="346">
        <f t="shared" si="24"/>
        <v>2.2356999999999516</v>
      </c>
      <c r="R52" s="51"/>
      <c r="S52" s="166"/>
      <c r="T52" s="382"/>
      <c r="U52" s="285" t="s">
        <v>158</v>
      </c>
      <c r="V52" s="272" t="s">
        <v>303</v>
      </c>
    </row>
    <row r="53" spans="1:179" x14ac:dyDescent="0.2">
      <c r="A53" s="124"/>
      <c r="B53" s="29">
        <v>3392</v>
      </c>
      <c r="C53" s="29">
        <v>106</v>
      </c>
      <c r="D53" s="184" t="s">
        <v>438</v>
      </c>
      <c r="E53" s="41">
        <v>140</v>
      </c>
      <c r="F53" s="17"/>
      <c r="G53" s="51">
        <f t="shared" si="22"/>
        <v>140</v>
      </c>
      <c r="H53" s="165"/>
      <c r="I53" s="166"/>
      <c r="J53" s="41">
        <f>E53+H53</f>
        <v>140</v>
      </c>
      <c r="K53" s="17"/>
      <c r="L53" s="51">
        <f>SUM(J53:K53)</f>
        <v>140</v>
      </c>
      <c r="M53" s="41">
        <v>140</v>
      </c>
      <c r="N53" s="17"/>
      <c r="O53" s="51">
        <f t="shared" si="23"/>
        <v>140</v>
      </c>
      <c r="P53" s="51">
        <f t="shared" si="4"/>
        <v>100</v>
      </c>
      <c r="Q53" s="346">
        <f t="shared" si="24"/>
        <v>0</v>
      </c>
      <c r="R53" s="51" t="s">
        <v>428</v>
      </c>
      <c r="S53" s="166"/>
      <c r="T53" s="382"/>
      <c r="U53" s="284" t="s">
        <v>200</v>
      </c>
      <c r="V53" s="270" t="s">
        <v>70</v>
      </c>
    </row>
    <row r="54" spans="1:179" x14ac:dyDescent="0.2">
      <c r="A54" s="124"/>
      <c r="B54" s="29">
        <v>3399</v>
      </c>
      <c r="C54" s="29">
        <v>313</v>
      </c>
      <c r="D54" s="184" t="s">
        <v>101</v>
      </c>
      <c r="E54" s="41">
        <v>150</v>
      </c>
      <c r="F54" s="17"/>
      <c r="G54" s="51">
        <f t="shared" si="22"/>
        <v>150</v>
      </c>
      <c r="H54" s="163"/>
      <c r="I54" s="164"/>
      <c r="J54" s="41">
        <f>E54+H54</f>
        <v>150</v>
      </c>
      <c r="K54" s="17"/>
      <c r="L54" s="51">
        <f>SUM(J54:K54)</f>
        <v>150</v>
      </c>
      <c r="M54" s="41">
        <v>100.59038</v>
      </c>
      <c r="N54" s="17"/>
      <c r="O54" s="51">
        <f t="shared" si="23"/>
        <v>100.59038</v>
      </c>
      <c r="P54" s="51">
        <f t="shared" si="4"/>
        <v>67.060253333333335</v>
      </c>
      <c r="Q54" s="346">
        <f t="shared" si="24"/>
        <v>49.409620000000004</v>
      </c>
      <c r="R54" s="51" t="s">
        <v>287</v>
      </c>
      <c r="S54" s="164"/>
      <c r="T54" s="382">
        <f>L54-S54</f>
        <v>150</v>
      </c>
      <c r="U54" s="367" t="s">
        <v>270</v>
      </c>
      <c r="V54" s="377"/>
    </row>
    <row r="55" spans="1:179" x14ac:dyDescent="0.2">
      <c r="A55" s="125">
        <v>34</v>
      </c>
      <c r="B55" s="24">
        <v>3400</v>
      </c>
      <c r="C55" s="24"/>
      <c r="D55" s="372" t="s">
        <v>74</v>
      </c>
      <c r="E55" s="52">
        <f t="shared" ref="E55:O55" si="27">SUM(E56:E62)</f>
        <v>5110</v>
      </c>
      <c r="F55" s="53">
        <f t="shared" si="27"/>
        <v>22274</v>
      </c>
      <c r="G55" s="54">
        <f t="shared" si="27"/>
        <v>27384</v>
      </c>
      <c r="H55" s="167">
        <f t="shared" si="27"/>
        <v>306</v>
      </c>
      <c r="I55" s="168">
        <f t="shared" si="27"/>
        <v>-5023.91</v>
      </c>
      <c r="J55" s="52">
        <f t="shared" si="27"/>
        <v>5416</v>
      </c>
      <c r="K55" s="53">
        <f t="shared" si="27"/>
        <v>17250.09</v>
      </c>
      <c r="L55" s="54">
        <f t="shared" si="27"/>
        <v>22666.09</v>
      </c>
      <c r="M55" s="52">
        <f t="shared" si="27"/>
        <v>5401.6755600000006</v>
      </c>
      <c r="N55" s="53">
        <f t="shared" si="27"/>
        <v>17233.768360000002</v>
      </c>
      <c r="O55" s="54">
        <f t="shared" si="27"/>
        <v>22635.443920000002</v>
      </c>
      <c r="P55" s="54">
        <f t="shared" si="4"/>
        <v>99.864793266063984</v>
      </c>
      <c r="Q55" s="347">
        <f>SUM(Q56:Q62)</f>
        <v>30.646080000000836</v>
      </c>
      <c r="R55" s="54"/>
      <c r="S55" s="168">
        <f>SUM(S56:S62)</f>
        <v>0</v>
      </c>
      <c r="T55" s="383">
        <f>SUM(T56:T62)</f>
        <v>11954</v>
      </c>
      <c r="U55" s="286"/>
      <c r="V55" s="67"/>
    </row>
    <row r="56" spans="1:179" ht="13.5" customHeight="1" x14ac:dyDescent="0.2">
      <c r="A56" s="124"/>
      <c r="B56" s="29">
        <v>3412</v>
      </c>
      <c r="C56" s="29">
        <v>506</v>
      </c>
      <c r="D56" s="184" t="s">
        <v>369</v>
      </c>
      <c r="E56" s="41">
        <v>3450</v>
      </c>
      <c r="F56" s="17"/>
      <c r="G56" s="51">
        <f t="shared" ref="G56:G62" si="28">E56+F56</f>
        <v>3450</v>
      </c>
      <c r="H56" s="165"/>
      <c r="I56" s="164"/>
      <c r="J56" s="41">
        <f t="shared" ref="J56:K60" si="29">E56+H56</f>
        <v>3450</v>
      </c>
      <c r="K56" s="17">
        <f t="shared" si="29"/>
        <v>0</v>
      </c>
      <c r="L56" s="51">
        <f t="shared" ref="L56:L62" si="30">SUM(J56:K56)</f>
        <v>3450</v>
      </c>
      <c r="M56" s="41">
        <v>3450</v>
      </c>
      <c r="N56" s="17"/>
      <c r="O56" s="51">
        <f t="shared" ref="O56:O62" si="31">M56+N56</f>
        <v>3450</v>
      </c>
      <c r="P56" s="51">
        <f t="shared" si="4"/>
        <v>100</v>
      </c>
      <c r="Q56" s="346">
        <f t="shared" ref="Q56:Q62" si="32">L56-O56</f>
        <v>0</v>
      </c>
      <c r="R56" s="51" t="s">
        <v>371</v>
      </c>
      <c r="S56" s="164"/>
      <c r="T56" s="382"/>
      <c r="U56" s="284" t="s">
        <v>200</v>
      </c>
      <c r="V56" s="270" t="s">
        <v>70</v>
      </c>
      <c r="W56" s="89"/>
    </row>
    <row r="57" spans="1:179" ht="13.5" customHeight="1" x14ac:dyDescent="0.2">
      <c r="A57" s="124"/>
      <c r="B57" s="29">
        <v>3412</v>
      </c>
      <c r="C57" s="29">
        <v>506</v>
      </c>
      <c r="D57" s="184" t="s">
        <v>400</v>
      </c>
      <c r="E57" s="41"/>
      <c r="F57" s="17">
        <v>2800</v>
      </c>
      <c r="G57" s="51">
        <f t="shared" si="28"/>
        <v>2800</v>
      </c>
      <c r="H57" s="165"/>
      <c r="I57" s="164">
        <v>962.09</v>
      </c>
      <c r="J57" s="41">
        <f t="shared" si="29"/>
        <v>0</v>
      </c>
      <c r="K57" s="17">
        <f t="shared" si="29"/>
        <v>3762.09</v>
      </c>
      <c r="L57" s="51">
        <f t="shared" si="30"/>
        <v>3762.09</v>
      </c>
      <c r="M57" s="41"/>
      <c r="N57" s="17">
        <f>7062.09-N58</f>
        <v>3762.09</v>
      </c>
      <c r="O57" s="51">
        <f t="shared" si="31"/>
        <v>3762.09</v>
      </c>
      <c r="P57" s="51">
        <f t="shared" si="4"/>
        <v>100</v>
      </c>
      <c r="Q57" s="346">
        <f t="shared" si="32"/>
        <v>0</v>
      </c>
      <c r="R57" s="51" t="s">
        <v>386</v>
      </c>
      <c r="S57" s="164"/>
      <c r="T57" s="382"/>
      <c r="U57" s="284" t="s">
        <v>200</v>
      </c>
      <c r="V57" s="270" t="s">
        <v>70</v>
      </c>
      <c r="W57" s="89"/>
    </row>
    <row r="58" spans="1:179" ht="13.5" customHeight="1" x14ac:dyDescent="0.2">
      <c r="A58" s="124"/>
      <c r="B58" s="29">
        <v>3412</v>
      </c>
      <c r="C58" s="29">
        <v>506</v>
      </c>
      <c r="D58" s="184" t="s">
        <v>385</v>
      </c>
      <c r="E58" s="41"/>
      <c r="F58" s="17">
        <f>400+413+100+2148+5348+591</f>
        <v>9000</v>
      </c>
      <c r="G58" s="51">
        <f t="shared" si="28"/>
        <v>9000</v>
      </c>
      <c r="H58" s="165"/>
      <c r="I58" s="164">
        <v>-5700</v>
      </c>
      <c r="J58" s="41">
        <f t="shared" si="29"/>
        <v>0</v>
      </c>
      <c r="K58" s="17">
        <f t="shared" si="29"/>
        <v>3300</v>
      </c>
      <c r="L58" s="51">
        <f t="shared" si="30"/>
        <v>3300</v>
      </c>
      <c r="M58" s="41"/>
      <c r="N58" s="17">
        <v>3300</v>
      </c>
      <c r="O58" s="51">
        <f t="shared" si="31"/>
        <v>3300</v>
      </c>
      <c r="P58" s="51">
        <f t="shared" si="4"/>
        <v>100</v>
      </c>
      <c r="Q58" s="346">
        <f t="shared" si="32"/>
        <v>0</v>
      </c>
      <c r="R58" s="51" t="s">
        <v>452</v>
      </c>
      <c r="S58" s="164"/>
      <c r="T58" s="382"/>
      <c r="U58" s="284" t="s">
        <v>200</v>
      </c>
      <c r="V58" s="270" t="s">
        <v>70</v>
      </c>
      <c r="W58" s="89"/>
    </row>
    <row r="59" spans="1:179" ht="13.5" customHeight="1" x14ac:dyDescent="0.2">
      <c r="A59" s="124"/>
      <c r="B59" s="29">
        <v>3412</v>
      </c>
      <c r="C59" s="29">
        <v>216</v>
      </c>
      <c r="D59" s="184" t="s">
        <v>285</v>
      </c>
      <c r="E59" s="41"/>
      <c r="F59" s="17">
        <v>10474</v>
      </c>
      <c r="G59" s="51">
        <f t="shared" si="28"/>
        <v>10474</v>
      </c>
      <c r="H59" s="165">
        <v>286</v>
      </c>
      <c r="I59" s="164">
        <v>-286</v>
      </c>
      <c r="J59" s="41">
        <f t="shared" si="29"/>
        <v>286</v>
      </c>
      <c r="K59" s="17">
        <f t="shared" si="29"/>
        <v>10188</v>
      </c>
      <c r="L59" s="51">
        <f t="shared" si="30"/>
        <v>10474</v>
      </c>
      <c r="M59" s="41">
        <f>2.571+36.13824+232.60732</f>
        <v>271.31655999999998</v>
      </c>
      <c r="N59" s="17">
        <v>10171.67836</v>
      </c>
      <c r="O59" s="51">
        <f t="shared" si="31"/>
        <v>10442.994919999999</v>
      </c>
      <c r="P59" s="51">
        <f t="shared" ref="P59:P62" si="33">O59/$L59*100</f>
        <v>99.7039805232003</v>
      </c>
      <c r="Q59" s="346">
        <f t="shared" si="32"/>
        <v>31.005080000000817</v>
      </c>
      <c r="R59" s="51" t="s">
        <v>418</v>
      </c>
      <c r="S59" s="164"/>
      <c r="T59" s="382">
        <f>L59-S59</f>
        <v>10474</v>
      </c>
      <c r="U59" s="285" t="s">
        <v>303</v>
      </c>
      <c r="V59" s="272" t="s">
        <v>116</v>
      </c>
      <c r="W59" s="89" t="s">
        <v>311</v>
      </c>
    </row>
    <row r="60" spans="1:179" ht="13.5" customHeight="1" x14ac:dyDescent="0.2">
      <c r="A60" s="124"/>
      <c r="B60" s="29">
        <v>3412</v>
      </c>
      <c r="C60" s="29">
        <v>216</v>
      </c>
      <c r="D60" s="184" t="s">
        <v>377</v>
      </c>
      <c r="E60" s="41">
        <v>200</v>
      </c>
      <c r="F60" s="17"/>
      <c r="G60" s="51">
        <f t="shared" si="28"/>
        <v>200</v>
      </c>
      <c r="H60" s="165"/>
      <c r="I60" s="164"/>
      <c r="J60" s="41">
        <f t="shared" si="29"/>
        <v>200</v>
      </c>
      <c r="K60" s="17">
        <f t="shared" si="29"/>
        <v>0</v>
      </c>
      <c r="L60" s="51">
        <f t="shared" si="30"/>
        <v>200</v>
      </c>
      <c r="M60" s="41">
        <f>1.542+177.391+22.175</f>
        <v>201.108</v>
      </c>
      <c r="N60" s="17"/>
      <c r="O60" s="51">
        <f t="shared" si="31"/>
        <v>201.108</v>
      </c>
      <c r="P60" s="51">
        <f t="shared" si="33"/>
        <v>100.55400000000002</v>
      </c>
      <c r="Q60" s="346">
        <f t="shared" si="32"/>
        <v>-1.1080000000000041</v>
      </c>
      <c r="R60" s="51"/>
      <c r="S60" s="164"/>
      <c r="T60" s="382"/>
      <c r="U60" s="285" t="s">
        <v>319</v>
      </c>
      <c r="V60" s="285" t="s">
        <v>68</v>
      </c>
      <c r="W60" s="89"/>
    </row>
    <row r="61" spans="1:179" ht="13.5" customHeight="1" x14ac:dyDescent="0.2">
      <c r="A61" s="124"/>
      <c r="B61" s="29">
        <v>3419</v>
      </c>
      <c r="C61" s="29">
        <v>105</v>
      </c>
      <c r="D61" s="184" t="s">
        <v>437</v>
      </c>
      <c r="E61" s="41">
        <f>45+415</f>
        <v>460</v>
      </c>
      <c r="F61" s="17"/>
      <c r="G61" s="51">
        <f t="shared" si="28"/>
        <v>460</v>
      </c>
      <c r="H61" s="169">
        <v>20</v>
      </c>
      <c r="I61" s="164"/>
      <c r="J61" s="41">
        <f>E61+H61</f>
        <v>480</v>
      </c>
      <c r="K61" s="17"/>
      <c r="L61" s="51">
        <f t="shared" si="30"/>
        <v>480</v>
      </c>
      <c r="M61" s="41">
        <v>479.25099999999998</v>
      </c>
      <c r="N61" s="17"/>
      <c r="O61" s="51">
        <f t="shared" si="31"/>
        <v>479.25099999999998</v>
      </c>
      <c r="P61" s="51">
        <f t="shared" si="33"/>
        <v>99.843958333333333</v>
      </c>
      <c r="Q61" s="346">
        <f t="shared" si="32"/>
        <v>0.74900000000002365</v>
      </c>
      <c r="R61" s="51"/>
      <c r="S61" s="164"/>
      <c r="T61" s="382">
        <f>L61-S61</f>
        <v>480</v>
      </c>
      <c r="U61" s="284"/>
      <c r="V61" s="270" t="s">
        <v>70</v>
      </c>
    </row>
    <row r="62" spans="1:179" ht="12.75" customHeight="1" x14ac:dyDescent="0.2">
      <c r="A62" s="124"/>
      <c r="B62" s="29">
        <v>3421</v>
      </c>
      <c r="C62" s="29">
        <v>105</v>
      </c>
      <c r="D62" s="184" t="s">
        <v>420</v>
      </c>
      <c r="E62" s="41">
        <v>1000</v>
      </c>
      <c r="F62" s="17"/>
      <c r="G62" s="51">
        <f t="shared" si="28"/>
        <v>1000</v>
      </c>
      <c r="H62" s="165"/>
      <c r="I62" s="164"/>
      <c r="J62" s="41">
        <f>E62+H62</f>
        <v>1000</v>
      </c>
      <c r="K62" s="17"/>
      <c r="L62" s="51">
        <f t="shared" si="30"/>
        <v>1000</v>
      </c>
      <c r="M62" s="41">
        <v>1000</v>
      </c>
      <c r="N62" s="17"/>
      <c r="O62" s="51">
        <f t="shared" si="31"/>
        <v>1000</v>
      </c>
      <c r="P62" s="425">
        <f t="shared" si="33"/>
        <v>100</v>
      </c>
      <c r="Q62" s="346">
        <f t="shared" si="32"/>
        <v>0</v>
      </c>
      <c r="R62" s="51"/>
      <c r="S62" s="164"/>
      <c r="T62" s="382">
        <f>L62-S62</f>
        <v>1000</v>
      </c>
      <c r="U62" s="284" t="s">
        <v>430</v>
      </c>
      <c r="V62" s="270" t="s">
        <v>70</v>
      </c>
    </row>
    <row r="63" spans="1:179" x14ac:dyDescent="0.2">
      <c r="A63" s="125">
        <v>35</v>
      </c>
      <c r="B63" s="24">
        <v>3500</v>
      </c>
      <c r="C63" s="24"/>
      <c r="D63" s="372" t="s">
        <v>113</v>
      </c>
      <c r="E63" s="52">
        <f t="shared" ref="E63:L63" si="34">SUM(E64:E64)</f>
        <v>0</v>
      </c>
      <c r="F63" s="53">
        <f t="shared" si="34"/>
        <v>0</v>
      </c>
      <c r="G63" s="54">
        <f t="shared" si="34"/>
        <v>0</v>
      </c>
      <c r="H63" s="167">
        <f t="shared" si="34"/>
        <v>0</v>
      </c>
      <c r="I63" s="168">
        <f t="shared" si="34"/>
        <v>0</v>
      </c>
      <c r="J63" s="52">
        <f t="shared" si="34"/>
        <v>0</v>
      </c>
      <c r="K63" s="53">
        <f t="shared" si="34"/>
        <v>0</v>
      </c>
      <c r="L63" s="54">
        <f t="shared" si="34"/>
        <v>0</v>
      </c>
      <c r="M63" s="52">
        <f>SUM(M64:M64)</f>
        <v>0</v>
      </c>
      <c r="N63" s="53">
        <f>SUM(N64:N64)</f>
        <v>0</v>
      </c>
      <c r="O63" s="54">
        <f>SUM(O64:O64)</f>
        <v>0</v>
      </c>
      <c r="P63" s="51"/>
      <c r="Q63" s="347">
        <f>SUM(Q64:Q64)</f>
        <v>0</v>
      </c>
      <c r="R63" s="54"/>
      <c r="S63" s="168">
        <f>SUM(S64:S64)</f>
        <v>0</v>
      </c>
      <c r="T63" s="383" t="e">
        <f>SUM(#REF!)</f>
        <v>#REF!</v>
      </c>
      <c r="U63" s="52"/>
      <c r="V63" s="277"/>
    </row>
    <row r="64" spans="1:179" x14ac:dyDescent="0.2">
      <c r="A64" s="82"/>
      <c r="B64" s="32">
        <v>3522</v>
      </c>
      <c r="C64" s="32">
        <v>233</v>
      </c>
      <c r="D64" s="332" t="s">
        <v>313</v>
      </c>
      <c r="E64" s="49"/>
      <c r="F64" s="19"/>
      <c r="G64" s="51">
        <f>E64+F64</f>
        <v>0</v>
      </c>
      <c r="H64" s="172"/>
      <c r="I64" s="331"/>
      <c r="J64" s="49"/>
      <c r="K64" s="17">
        <f>F64+I64</f>
        <v>0</v>
      </c>
      <c r="L64" s="51">
        <f>SUM(J64:K64)</f>
        <v>0</v>
      </c>
      <c r="M64" s="178"/>
      <c r="N64" s="17"/>
      <c r="O64" s="410">
        <f>M64+N64</f>
        <v>0</v>
      </c>
      <c r="P64" s="51"/>
      <c r="Q64" s="346">
        <f>L64-O64</f>
        <v>0</v>
      </c>
      <c r="R64" s="50"/>
      <c r="S64" s="331"/>
      <c r="T64" s="385"/>
      <c r="U64" s="49"/>
      <c r="V64" s="67"/>
    </row>
    <row r="65" spans="1:23" x14ac:dyDescent="0.2">
      <c r="A65" s="125">
        <v>36</v>
      </c>
      <c r="B65" s="24">
        <v>3600</v>
      </c>
      <c r="C65" s="24"/>
      <c r="D65" s="372" t="s">
        <v>75</v>
      </c>
      <c r="E65" s="52">
        <f t="shared" ref="E65:O65" si="35">SUM(E66:E83)</f>
        <v>16812</v>
      </c>
      <c r="F65" s="53">
        <f t="shared" si="35"/>
        <v>5800</v>
      </c>
      <c r="G65" s="54">
        <f t="shared" si="35"/>
        <v>22612</v>
      </c>
      <c r="H65" s="167">
        <f t="shared" si="35"/>
        <v>678.41</v>
      </c>
      <c r="I65" s="168">
        <f t="shared" si="35"/>
        <v>-1356</v>
      </c>
      <c r="J65" s="52">
        <f t="shared" si="35"/>
        <v>17490.41</v>
      </c>
      <c r="K65" s="53">
        <f t="shared" si="35"/>
        <v>4444</v>
      </c>
      <c r="L65" s="54">
        <f t="shared" si="35"/>
        <v>21934.41</v>
      </c>
      <c r="M65" s="52">
        <f t="shared" si="35"/>
        <v>15322.55776</v>
      </c>
      <c r="N65" s="53">
        <f t="shared" si="35"/>
        <v>1919.855</v>
      </c>
      <c r="O65" s="54">
        <f t="shared" si="35"/>
        <v>17242.412760000003</v>
      </c>
      <c r="P65" s="54">
        <f>O65/$L65*100</f>
        <v>78.608965365377969</v>
      </c>
      <c r="Q65" s="347">
        <f>SUM(Q66:Q83)</f>
        <v>4691.9972399999997</v>
      </c>
      <c r="R65" s="54"/>
      <c r="S65" s="168">
        <f>SUM(S66:S83)</f>
        <v>0</v>
      </c>
      <c r="T65" s="383">
        <f>SUM(T66:T83)</f>
        <v>15994.86</v>
      </c>
      <c r="U65" s="52"/>
      <c r="V65" s="277"/>
    </row>
    <row r="66" spans="1:23" ht="12" customHeight="1" x14ac:dyDescent="0.2">
      <c r="A66" s="124"/>
      <c r="B66" s="29">
        <v>3612</v>
      </c>
      <c r="C66" s="29" t="s">
        <v>290</v>
      </c>
      <c r="D66" s="184" t="s">
        <v>122</v>
      </c>
      <c r="E66" s="41">
        <v>5598</v>
      </c>
      <c r="F66" s="17"/>
      <c r="G66" s="51">
        <f>E66+F66</f>
        <v>5598</v>
      </c>
      <c r="H66" s="169"/>
      <c r="I66" s="166"/>
      <c r="J66" s="41">
        <f t="shared" ref="J66:J83" si="36">E66+H66</f>
        <v>5598</v>
      </c>
      <c r="K66" s="17"/>
      <c r="L66" s="51">
        <f t="shared" ref="L66:L83" si="37">SUM(J66:K66)</f>
        <v>5598</v>
      </c>
      <c r="M66" s="41">
        <v>5135.0865100000001</v>
      </c>
      <c r="N66" s="17"/>
      <c r="O66" s="51">
        <f>M66+N66</f>
        <v>5135.0865100000001</v>
      </c>
      <c r="P66" s="51">
        <f>O66/$L66*100</f>
        <v>91.730734369417661</v>
      </c>
      <c r="Q66" s="346">
        <f t="shared" ref="Q66:Q83" si="38">L66-O66</f>
        <v>462.91348999999991</v>
      </c>
      <c r="R66" s="51"/>
      <c r="S66" s="166"/>
      <c r="T66" s="382">
        <f>L66-S66</f>
        <v>5598</v>
      </c>
      <c r="U66" s="281" t="s">
        <v>374</v>
      </c>
      <c r="V66" s="278" t="s">
        <v>289</v>
      </c>
    </row>
    <row r="67" spans="1:23" x14ac:dyDescent="0.2">
      <c r="A67" s="124"/>
      <c r="B67" s="29">
        <v>3612</v>
      </c>
      <c r="C67" s="29" t="s">
        <v>290</v>
      </c>
      <c r="D67" s="184" t="s">
        <v>123</v>
      </c>
      <c r="E67" s="41">
        <v>3578</v>
      </c>
      <c r="F67" s="17"/>
      <c r="G67" s="51">
        <f>E67+F67</f>
        <v>3578</v>
      </c>
      <c r="H67" s="163">
        <v>-568</v>
      </c>
      <c r="I67" s="164"/>
      <c r="J67" s="41">
        <f t="shared" si="36"/>
        <v>3010</v>
      </c>
      <c r="K67" s="17"/>
      <c r="L67" s="51">
        <f t="shared" si="37"/>
        <v>3010</v>
      </c>
      <c r="M67" s="41">
        <v>3060.3110999999999</v>
      </c>
      <c r="N67" s="17"/>
      <c r="O67" s="51">
        <f>M67+N67</f>
        <v>3060.3110999999999</v>
      </c>
      <c r="P67" s="51">
        <f>O67/$L67*100</f>
        <v>101.67146511627907</v>
      </c>
      <c r="Q67" s="346">
        <f t="shared" si="38"/>
        <v>-50.311099999999897</v>
      </c>
      <c r="R67" s="51"/>
      <c r="S67" s="164"/>
      <c r="T67" s="382">
        <f>L67-S67</f>
        <v>3010</v>
      </c>
      <c r="U67" s="281" t="s">
        <v>374</v>
      </c>
      <c r="V67" s="278" t="s">
        <v>289</v>
      </c>
    </row>
    <row r="68" spans="1:23" x14ac:dyDescent="0.2">
      <c r="A68" s="124"/>
      <c r="B68" s="29">
        <v>3612</v>
      </c>
      <c r="C68" s="29">
        <v>218</v>
      </c>
      <c r="D68" s="184" t="s">
        <v>332</v>
      </c>
      <c r="E68" s="41">
        <v>350</v>
      </c>
      <c r="F68" s="17"/>
      <c r="G68" s="51">
        <f>E68+F68</f>
        <v>350</v>
      </c>
      <c r="H68" s="163">
        <v>-150</v>
      </c>
      <c r="I68" s="164"/>
      <c r="J68" s="41">
        <f t="shared" si="36"/>
        <v>200</v>
      </c>
      <c r="K68" s="17"/>
      <c r="L68" s="51">
        <f t="shared" si="37"/>
        <v>200</v>
      </c>
      <c r="M68" s="41">
        <v>0</v>
      </c>
      <c r="N68" s="17"/>
      <c r="O68" s="51">
        <f>M68+N68</f>
        <v>0</v>
      </c>
      <c r="P68" s="51">
        <f>O68/$L68*100</f>
        <v>0</v>
      </c>
      <c r="Q68" s="346">
        <f t="shared" si="38"/>
        <v>200</v>
      </c>
      <c r="R68" s="51"/>
      <c r="S68" s="164"/>
      <c r="T68" s="382">
        <f>L68-S68</f>
        <v>200</v>
      </c>
      <c r="U68" s="285" t="s">
        <v>303</v>
      </c>
      <c r="V68" s="272" t="s">
        <v>116</v>
      </c>
    </row>
    <row r="69" spans="1:23" x14ac:dyDescent="0.2">
      <c r="A69" s="124"/>
      <c r="B69" s="29">
        <v>3612</v>
      </c>
      <c r="C69" s="29">
        <v>326</v>
      </c>
      <c r="D69" s="184" t="s">
        <v>431</v>
      </c>
      <c r="E69" s="41"/>
      <c r="F69" s="17">
        <v>2000</v>
      </c>
      <c r="G69" s="51">
        <f t="shared" ref="G69:G83" si="39">E69+F69</f>
        <v>2000</v>
      </c>
      <c r="H69" s="163"/>
      <c r="I69" s="164"/>
      <c r="J69" s="41">
        <f t="shared" si="36"/>
        <v>0</v>
      </c>
      <c r="K69" s="17">
        <f>F69+I69</f>
        <v>2000</v>
      </c>
      <c r="L69" s="51">
        <f t="shared" si="37"/>
        <v>2000</v>
      </c>
      <c r="M69" s="41"/>
      <c r="N69" s="17">
        <v>242.96799999999999</v>
      </c>
      <c r="O69" s="51">
        <f t="shared" ref="O69:O83" si="40">M69+N69</f>
        <v>242.96799999999999</v>
      </c>
      <c r="P69" s="51">
        <f t="shared" ref="P69:P86" si="41">O69/$L69*100</f>
        <v>12.148399999999999</v>
      </c>
      <c r="Q69" s="346">
        <f t="shared" si="38"/>
        <v>1757.0319999999999</v>
      </c>
      <c r="R69" s="51"/>
      <c r="S69" s="164"/>
      <c r="T69" s="382">
        <f>L69-S69</f>
        <v>2000</v>
      </c>
      <c r="U69" s="285" t="s">
        <v>303</v>
      </c>
      <c r="V69" s="272" t="s">
        <v>116</v>
      </c>
    </row>
    <row r="70" spans="1:23" x14ac:dyDescent="0.2">
      <c r="A70" s="124"/>
      <c r="B70" s="29">
        <v>3613</v>
      </c>
      <c r="C70" s="29">
        <v>316</v>
      </c>
      <c r="D70" s="184" t="s">
        <v>343</v>
      </c>
      <c r="E70" s="41">
        <v>422</v>
      </c>
      <c r="F70" s="17">
        <f>1500+2000</f>
        <v>3500</v>
      </c>
      <c r="G70" s="51">
        <f t="shared" si="39"/>
        <v>3922</v>
      </c>
      <c r="H70" s="163">
        <v>301</v>
      </c>
      <c r="I70" s="164">
        <f>-1055-301</f>
        <v>-1356</v>
      </c>
      <c r="J70" s="41">
        <f>E70+H70</f>
        <v>723</v>
      </c>
      <c r="K70" s="17">
        <f>F70+I70</f>
        <v>2144</v>
      </c>
      <c r="L70" s="51">
        <f>SUM(J70:K70)</f>
        <v>2867</v>
      </c>
      <c r="M70" s="41">
        <f>127.371+134.0552+37.38681+50.67625+47.9436</f>
        <v>397.43285999999995</v>
      </c>
      <c r="N70" s="17">
        <f>80.5+1339.408</f>
        <v>1419.9079999999999</v>
      </c>
      <c r="O70" s="51">
        <f t="shared" si="40"/>
        <v>1817.3408599999998</v>
      </c>
      <c r="P70" s="51">
        <f t="shared" si="41"/>
        <v>63.388240669689566</v>
      </c>
      <c r="Q70" s="346">
        <f t="shared" si="38"/>
        <v>1049.6591400000002</v>
      </c>
      <c r="R70" s="51"/>
      <c r="S70" s="164"/>
      <c r="T70" s="382"/>
      <c r="U70" s="285" t="s">
        <v>319</v>
      </c>
      <c r="V70" s="272" t="s">
        <v>68</v>
      </c>
    </row>
    <row r="71" spans="1:23" x14ac:dyDescent="0.2">
      <c r="A71" s="124"/>
      <c r="B71" s="29">
        <v>3613</v>
      </c>
      <c r="C71" s="29">
        <v>317</v>
      </c>
      <c r="D71" s="184" t="s">
        <v>202</v>
      </c>
      <c r="E71" s="41">
        <v>150</v>
      </c>
      <c r="F71" s="17"/>
      <c r="G71" s="51">
        <f t="shared" si="39"/>
        <v>150</v>
      </c>
      <c r="H71" s="163"/>
      <c r="I71" s="166"/>
      <c r="J71" s="41">
        <f>E71+H71</f>
        <v>150</v>
      </c>
      <c r="K71" s="17"/>
      <c r="L71" s="51">
        <f>SUM(J71:K71)</f>
        <v>150</v>
      </c>
      <c r="M71" s="41">
        <v>40.552</v>
      </c>
      <c r="N71" s="17"/>
      <c r="O71" s="51">
        <f t="shared" si="40"/>
        <v>40.552</v>
      </c>
      <c r="P71" s="51">
        <f t="shared" si="41"/>
        <v>27.034666666666666</v>
      </c>
      <c r="Q71" s="346">
        <f t="shared" si="38"/>
        <v>109.44800000000001</v>
      </c>
      <c r="R71" s="51"/>
      <c r="S71" s="166"/>
      <c r="T71" s="382">
        <f>L71-S71</f>
        <v>150</v>
      </c>
      <c r="U71" s="287" t="s">
        <v>314</v>
      </c>
      <c r="V71" s="272" t="s">
        <v>68</v>
      </c>
    </row>
    <row r="72" spans="1:23" x14ac:dyDescent="0.2">
      <c r="A72" s="124"/>
      <c r="B72" s="29">
        <v>3613</v>
      </c>
      <c r="C72" s="29">
        <v>703</v>
      </c>
      <c r="D72" s="184" t="s">
        <v>124</v>
      </c>
      <c r="E72" s="41">
        <v>300</v>
      </c>
      <c r="F72" s="17"/>
      <c r="G72" s="51">
        <f t="shared" si="39"/>
        <v>300</v>
      </c>
      <c r="H72" s="163"/>
      <c r="I72" s="164"/>
      <c r="J72" s="41">
        <f>E72+H72</f>
        <v>300</v>
      </c>
      <c r="K72" s="17"/>
      <c r="L72" s="51">
        <f>SUM(J72:K72)</f>
        <v>300</v>
      </c>
      <c r="M72" s="41">
        <v>255.64410000000001</v>
      </c>
      <c r="N72" s="17"/>
      <c r="O72" s="51">
        <f t="shared" si="40"/>
        <v>255.64410000000001</v>
      </c>
      <c r="P72" s="51">
        <f t="shared" si="41"/>
        <v>85.214699999999993</v>
      </c>
      <c r="Q72" s="346">
        <f t="shared" si="38"/>
        <v>44.355899999999991</v>
      </c>
      <c r="R72" s="51"/>
      <c r="S72" s="164"/>
      <c r="T72" s="382">
        <f>L72-S72</f>
        <v>300</v>
      </c>
      <c r="U72" s="281" t="s">
        <v>374</v>
      </c>
      <c r="V72" s="278" t="s">
        <v>289</v>
      </c>
    </row>
    <row r="73" spans="1:23" x14ac:dyDescent="0.2">
      <c r="A73" s="124"/>
      <c r="B73" s="29">
        <v>3613</v>
      </c>
      <c r="C73" s="29">
        <v>703</v>
      </c>
      <c r="D73" s="184" t="s">
        <v>125</v>
      </c>
      <c r="E73" s="41">
        <v>331</v>
      </c>
      <c r="F73" s="17"/>
      <c r="G73" s="51">
        <f t="shared" si="39"/>
        <v>331</v>
      </c>
      <c r="H73" s="163"/>
      <c r="I73" s="164"/>
      <c r="J73" s="41">
        <f>E73+H73</f>
        <v>331</v>
      </c>
      <c r="K73" s="17"/>
      <c r="L73" s="51">
        <f>SUM(J73:K73)</f>
        <v>331</v>
      </c>
      <c r="M73" s="41">
        <v>202.20304999999999</v>
      </c>
      <c r="N73" s="17"/>
      <c r="O73" s="51">
        <f t="shared" si="40"/>
        <v>202.20304999999999</v>
      </c>
      <c r="P73" s="51">
        <f t="shared" si="41"/>
        <v>61.088534743202416</v>
      </c>
      <c r="Q73" s="346">
        <f t="shared" si="38"/>
        <v>128.79695000000001</v>
      </c>
      <c r="R73" s="51"/>
      <c r="S73" s="164"/>
      <c r="T73" s="382">
        <f>L73-S73</f>
        <v>331</v>
      </c>
      <c r="U73" s="281" t="s">
        <v>374</v>
      </c>
      <c r="V73" s="278" t="s">
        <v>289</v>
      </c>
      <c r="W73" s="108" t="s">
        <v>404</v>
      </c>
    </row>
    <row r="74" spans="1:23" x14ac:dyDescent="0.2">
      <c r="A74" s="124"/>
      <c r="B74" s="29">
        <v>3613</v>
      </c>
      <c r="C74" s="29">
        <v>305</v>
      </c>
      <c r="D74" s="374" t="s">
        <v>364</v>
      </c>
      <c r="E74" s="41">
        <f>2797-646</f>
        <v>2151</v>
      </c>
      <c r="F74" s="17"/>
      <c r="G74" s="51">
        <f t="shared" si="39"/>
        <v>2151</v>
      </c>
      <c r="H74" s="163">
        <f>-1616.3+2537.85</f>
        <v>921.55</v>
      </c>
      <c r="I74" s="164"/>
      <c r="J74" s="41">
        <f>E74+H74</f>
        <v>3072.55</v>
      </c>
      <c r="K74" s="17"/>
      <c r="L74" s="51">
        <f>SUM(J74:K74)</f>
        <v>3072.55</v>
      </c>
      <c r="M74" s="41">
        <v>2840.5479999999998</v>
      </c>
      <c r="N74" s="17"/>
      <c r="O74" s="51">
        <f t="shared" si="40"/>
        <v>2840.5479999999998</v>
      </c>
      <c r="P74" s="51">
        <f t="shared" si="41"/>
        <v>92.449203430375405</v>
      </c>
      <c r="Q74" s="346">
        <f t="shared" si="38"/>
        <v>232.00200000000041</v>
      </c>
      <c r="R74" s="51" t="s">
        <v>367</v>
      </c>
      <c r="S74" s="164"/>
      <c r="T74" s="382"/>
      <c r="U74" s="285" t="s">
        <v>319</v>
      </c>
      <c r="V74" s="272" t="s">
        <v>116</v>
      </c>
      <c r="W74" s="108">
        <v>151</v>
      </c>
    </row>
    <row r="75" spans="1:23" x14ac:dyDescent="0.2">
      <c r="A75" s="124"/>
      <c r="B75" s="29">
        <v>3631</v>
      </c>
      <c r="C75" s="29">
        <v>107</v>
      </c>
      <c r="D75" s="184" t="s">
        <v>76</v>
      </c>
      <c r="E75" s="41">
        <v>1620</v>
      </c>
      <c r="F75" s="17"/>
      <c r="G75" s="51">
        <f t="shared" si="39"/>
        <v>1620</v>
      </c>
      <c r="H75" s="163"/>
      <c r="I75" s="164"/>
      <c r="J75" s="41">
        <f t="shared" si="36"/>
        <v>1620</v>
      </c>
      <c r="K75" s="17"/>
      <c r="L75" s="51">
        <f t="shared" si="37"/>
        <v>1620</v>
      </c>
      <c r="M75" s="41">
        <v>1290.7080000000001</v>
      </c>
      <c r="N75" s="17"/>
      <c r="O75" s="51">
        <f t="shared" si="40"/>
        <v>1290.7080000000001</v>
      </c>
      <c r="P75" s="51">
        <f t="shared" si="41"/>
        <v>79.673333333333346</v>
      </c>
      <c r="Q75" s="346">
        <f t="shared" si="38"/>
        <v>329.29199999999992</v>
      </c>
      <c r="R75" s="51"/>
      <c r="S75" s="164"/>
      <c r="T75" s="382">
        <f t="shared" ref="T75:T83" si="42">L75-S75</f>
        <v>1620</v>
      </c>
      <c r="U75" s="285" t="s">
        <v>198</v>
      </c>
      <c r="V75" s="272" t="s">
        <v>116</v>
      </c>
    </row>
    <row r="76" spans="1:23" x14ac:dyDescent="0.2">
      <c r="A76" s="124"/>
      <c r="B76" s="29">
        <v>3632</v>
      </c>
      <c r="C76" s="29">
        <v>238</v>
      </c>
      <c r="D76" s="184" t="s">
        <v>38</v>
      </c>
      <c r="E76" s="41">
        <v>360</v>
      </c>
      <c r="F76" s="17">
        <v>300</v>
      </c>
      <c r="G76" s="51">
        <f t="shared" si="39"/>
        <v>660</v>
      </c>
      <c r="H76" s="163"/>
      <c r="I76" s="164"/>
      <c r="J76" s="41">
        <f t="shared" si="36"/>
        <v>360</v>
      </c>
      <c r="K76" s="17">
        <f>F76+I76</f>
        <v>300</v>
      </c>
      <c r="L76" s="51">
        <f t="shared" si="37"/>
        <v>660</v>
      </c>
      <c r="M76" s="41">
        <f>601.698-N76</f>
        <v>344.71899999999999</v>
      </c>
      <c r="N76" s="17">
        <v>256.97899999999998</v>
      </c>
      <c r="O76" s="51">
        <f t="shared" si="40"/>
        <v>601.69799999999998</v>
      </c>
      <c r="P76" s="51">
        <f t="shared" si="41"/>
        <v>91.166363636363627</v>
      </c>
      <c r="Q76" s="346">
        <f t="shared" si="38"/>
        <v>58.302000000000021</v>
      </c>
      <c r="R76" s="51"/>
      <c r="S76" s="164"/>
      <c r="T76" s="382">
        <f t="shared" si="42"/>
        <v>660</v>
      </c>
      <c r="U76" s="287" t="s">
        <v>314</v>
      </c>
      <c r="V76" s="272" t="s">
        <v>68</v>
      </c>
    </row>
    <row r="77" spans="1:23" x14ac:dyDescent="0.2">
      <c r="A77" s="124"/>
      <c r="B77" s="29">
        <v>3635</v>
      </c>
      <c r="C77" s="29">
        <v>248</v>
      </c>
      <c r="D77" s="184" t="s">
        <v>206</v>
      </c>
      <c r="E77" s="41">
        <v>100</v>
      </c>
      <c r="F77" s="17"/>
      <c r="G77" s="51">
        <f t="shared" si="39"/>
        <v>100</v>
      </c>
      <c r="H77" s="163">
        <v>-50</v>
      </c>
      <c r="I77" s="164"/>
      <c r="J77" s="41">
        <f t="shared" si="36"/>
        <v>50</v>
      </c>
      <c r="K77" s="17"/>
      <c r="L77" s="51">
        <f t="shared" si="37"/>
        <v>50</v>
      </c>
      <c r="M77" s="41">
        <v>9.24</v>
      </c>
      <c r="N77" s="17"/>
      <c r="O77" s="51">
        <f t="shared" si="40"/>
        <v>9.24</v>
      </c>
      <c r="P77" s="51">
        <f t="shared" si="41"/>
        <v>18.48</v>
      </c>
      <c r="Q77" s="346">
        <f t="shared" si="38"/>
        <v>40.76</v>
      </c>
      <c r="R77" s="51"/>
      <c r="S77" s="164"/>
      <c r="T77" s="382">
        <f t="shared" si="42"/>
        <v>50</v>
      </c>
      <c r="U77" s="288" t="s">
        <v>205</v>
      </c>
      <c r="V77" s="279" t="s">
        <v>204</v>
      </c>
    </row>
    <row r="78" spans="1:23" x14ac:dyDescent="0.2">
      <c r="A78" s="124"/>
      <c r="B78" s="29">
        <v>3636</v>
      </c>
      <c r="C78" s="29">
        <v>249</v>
      </c>
      <c r="D78" s="184" t="s">
        <v>255</v>
      </c>
      <c r="E78" s="41">
        <v>141</v>
      </c>
      <c r="F78" s="17"/>
      <c r="G78" s="51">
        <f t="shared" si="39"/>
        <v>141</v>
      </c>
      <c r="H78" s="169">
        <f>1.507+47.1177+20+5.2353</f>
        <v>73.859999999999985</v>
      </c>
      <c r="I78" s="164"/>
      <c r="J78" s="41">
        <f t="shared" si="36"/>
        <v>214.85999999999999</v>
      </c>
      <c r="K78" s="17"/>
      <c r="L78" s="51">
        <f t="shared" si="37"/>
        <v>214.85999999999999</v>
      </c>
      <c r="M78" s="41">
        <v>162.179</v>
      </c>
      <c r="N78" s="17"/>
      <c r="O78" s="51">
        <f>M78+N78</f>
        <v>162.179</v>
      </c>
      <c r="P78" s="51">
        <f t="shared" si="41"/>
        <v>75.481243600484035</v>
      </c>
      <c r="Q78" s="346">
        <f t="shared" si="38"/>
        <v>52.680999999999983</v>
      </c>
      <c r="R78" s="17"/>
      <c r="S78" s="164"/>
      <c r="T78" s="382">
        <f t="shared" si="42"/>
        <v>214.85999999999999</v>
      </c>
      <c r="U78" s="285" t="s">
        <v>303</v>
      </c>
      <c r="V78" s="272" t="s">
        <v>116</v>
      </c>
    </row>
    <row r="79" spans="1:23" x14ac:dyDescent="0.2">
      <c r="A79" s="124"/>
      <c r="B79" s="29">
        <v>3639</v>
      </c>
      <c r="C79" s="29">
        <v>108</v>
      </c>
      <c r="D79" s="184" t="s">
        <v>95</v>
      </c>
      <c r="E79" s="41">
        <v>500</v>
      </c>
      <c r="F79" s="17"/>
      <c r="G79" s="51">
        <f t="shared" si="39"/>
        <v>500</v>
      </c>
      <c r="H79" s="165">
        <v>150</v>
      </c>
      <c r="I79" s="164"/>
      <c r="J79" s="41">
        <f t="shared" si="36"/>
        <v>650</v>
      </c>
      <c r="K79" s="17"/>
      <c r="L79" s="51">
        <f t="shared" si="37"/>
        <v>650</v>
      </c>
      <c r="M79" s="41">
        <v>651.63167999999996</v>
      </c>
      <c r="N79" s="17"/>
      <c r="O79" s="51">
        <f t="shared" si="40"/>
        <v>651.63167999999996</v>
      </c>
      <c r="P79" s="51">
        <f t="shared" si="41"/>
        <v>100.25102769230769</v>
      </c>
      <c r="Q79" s="346">
        <f t="shared" si="38"/>
        <v>-1.6316799999999603</v>
      </c>
      <c r="R79" s="51"/>
      <c r="S79" s="164"/>
      <c r="T79" s="382">
        <f t="shared" si="42"/>
        <v>650</v>
      </c>
      <c r="U79" s="285" t="s">
        <v>158</v>
      </c>
      <c r="V79" s="272" t="s">
        <v>68</v>
      </c>
    </row>
    <row r="80" spans="1:23" x14ac:dyDescent="0.2">
      <c r="A80" s="124"/>
      <c r="B80" s="29">
        <v>3639</v>
      </c>
      <c r="C80" s="29">
        <v>239</v>
      </c>
      <c r="D80" s="184" t="s">
        <v>188</v>
      </c>
      <c r="E80" s="41">
        <v>561</v>
      </c>
      <c r="F80" s="17"/>
      <c r="G80" s="51">
        <f t="shared" si="39"/>
        <v>561</v>
      </c>
      <c r="H80" s="163"/>
      <c r="I80" s="164"/>
      <c r="J80" s="41">
        <f t="shared" si="36"/>
        <v>561</v>
      </c>
      <c r="K80" s="17"/>
      <c r="L80" s="51">
        <f t="shared" si="37"/>
        <v>561</v>
      </c>
      <c r="M80" s="41">
        <v>394.38806</v>
      </c>
      <c r="N80" s="17"/>
      <c r="O80" s="51">
        <f t="shared" si="40"/>
        <v>394.38806</v>
      </c>
      <c r="P80" s="51">
        <f t="shared" si="41"/>
        <v>70.300901960784316</v>
      </c>
      <c r="Q80" s="346">
        <f t="shared" si="38"/>
        <v>166.61194</v>
      </c>
      <c r="R80" s="51"/>
      <c r="S80" s="164"/>
      <c r="T80" s="382">
        <f t="shared" si="42"/>
        <v>561</v>
      </c>
      <c r="U80" s="285" t="s">
        <v>198</v>
      </c>
      <c r="V80" s="272" t="s">
        <v>116</v>
      </c>
    </row>
    <row r="81" spans="1:22" x14ac:dyDescent="0.2">
      <c r="A81" s="124"/>
      <c r="B81" s="29">
        <v>3639</v>
      </c>
      <c r="C81" s="29">
        <v>243</v>
      </c>
      <c r="D81" s="184" t="s">
        <v>153</v>
      </c>
      <c r="E81" s="41">
        <f>62+271</f>
        <v>333</v>
      </c>
      <c r="F81" s="17"/>
      <c r="G81" s="51">
        <f t="shared" si="39"/>
        <v>333</v>
      </c>
      <c r="H81" s="163"/>
      <c r="I81" s="164"/>
      <c r="J81" s="41">
        <f t="shared" si="36"/>
        <v>333</v>
      </c>
      <c r="K81" s="17"/>
      <c r="L81" s="51">
        <f t="shared" si="37"/>
        <v>333</v>
      </c>
      <c r="M81" s="41">
        <v>307.07139999999998</v>
      </c>
      <c r="N81" s="17"/>
      <c r="O81" s="51">
        <f t="shared" si="40"/>
        <v>307.07139999999998</v>
      </c>
      <c r="P81" s="51">
        <f t="shared" si="41"/>
        <v>92.213633633633634</v>
      </c>
      <c r="Q81" s="346">
        <f t="shared" si="38"/>
        <v>25.928600000000017</v>
      </c>
      <c r="R81" s="51"/>
      <c r="S81" s="164"/>
      <c r="T81" s="382">
        <f t="shared" si="42"/>
        <v>333</v>
      </c>
      <c r="U81" s="287" t="s">
        <v>68</v>
      </c>
      <c r="V81" s="272" t="s">
        <v>304</v>
      </c>
    </row>
    <row r="82" spans="1:22" x14ac:dyDescent="0.2">
      <c r="A82" s="124"/>
      <c r="B82" s="29">
        <v>3639</v>
      </c>
      <c r="C82" s="29">
        <v>319</v>
      </c>
      <c r="D82" s="184" t="s">
        <v>264</v>
      </c>
      <c r="E82" s="41">
        <v>227</v>
      </c>
      <c r="F82" s="17"/>
      <c r="G82" s="51">
        <f t="shared" si="39"/>
        <v>227</v>
      </c>
      <c r="H82" s="165"/>
      <c r="I82" s="164"/>
      <c r="J82" s="41">
        <f t="shared" si="36"/>
        <v>227</v>
      </c>
      <c r="K82" s="17"/>
      <c r="L82" s="51">
        <f t="shared" si="37"/>
        <v>227</v>
      </c>
      <c r="M82" s="41">
        <v>226.8</v>
      </c>
      <c r="N82" s="17"/>
      <c r="O82" s="51">
        <f t="shared" si="40"/>
        <v>226.8</v>
      </c>
      <c r="P82" s="51">
        <f t="shared" si="41"/>
        <v>99.911894273127757</v>
      </c>
      <c r="Q82" s="346">
        <f t="shared" si="38"/>
        <v>0.19999999999998863</v>
      </c>
      <c r="R82" s="51" t="s">
        <v>302</v>
      </c>
      <c r="S82" s="164"/>
      <c r="T82" s="382">
        <f t="shared" si="42"/>
        <v>227</v>
      </c>
      <c r="U82" s="287" t="s">
        <v>314</v>
      </c>
      <c r="V82" s="272" t="s">
        <v>68</v>
      </c>
    </row>
    <row r="83" spans="1:22" x14ac:dyDescent="0.2">
      <c r="A83" s="126"/>
      <c r="B83" s="35">
        <v>3639</v>
      </c>
      <c r="C83" s="35">
        <v>319.20999999999998</v>
      </c>
      <c r="D83" s="373" t="s">
        <v>262</v>
      </c>
      <c r="E83" s="41">
        <f>21+69</f>
        <v>90</v>
      </c>
      <c r="F83" s="17"/>
      <c r="G83" s="51">
        <f t="shared" si="39"/>
        <v>90</v>
      </c>
      <c r="H83" s="354"/>
      <c r="I83" s="171"/>
      <c r="J83" s="55">
        <f t="shared" si="36"/>
        <v>90</v>
      </c>
      <c r="K83" s="58"/>
      <c r="L83" s="57">
        <f t="shared" si="37"/>
        <v>90</v>
      </c>
      <c r="M83" s="41">
        <f>4.043</f>
        <v>4.0430000000000001</v>
      </c>
      <c r="N83" s="17"/>
      <c r="O83" s="51">
        <f t="shared" si="40"/>
        <v>4.0430000000000001</v>
      </c>
      <c r="P83" s="57">
        <f t="shared" si="41"/>
        <v>4.4922222222222228</v>
      </c>
      <c r="Q83" s="346">
        <f t="shared" si="38"/>
        <v>85.956999999999994</v>
      </c>
      <c r="R83" s="57"/>
      <c r="S83" s="171"/>
      <c r="T83" s="382">
        <f t="shared" si="42"/>
        <v>90</v>
      </c>
      <c r="U83" s="376" t="s">
        <v>314</v>
      </c>
      <c r="V83" s="274" t="s">
        <v>68</v>
      </c>
    </row>
    <row r="84" spans="1:22" x14ac:dyDescent="0.2">
      <c r="A84" s="125">
        <v>37</v>
      </c>
      <c r="B84" s="24"/>
      <c r="C84" s="24"/>
      <c r="D84" s="372" t="s">
        <v>114</v>
      </c>
      <c r="E84" s="52">
        <f t="shared" ref="E84:L84" si="43">SUM(E85:E94)</f>
        <v>13484</v>
      </c>
      <c r="F84" s="53">
        <f t="shared" si="43"/>
        <v>1155</v>
      </c>
      <c r="G84" s="54">
        <f t="shared" si="43"/>
        <v>14639</v>
      </c>
      <c r="H84" s="167">
        <f t="shared" si="43"/>
        <v>-492.06133</v>
      </c>
      <c r="I84" s="168">
        <f t="shared" si="43"/>
        <v>-695</v>
      </c>
      <c r="J84" s="52">
        <f t="shared" si="43"/>
        <v>12991.93867</v>
      </c>
      <c r="K84" s="53">
        <f t="shared" si="43"/>
        <v>460</v>
      </c>
      <c r="L84" s="54">
        <f t="shared" si="43"/>
        <v>13451.93867</v>
      </c>
      <c r="M84" s="52">
        <f>SUM(M85:M94)</f>
        <v>11877.325219999999</v>
      </c>
      <c r="N84" s="53">
        <f>SUM(N85:N94)</f>
        <v>284.17</v>
      </c>
      <c r="O84" s="54">
        <f>SUM(O85:O94)</f>
        <v>12161.495219999997</v>
      </c>
      <c r="P84" s="54">
        <f t="shared" si="41"/>
        <v>90.40700763171111</v>
      </c>
      <c r="Q84" s="347">
        <f>SUM(Q85:Q94)</f>
        <v>1290.4434499999995</v>
      </c>
      <c r="R84" s="54"/>
      <c r="S84" s="168">
        <f>SUM(S85:S94)</f>
        <v>0</v>
      </c>
      <c r="T84" s="383">
        <f>SUM(T85:T94)</f>
        <v>12490</v>
      </c>
      <c r="U84" s="49"/>
      <c r="V84" s="67"/>
    </row>
    <row r="85" spans="1:22" x14ac:dyDescent="0.2">
      <c r="A85" s="124"/>
      <c r="B85" s="29">
        <v>3722</v>
      </c>
      <c r="C85" s="29">
        <v>240</v>
      </c>
      <c r="D85" s="184" t="s">
        <v>77</v>
      </c>
      <c r="E85" s="41">
        <v>5973</v>
      </c>
      <c r="F85" s="17"/>
      <c r="G85" s="51">
        <f t="shared" ref="G85:G94" si="44">E85+F85</f>
        <v>5973</v>
      </c>
      <c r="H85" s="163">
        <v>170</v>
      </c>
      <c r="I85" s="164"/>
      <c r="J85" s="41">
        <f t="shared" ref="J85:J94" si="45">E85+H85</f>
        <v>6143</v>
      </c>
      <c r="K85" s="17"/>
      <c r="L85" s="51">
        <f t="shared" ref="L85:L94" si="46">SUM(J85:K85)</f>
        <v>6143</v>
      </c>
      <c r="M85" s="41">
        <v>6100.5228800000004</v>
      </c>
      <c r="N85" s="17"/>
      <c r="O85" s="51">
        <f t="shared" ref="O85:O94" si="47">M85+N85</f>
        <v>6100.5228800000004</v>
      </c>
      <c r="P85" s="51">
        <f t="shared" si="41"/>
        <v>99.30852808074232</v>
      </c>
      <c r="Q85" s="346">
        <f t="shared" ref="Q85:Q94" si="48">L85-O85</f>
        <v>42.477119999999559</v>
      </c>
      <c r="R85" s="51"/>
      <c r="S85" s="164"/>
      <c r="T85" s="382">
        <f>L85-S85</f>
        <v>6143</v>
      </c>
      <c r="U85" s="285" t="s">
        <v>319</v>
      </c>
      <c r="V85" s="272" t="s">
        <v>198</v>
      </c>
    </row>
    <row r="86" spans="1:22" x14ac:dyDescent="0.2">
      <c r="A86" s="124"/>
      <c r="B86" s="29">
        <v>3722</v>
      </c>
      <c r="C86" s="29">
        <v>5110</v>
      </c>
      <c r="D86" s="184" t="s">
        <v>275</v>
      </c>
      <c r="E86" s="41">
        <f>300+607</f>
        <v>907</v>
      </c>
      <c r="F86" s="17"/>
      <c r="G86" s="51">
        <f t="shared" si="44"/>
        <v>907</v>
      </c>
      <c r="H86" s="169"/>
      <c r="I86" s="164"/>
      <c r="J86" s="41">
        <f t="shared" si="45"/>
        <v>907</v>
      </c>
      <c r="K86" s="17"/>
      <c r="L86" s="51">
        <f t="shared" si="46"/>
        <v>907</v>
      </c>
      <c r="M86" s="41">
        <v>874.59657000000004</v>
      </c>
      <c r="N86" s="17"/>
      <c r="O86" s="51">
        <f t="shared" si="47"/>
        <v>874.59657000000004</v>
      </c>
      <c r="P86" s="51">
        <f t="shared" si="41"/>
        <v>96.427405733186333</v>
      </c>
      <c r="Q86" s="346">
        <f t="shared" si="48"/>
        <v>32.403429999999958</v>
      </c>
      <c r="R86" s="51"/>
      <c r="S86" s="164"/>
      <c r="T86" s="382">
        <f>L86-S86</f>
        <v>907</v>
      </c>
      <c r="U86" s="285" t="s">
        <v>319</v>
      </c>
      <c r="V86" s="272" t="s">
        <v>198</v>
      </c>
    </row>
    <row r="87" spans="1:22" x14ac:dyDescent="0.2">
      <c r="A87" s="124"/>
      <c r="B87" s="29">
        <v>3722</v>
      </c>
      <c r="C87" s="29">
        <v>250</v>
      </c>
      <c r="D87" s="374" t="s">
        <v>342</v>
      </c>
      <c r="E87" s="41">
        <v>45</v>
      </c>
      <c r="F87" s="17">
        <v>55</v>
      </c>
      <c r="G87" s="51">
        <f t="shared" si="44"/>
        <v>100</v>
      </c>
      <c r="H87" s="163">
        <f>-18.06133-5</f>
        <v>-23.061330000000002</v>
      </c>
      <c r="I87" s="164">
        <v>5</v>
      </c>
      <c r="J87" s="41">
        <f t="shared" si="45"/>
        <v>21.938669999999998</v>
      </c>
      <c r="K87" s="17">
        <f>F87+I87</f>
        <v>60</v>
      </c>
      <c r="L87" s="51">
        <f t="shared" si="46"/>
        <v>81.938670000000002</v>
      </c>
      <c r="M87" s="41">
        <f>83.116-N87</f>
        <v>22.737000000000002</v>
      </c>
      <c r="N87" s="17">
        <v>60.378999999999998</v>
      </c>
      <c r="O87" s="51">
        <f t="shared" si="47"/>
        <v>83.116</v>
      </c>
      <c r="P87" s="51">
        <f t="shared" ref="P87:P93" si="49">O87/$L87*100</f>
        <v>101.43684294607174</v>
      </c>
      <c r="Q87" s="346">
        <f t="shared" si="48"/>
        <v>-1.1773299999999978</v>
      </c>
      <c r="R87" s="353" t="s">
        <v>423</v>
      </c>
      <c r="S87" s="164"/>
      <c r="T87" s="382"/>
      <c r="U87" s="285" t="s">
        <v>319</v>
      </c>
      <c r="V87" s="272" t="s">
        <v>303</v>
      </c>
    </row>
    <row r="88" spans="1:22" x14ac:dyDescent="0.2">
      <c r="A88" s="124"/>
      <c r="B88" s="29">
        <v>3722</v>
      </c>
      <c r="C88" s="29">
        <v>252</v>
      </c>
      <c r="D88" s="184" t="s">
        <v>360</v>
      </c>
      <c r="E88" s="41">
        <v>230</v>
      </c>
      <c r="F88" s="17"/>
      <c r="G88" s="51">
        <f t="shared" si="44"/>
        <v>230</v>
      </c>
      <c r="H88" s="163"/>
      <c r="I88" s="164"/>
      <c r="J88" s="41">
        <f>E88+H88</f>
        <v>230</v>
      </c>
      <c r="K88" s="17"/>
      <c r="L88" s="51">
        <f>SUM(J88:K88)</f>
        <v>230</v>
      </c>
      <c r="M88" s="41">
        <v>267.88432</v>
      </c>
      <c r="N88" s="17"/>
      <c r="O88" s="51">
        <f t="shared" si="47"/>
        <v>267.88432</v>
      </c>
      <c r="P88" s="51">
        <f t="shared" si="49"/>
        <v>116.47144347826087</v>
      </c>
      <c r="Q88" s="346">
        <f t="shared" si="48"/>
        <v>-37.884320000000002</v>
      </c>
      <c r="R88" s="51" t="s">
        <v>418</v>
      </c>
      <c r="S88" s="164"/>
      <c r="T88" s="382"/>
      <c r="U88" s="285" t="s">
        <v>319</v>
      </c>
      <c r="V88" s="272" t="s">
        <v>303</v>
      </c>
    </row>
    <row r="89" spans="1:22" x14ac:dyDescent="0.2">
      <c r="A89" s="124"/>
      <c r="B89" s="29">
        <v>3745</v>
      </c>
      <c r="C89" s="29">
        <v>241</v>
      </c>
      <c r="D89" s="184" t="s">
        <v>78</v>
      </c>
      <c r="E89" s="41">
        <f>2026+1653</f>
        <v>3679</v>
      </c>
      <c r="F89" s="17"/>
      <c r="G89" s="51">
        <f t="shared" si="44"/>
        <v>3679</v>
      </c>
      <c r="H89" s="169">
        <v>-210</v>
      </c>
      <c r="I89" s="164"/>
      <c r="J89" s="41">
        <f>E89+H89</f>
        <v>3469</v>
      </c>
      <c r="K89" s="17"/>
      <c r="L89" s="51">
        <f>SUM(J89:K89)</f>
        <v>3469</v>
      </c>
      <c r="M89" s="41">
        <v>3173.4918400000001</v>
      </c>
      <c r="N89" s="17"/>
      <c r="O89" s="51">
        <f t="shared" si="47"/>
        <v>3173.4918400000001</v>
      </c>
      <c r="P89" s="51">
        <f t="shared" si="49"/>
        <v>91.481459786682038</v>
      </c>
      <c r="Q89" s="346">
        <f t="shared" si="48"/>
        <v>295.50815999999986</v>
      </c>
      <c r="R89" s="51"/>
      <c r="S89" s="164"/>
      <c r="T89" s="382">
        <f>L89-S89</f>
        <v>3469</v>
      </c>
      <c r="U89" s="285" t="s">
        <v>280</v>
      </c>
      <c r="V89" s="272" t="s">
        <v>198</v>
      </c>
    </row>
    <row r="90" spans="1:22" x14ac:dyDescent="0.2">
      <c r="A90" s="124"/>
      <c r="B90" s="29">
        <v>3745</v>
      </c>
      <c r="C90" s="29">
        <v>242</v>
      </c>
      <c r="D90" s="184" t="s">
        <v>239</v>
      </c>
      <c r="E90" s="41">
        <v>460</v>
      </c>
      <c r="F90" s="17"/>
      <c r="G90" s="51">
        <f t="shared" si="44"/>
        <v>460</v>
      </c>
      <c r="H90" s="165"/>
      <c r="I90" s="164"/>
      <c r="J90" s="41">
        <f>E90+H90</f>
        <v>460</v>
      </c>
      <c r="K90" s="17"/>
      <c r="L90" s="51">
        <f>SUM(J90:K90)</f>
        <v>460</v>
      </c>
      <c r="M90" s="41">
        <v>445.59600999999998</v>
      </c>
      <c r="N90" s="17"/>
      <c r="O90" s="51">
        <f t="shared" si="47"/>
        <v>445.59600999999998</v>
      </c>
      <c r="P90" s="51">
        <f t="shared" si="49"/>
        <v>96.868697826086944</v>
      </c>
      <c r="Q90" s="346">
        <f t="shared" si="48"/>
        <v>14.403990000000022</v>
      </c>
      <c r="R90" s="51"/>
      <c r="S90" s="164"/>
      <c r="T90" s="382">
        <f>L90-S90</f>
        <v>460</v>
      </c>
      <c r="U90" s="285" t="s">
        <v>280</v>
      </c>
      <c r="V90" s="272" t="s">
        <v>198</v>
      </c>
    </row>
    <row r="91" spans="1:22" x14ac:dyDescent="0.2">
      <c r="A91" s="124"/>
      <c r="B91" s="29">
        <v>3745</v>
      </c>
      <c r="C91" s="29">
        <v>244</v>
      </c>
      <c r="D91" s="374" t="s">
        <v>292</v>
      </c>
      <c r="E91" s="41">
        <v>40</v>
      </c>
      <c r="F91" s="17"/>
      <c r="G91" s="51">
        <f t="shared" si="44"/>
        <v>40</v>
      </c>
      <c r="H91" s="169"/>
      <c r="I91" s="164"/>
      <c r="J91" s="41">
        <f>E91+H91</f>
        <v>40</v>
      </c>
      <c r="K91" s="17"/>
      <c r="L91" s="51">
        <f>SUM(J91:K91)</f>
        <v>40</v>
      </c>
      <c r="M91" s="41">
        <v>29.207830000000001</v>
      </c>
      <c r="N91" s="17"/>
      <c r="O91" s="51">
        <f t="shared" si="47"/>
        <v>29.207830000000001</v>
      </c>
      <c r="P91" s="51">
        <f t="shared" si="49"/>
        <v>73.019575000000003</v>
      </c>
      <c r="Q91" s="346">
        <f t="shared" si="48"/>
        <v>10.792169999999999</v>
      </c>
      <c r="R91" s="353" t="s">
        <v>293</v>
      </c>
      <c r="S91" s="164"/>
      <c r="T91" s="382">
        <f>L91-S91</f>
        <v>40</v>
      </c>
      <c r="U91" s="285" t="s">
        <v>280</v>
      </c>
      <c r="V91" s="272" t="s">
        <v>303</v>
      </c>
    </row>
    <row r="92" spans="1:22" x14ac:dyDescent="0.2">
      <c r="A92" s="124"/>
      <c r="B92" s="29">
        <v>3745</v>
      </c>
      <c r="C92" s="29">
        <v>251</v>
      </c>
      <c r="D92" s="374" t="s">
        <v>357</v>
      </c>
      <c r="E92" s="41">
        <v>650</v>
      </c>
      <c r="F92" s="17"/>
      <c r="G92" s="51">
        <f t="shared" si="44"/>
        <v>650</v>
      </c>
      <c r="H92" s="169"/>
      <c r="I92" s="164"/>
      <c r="J92" s="41">
        <f>E92+H92</f>
        <v>650</v>
      </c>
      <c r="K92" s="17"/>
      <c r="L92" s="51">
        <f>SUM(J92:K92)</f>
        <v>650</v>
      </c>
      <c r="M92" s="41">
        <v>549.11767999999995</v>
      </c>
      <c r="N92" s="17"/>
      <c r="O92" s="51">
        <f t="shared" si="47"/>
        <v>549.11767999999995</v>
      </c>
      <c r="P92" s="51">
        <f t="shared" si="49"/>
        <v>84.479643076923068</v>
      </c>
      <c r="Q92" s="346">
        <f t="shared" si="48"/>
        <v>100.88232000000005</v>
      </c>
      <c r="R92" s="353" t="s">
        <v>293</v>
      </c>
      <c r="S92" s="164"/>
      <c r="T92" s="382"/>
      <c r="U92" s="285" t="s">
        <v>280</v>
      </c>
      <c r="V92" s="272" t="s">
        <v>303</v>
      </c>
    </row>
    <row r="93" spans="1:22" x14ac:dyDescent="0.2">
      <c r="A93" s="124"/>
      <c r="B93" s="29">
        <v>3745</v>
      </c>
      <c r="C93" s="29">
        <v>246</v>
      </c>
      <c r="D93" s="184" t="s">
        <v>277</v>
      </c>
      <c r="E93" s="41">
        <f>1200+300</f>
        <v>1500</v>
      </c>
      <c r="F93" s="17">
        <f>800+300</f>
        <v>1100</v>
      </c>
      <c r="G93" s="51">
        <f t="shared" si="44"/>
        <v>2600</v>
      </c>
      <c r="H93" s="169">
        <v>-429</v>
      </c>
      <c r="I93" s="164">
        <f>500-500-700</f>
        <v>-700</v>
      </c>
      <c r="J93" s="41">
        <f t="shared" si="45"/>
        <v>1071</v>
      </c>
      <c r="K93" s="17">
        <f>F93+I93</f>
        <v>400</v>
      </c>
      <c r="L93" s="51">
        <f t="shared" si="46"/>
        <v>1471</v>
      </c>
      <c r="M93" s="41">
        <f>46.75+367.29606</f>
        <v>414.04606000000001</v>
      </c>
      <c r="N93" s="17">
        <v>223.791</v>
      </c>
      <c r="O93" s="51">
        <f t="shared" si="47"/>
        <v>637.83706000000006</v>
      </c>
      <c r="P93" s="51">
        <f t="shared" si="49"/>
        <v>43.360779061862679</v>
      </c>
      <c r="Q93" s="346">
        <f t="shared" si="48"/>
        <v>833.16293999999994</v>
      </c>
      <c r="R93" s="51"/>
      <c r="S93" s="164"/>
      <c r="T93" s="382">
        <f>L93-S93</f>
        <v>1471</v>
      </c>
      <c r="U93" s="287" t="s">
        <v>373</v>
      </c>
      <c r="V93" s="272" t="s">
        <v>303</v>
      </c>
    </row>
    <row r="94" spans="1:22" x14ac:dyDescent="0.2">
      <c r="A94" s="126"/>
      <c r="B94" s="35">
        <v>3745</v>
      </c>
      <c r="C94" s="35">
        <v>1544</v>
      </c>
      <c r="D94" s="373" t="s">
        <v>283</v>
      </c>
      <c r="E94" s="55"/>
      <c r="F94" s="58"/>
      <c r="G94" s="57">
        <f t="shared" si="44"/>
        <v>0</v>
      </c>
      <c r="H94" s="174"/>
      <c r="I94" s="171"/>
      <c r="J94" s="55">
        <f t="shared" si="45"/>
        <v>0</v>
      </c>
      <c r="K94" s="58"/>
      <c r="L94" s="57">
        <f t="shared" si="46"/>
        <v>0</v>
      </c>
      <c r="M94" s="55">
        <f>0.09444+0.03059</f>
        <v>0.12503</v>
      </c>
      <c r="N94" s="58"/>
      <c r="O94" s="57">
        <f t="shared" si="47"/>
        <v>0.12503</v>
      </c>
      <c r="P94" s="57"/>
      <c r="Q94" s="346">
        <f t="shared" si="48"/>
        <v>-0.12503</v>
      </c>
      <c r="R94" s="425"/>
      <c r="S94" s="164"/>
      <c r="T94" s="382">
        <f>L94-S94</f>
        <v>0</v>
      </c>
      <c r="U94" s="56"/>
      <c r="V94" s="51"/>
    </row>
    <row r="95" spans="1:22" x14ac:dyDescent="0.2">
      <c r="A95" s="82">
        <v>43</v>
      </c>
      <c r="B95" s="32">
        <v>4300</v>
      </c>
      <c r="C95" s="32"/>
      <c r="D95" s="364" t="s">
        <v>79</v>
      </c>
      <c r="E95" s="49">
        <f t="shared" ref="E95:L95" si="50">SUM(E96:E99)</f>
        <v>6227</v>
      </c>
      <c r="F95" s="19">
        <f t="shared" si="50"/>
        <v>1250</v>
      </c>
      <c r="G95" s="50">
        <f t="shared" si="50"/>
        <v>7477</v>
      </c>
      <c r="H95" s="172">
        <f t="shared" si="50"/>
        <v>8562.0079999999998</v>
      </c>
      <c r="I95" s="173">
        <f t="shared" si="50"/>
        <v>-100</v>
      </c>
      <c r="J95" s="49">
        <f t="shared" si="50"/>
        <v>14789.008</v>
      </c>
      <c r="K95" s="19">
        <f t="shared" si="50"/>
        <v>1150</v>
      </c>
      <c r="L95" s="50">
        <f t="shared" si="50"/>
        <v>15939.008</v>
      </c>
      <c r="M95" s="49">
        <f>SUM(M96:M99)</f>
        <v>14117.96659</v>
      </c>
      <c r="N95" s="19">
        <f>SUM(N96:N99)</f>
        <v>1103.2470000000001</v>
      </c>
      <c r="O95" s="50">
        <f>SUM(O96:O99)</f>
        <v>15221.213589999999</v>
      </c>
      <c r="P95" s="50">
        <f t="shared" ref="P95:P101" si="51">O95/$L95*100</f>
        <v>95.496618045489399</v>
      </c>
      <c r="Q95" s="347">
        <f>SUM(Q96:Q99)</f>
        <v>717.79441000000043</v>
      </c>
      <c r="R95" s="50"/>
      <c r="S95" s="173">
        <f>SUM(S96:S99)</f>
        <v>0</v>
      </c>
      <c r="T95" s="385">
        <f>SUM(T96:T99)</f>
        <v>15839.008</v>
      </c>
      <c r="U95" s="52"/>
      <c r="V95" s="277"/>
    </row>
    <row r="96" spans="1:22" x14ac:dyDescent="0.2">
      <c r="A96" s="124"/>
      <c r="B96" s="29">
        <v>4349</v>
      </c>
      <c r="C96" s="29">
        <v>228</v>
      </c>
      <c r="D96" s="184" t="s">
        <v>207</v>
      </c>
      <c r="E96" s="17">
        <f>70+300</f>
        <v>370</v>
      </c>
      <c r="F96" s="17"/>
      <c r="G96" s="51">
        <f>E96+F96</f>
        <v>370</v>
      </c>
      <c r="H96" s="327"/>
      <c r="I96" s="164"/>
      <c r="J96" s="41">
        <f>E96+H96</f>
        <v>370</v>
      </c>
      <c r="K96" s="17"/>
      <c r="L96" s="51">
        <f>SUM(J96:K96)</f>
        <v>370</v>
      </c>
      <c r="M96" s="41">
        <v>79.340249999999997</v>
      </c>
      <c r="N96" s="17"/>
      <c r="O96" s="51">
        <f>M96+N96</f>
        <v>79.340249999999997</v>
      </c>
      <c r="P96" s="51">
        <f t="shared" si="51"/>
        <v>21.443310810810807</v>
      </c>
      <c r="Q96" s="346">
        <f>L96-O96</f>
        <v>290.65975000000003</v>
      </c>
      <c r="R96" s="51" t="s">
        <v>354</v>
      </c>
      <c r="S96" s="164"/>
      <c r="T96" s="382">
        <f>L96-S96</f>
        <v>370</v>
      </c>
      <c r="U96" s="56" t="s">
        <v>278</v>
      </c>
      <c r="V96" s="51" t="s">
        <v>297</v>
      </c>
    </row>
    <row r="97" spans="1:23" x14ac:dyDescent="0.2">
      <c r="A97" s="124"/>
      <c r="B97" s="29">
        <v>4351</v>
      </c>
      <c r="C97" s="29">
        <v>227</v>
      </c>
      <c r="D97" s="184" t="s">
        <v>39</v>
      </c>
      <c r="E97" s="41">
        <f>425+3964</f>
        <v>4389</v>
      </c>
      <c r="F97" s="17">
        <f>350+100</f>
        <v>450</v>
      </c>
      <c r="G97" s="51">
        <f>E97+F97</f>
        <v>4839</v>
      </c>
      <c r="H97" s="327">
        <f>200-90+100</f>
        <v>210</v>
      </c>
      <c r="I97" s="164">
        <v>-100</v>
      </c>
      <c r="J97" s="41">
        <f>E97+H97</f>
        <v>4599</v>
      </c>
      <c r="K97" s="17">
        <f>F97+I97</f>
        <v>350</v>
      </c>
      <c r="L97" s="51">
        <f>SUM(J97:K97)</f>
        <v>4949</v>
      </c>
      <c r="M97" s="41">
        <f>4566.24834-N97</f>
        <v>4218.61834</v>
      </c>
      <c r="N97" s="17">
        <v>347.63</v>
      </c>
      <c r="O97" s="51">
        <f>M97+N97</f>
        <v>4566.2483400000001</v>
      </c>
      <c r="P97" s="51">
        <f t="shared" si="51"/>
        <v>92.266080824408974</v>
      </c>
      <c r="Q97" s="346">
        <f>L97-O97</f>
        <v>382.7516599999999</v>
      </c>
      <c r="R97" s="51"/>
      <c r="S97" s="164"/>
      <c r="T97" s="382">
        <f>L97-S97</f>
        <v>4949</v>
      </c>
      <c r="U97" s="289" t="s">
        <v>162</v>
      </c>
      <c r="V97" s="166" t="s">
        <v>80</v>
      </c>
    </row>
    <row r="98" spans="1:23" x14ac:dyDescent="0.2">
      <c r="A98" s="124"/>
      <c r="B98" s="29">
        <v>4355</v>
      </c>
      <c r="C98" s="29">
        <v>307</v>
      </c>
      <c r="D98" s="184" t="s">
        <v>241</v>
      </c>
      <c r="E98" s="41">
        <f>712+756</f>
        <v>1468</v>
      </c>
      <c r="F98" s="17">
        <f>500+200</f>
        <v>700</v>
      </c>
      <c r="G98" s="51">
        <f>E98+F98</f>
        <v>2168</v>
      </c>
      <c r="H98" s="327">
        <f>5011.205+3340.803</f>
        <v>8352.0079999999998</v>
      </c>
      <c r="I98" s="164"/>
      <c r="J98" s="41">
        <f>E98+H98</f>
        <v>9820.0079999999998</v>
      </c>
      <c r="K98" s="17">
        <f>F98+I98</f>
        <v>700</v>
      </c>
      <c r="L98" s="51">
        <f>SUM(J98:K98)</f>
        <v>10520.008</v>
      </c>
      <c r="M98" s="41">
        <f>756+712+8352.008</f>
        <v>9820.0079999999998</v>
      </c>
      <c r="N98" s="17">
        <v>701.16700000000003</v>
      </c>
      <c r="O98" s="51">
        <f>M98+N98</f>
        <v>10521.174999999999</v>
      </c>
      <c r="P98" s="51">
        <f t="shared" si="51"/>
        <v>100.01109314745769</v>
      </c>
      <c r="Q98" s="346">
        <f>L98-O98</f>
        <v>-1.1669999999994616</v>
      </c>
      <c r="R98" s="51"/>
      <c r="S98" s="164"/>
      <c r="T98" s="382">
        <f>L98-S98</f>
        <v>10520.008</v>
      </c>
      <c r="U98" s="284" t="s">
        <v>200</v>
      </c>
      <c r="V98" s="270" t="s">
        <v>70</v>
      </c>
    </row>
    <row r="99" spans="1:23" ht="12.75" customHeight="1" x14ac:dyDescent="0.2">
      <c r="A99" s="124"/>
      <c r="B99" s="29">
        <v>4359</v>
      </c>
      <c r="C99" s="29">
        <v>226</v>
      </c>
      <c r="D99" s="374" t="s">
        <v>317</v>
      </c>
      <c r="E99" s="41"/>
      <c r="F99" s="17">
        <v>100</v>
      </c>
      <c r="G99" s="51">
        <f>E99+F99</f>
        <v>100</v>
      </c>
      <c r="H99" s="327"/>
      <c r="I99" s="164"/>
      <c r="J99" s="41">
        <f>E99+H99</f>
        <v>0</v>
      </c>
      <c r="K99" s="17">
        <f>F99+I99</f>
        <v>100</v>
      </c>
      <c r="L99" s="51">
        <f>SUM(J99:K99)</f>
        <v>100</v>
      </c>
      <c r="M99" s="41"/>
      <c r="N99" s="17">
        <v>54.45</v>
      </c>
      <c r="O99" s="51">
        <f>M99+N99</f>
        <v>54.45</v>
      </c>
      <c r="P99" s="51">
        <f t="shared" si="51"/>
        <v>54.449999999999996</v>
      </c>
      <c r="Q99" s="346">
        <f>L99-O99</f>
        <v>45.55</v>
      </c>
      <c r="R99" s="353" t="s">
        <v>421</v>
      </c>
      <c r="S99" s="164"/>
      <c r="T99" s="382"/>
      <c r="U99" s="285" t="s">
        <v>303</v>
      </c>
      <c r="V99" s="274" t="s">
        <v>116</v>
      </c>
    </row>
    <row r="100" spans="1:23" x14ac:dyDescent="0.2">
      <c r="A100" s="125">
        <v>53</v>
      </c>
      <c r="B100" s="24">
        <v>5300</v>
      </c>
      <c r="C100" s="24"/>
      <c r="D100" s="372" t="s">
        <v>103</v>
      </c>
      <c r="E100" s="52">
        <f t="shared" ref="E100:L100" si="52">SUM(E101:E104)</f>
        <v>3581</v>
      </c>
      <c r="F100" s="53">
        <f t="shared" si="52"/>
        <v>7079</v>
      </c>
      <c r="G100" s="54">
        <f t="shared" si="52"/>
        <v>10660</v>
      </c>
      <c r="H100" s="170">
        <f t="shared" si="52"/>
        <v>291.37223</v>
      </c>
      <c r="I100" s="168">
        <f t="shared" si="52"/>
        <v>0</v>
      </c>
      <c r="J100" s="52">
        <f t="shared" si="52"/>
        <v>3872.3722299999999</v>
      </c>
      <c r="K100" s="53">
        <f t="shared" si="52"/>
        <v>7079</v>
      </c>
      <c r="L100" s="54">
        <f t="shared" si="52"/>
        <v>10951.372230000001</v>
      </c>
      <c r="M100" s="52">
        <f>SUM(M101:M104)</f>
        <v>3533.9449299999997</v>
      </c>
      <c r="N100" s="53">
        <f>SUM(N101:N104)</f>
        <v>7077.3760000000002</v>
      </c>
      <c r="O100" s="54">
        <f>SUM(O101:O104)</f>
        <v>10611.32093</v>
      </c>
      <c r="P100" s="54">
        <f t="shared" si="51"/>
        <v>96.894897800401026</v>
      </c>
      <c r="Q100" s="347">
        <f>SUM(Q101:Q104)</f>
        <v>340.05130000000014</v>
      </c>
      <c r="R100" s="54"/>
      <c r="S100" s="168">
        <f>SUM(S101:S104)</f>
        <v>0</v>
      </c>
      <c r="T100" s="383">
        <f>SUM(T101:T104)</f>
        <v>10951.372230000001</v>
      </c>
      <c r="U100" s="52"/>
      <c r="V100" s="67"/>
    </row>
    <row r="101" spans="1:23" x14ac:dyDescent="0.2">
      <c r="A101" s="82"/>
      <c r="B101" s="29">
        <v>5272</v>
      </c>
      <c r="C101" s="33">
        <v>320</v>
      </c>
      <c r="D101" s="184" t="s">
        <v>137</v>
      </c>
      <c r="E101" s="41">
        <f>243</f>
        <v>243</v>
      </c>
      <c r="F101" s="17"/>
      <c r="G101" s="51">
        <f>E101+F101</f>
        <v>243</v>
      </c>
      <c r="H101" s="165">
        <v>-120</v>
      </c>
      <c r="I101" s="173"/>
      <c r="J101" s="41">
        <f>E101+H101</f>
        <v>123</v>
      </c>
      <c r="K101" s="17">
        <f>F101+I101</f>
        <v>0</v>
      </c>
      <c r="L101" s="51">
        <f>SUM(J101:K101)</f>
        <v>123</v>
      </c>
      <c r="M101" s="41">
        <v>76.590019999999996</v>
      </c>
      <c r="N101" s="17"/>
      <c r="O101" s="51">
        <f>M101+N101</f>
        <v>76.590019999999996</v>
      </c>
      <c r="P101" s="51">
        <f t="shared" si="51"/>
        <v>62.268308943089423</v>
      </c>
      <c r="Q101" s="346">
        <f>L101-O101</f>
        <v>46.409980000000004</v>
      </c>
      <c r="R101" s="51"/>
      <c r="S101" s="173"/>
      <c r="T101" s="382">
        <f>L101-S101</f>
        <v>123</v>
      </c>
      <c r="U101" s="308" t="s">
        <v>208</v>
      </c>
      <c r="V101" s="273" t="s">
        <v>429</v>
      </c>
    </row>
    <row r="102" spans="1:23" ht="13.5" customHeight="1" x14ac:dyDescent="0.2">
      <c r="A102" s="124"/>
      <c r="B102" s="29">
        <v>5311</v>
      </c>
      <c r="C102" s="29">
        <v>321</v>
      </c>
      <c r="D102" s="184" t="s">
        <v>81</v>
      </c>
      <c r="E102" s="41">
        <f>375+2104+25</f>
        <v>2504</v>
      </c>
      <c r="F102" s="17"/>
      <c r="G102" s="51">
        <f>E102+F102</f>
        <v>2504</v>
      </c>
      <c r="H102" s="169">
        <v>-110</v>
      </c>
      <c r="I102" s="164"/>
      <c r="J102" s="41">
        <f t="shared" ref="J102:K104" si="53">E102+H102</f>
        <v>2394</v>
      </c>
      <c r="K102" s="17">
        <f t="shared" si="53"/>
        <v>0</v>
      </c>
      <c r="L102" s="51">
        <f>SUM(J102:K102)</f>
        <v>2394</v>
      </c>
      <c r="M102" s="41">
        <v>2123.7552700000001</v>
      </c>
      <c r="N102" s="17"/>
      <c r="O102" s="51">
        <f>M102+N102</f>
        <v>2123.7552700000001</v>
      </c>
      <c r="P102" s="51">
        <f t="shared" ref="P102:P120" si="54">O102/$L102*100</f>
        <v>88.711581871345032</v>
      </c>
      <c r="Q102" s="346">
        <f>L102-O102</f>
        <v>270.24472999999989</v>
      </c>
      <c r="R102" s="51"/>
      <c r="S102" s="164"/>
      <c r="T102" s="382">
        <f>L102-S102</f>
        <v>2394</v>
      </c>
      <c r="U102" s="290" t="s">
        <v>157</v>
      </c>
      <c r="V102" s="273" t="s">
        <v>288</v>
      </c>
    </row>
    <row r="103" spans="1:23" ht="13.5" customHeight="1" x14ac:dyDescent="0.2">
      <c r="A103" s="124"/>
      <c r="B103" s="29">
        <v>5512</v>
      </c>
      <c r="C103" s="29">
        <v>224</v>
      </c>
      <c r="D103" s="184" t="s">
        <v>276</v>
      </c>
      <c r="E103" s="41">
        <v>450</v>
      </c>
      <c r="F103" s="17"/>
      <c r="G103" s="51">
        <f>E103+F103</f>
        <v>450</v>
      </c>
      <c r="H103" s="163">
        <v>100</v>
      </c>
      <c r="I103" s="164"/>
      <c r="J103" s="41">
        <f>E103+H103</f>
        <v>550</v>
      </c>
      <c r="K103" s="17"/>
      <c r="L103" s="51">
        <f>SUM(J103:K103)</f>
        <v>550</v>
      </c>
      <c r="M103" s="41">
        <v>499.64699999999999</v>
      </c>
      <c r="N103" s="17"/>
      <c r="O103" s="51">
        <f>M103+N103</f>
        <v>499.64699999999999</v>
      </c>
      <c r="P103" s="51">
        <f t="shared" si="54"/>
        <v>90.844909090909084</v>
      </c>
      <c r="Q103" s="346">
        <f>L103-O103</f>
        <v>50.353000000000009</v>
      </c>
      <c r="R103" s="51" t="s">
        <v>418</v>
      </c>
      <c r="S103" s="164"/>
      <c r="T103" s="382">
        <f>L103-S103</f>
        <v>550</v>
      </c>
      <c r="U103" s="285" t="s">
        <v>158</v>
      </c>
      <c r="V103" s="272" t="s">
        <v>116</v>
      </c>
    </row>
    <row r="104" spans="1:23" x14ac:dyDescent="0.2">
      <c r="A104" s="124"/>
      <c r="B104" s="29">
        <v>5512</v>
      </c>
      <c r="C104" s="29">
        <v>223</v>
      </c>
      <c r="D104" s="184" t="s">
        <v>193</v>
      </c>
      <c r="E104" s="41">
        <v>384</v>
      </c>
      <c r="F104" s="17">
        <f>6329+750</f>
        <v>7079</v>
      </c>
      <c r="G104" s="51">
        <f>E104+F104</f>
        <v>7463</v>
      </c>
      <c r="H104" s="169">
        <f>150+38.33523+32+42.037+159</f>
        <v>421.37223</v>
      </c>
      <c r="I104" s="164"/>
      <c r="J104" s="41">
        <f t="shared" si="53"/>
        <v>805.37222999999994</v>
      </c>
      <c r="K104" s="17">
        <f t="shared" si="53"/>
        <v>7079</v>
      </c>
      <c r="L104" s="51">
        <f>SUM(J104:K104)</f>
        <v>7884.3722299999999</v>
      </c>
      <c r="M104" s="41">
        <f>7911.32864-N104</f>
        <v>833.95263999999952</v>
      </c>
      <c r="N104" s="17">
        <f>749.197+6328.179</f>
        <v>7077.3760000000002</v>
      </c>
      <c r="O104" s="51">
        <f>M104+N104</f>
        <v>7911.3286399999997</v>
      </c>
      <c r="P104" s="51">
        <f t="shared" si="54"/>
        <v>100.34189671940439</v>
      </c>
      <c r="Q104" s="346">
        <f>L104-O104</f>
        <v>-26.956409999999778</v>
      </c>
      <c r="R104" s="51"/>
      <c r="S104" s="164"/>
      <c r="T104" s="382">
        <f>L104-S104</f>
        <v>7884.3722299999999</v>
      </c>
      <c r="U104" s="59" t="s">
        <v>159</v>
      </c>
      <c r="V104" s="377" t="s">
        <v>288</v>
      </c>
    </row>
    <row r="105" spans="1:23" x14ac:dyDescent="0.2">
      <c r="A105" s="125">
        <v>61</v>
      </c>
      <c r="B105" s="24">
        <v>6100</v>
      </c>
      <c r="C105" s="24"/>
      <c r="D105" s="372" t="s">
        <v>82</v>
      </c>
      <c r="E105" s="52">
        <f t="shared" ref="E105:L105" si="55">SUM(E106:E111)</f>
        <v>57080</v>
      </c>
      <c r="F105" s="53">
        <f t="shared" si="55"/>
        <v>2175</v>
      </c>
      <c r="G105" s="54">
        <f t="shared" si="55"/>
        <v>59255</v>
      </c>
      <c r="H105" s="167">
        <f t="shared" si="55"/>
        <v>3908.74287</v>
      </c>
      <c r="I105" s="168">
        <f t="shared" si="55"/>
        <v>50</v>
      </c>
      <c r="J105" s="52">
        <f t="shared" si="55"/>
        <v>60988.742870000002</v>
      </c>
      <c r="K105" s="53">
        <f t="shared" si="55"/>
        <v>2225</v>
      </c>
      <c r="L105" s="54">
        <f t="shared" si="55"/>
        <v>63213.742870000002</v>
      </c>
      <c r="M105" s="52">
        <f>SUM(M106:M111)</f>
        <v>57040.123210000005</v>
      </c>
      <c r="N105" s="53">
        <f>SUM(N106:N111)</f>
        <v>2083.34665</v>
      </c>
      <c r="O105" s="54">
        <f>SUM(O106:O111)</f>
        <v>59123.469860000005</v>
      </c>
      <c r="P105" s="54">
        <f t="shared" si="54"/>
        <v>93.529456057661847</v>
      </c>
      <c r="Q105" s="347">
        <f>SUM(Q106:Q111)</f>
        <v>4090.2730100000022</v>
      </c>
      <c r="R105" s="54"/>
      <c r="S105" s="168">
        <f>SUM(S106:S111)</f>
        <v>0</v>
      </c>
      <c r="T105" s="383">
        <f>SUM(T106:T111)</f>
        <v>59057.72</v>
      </c>
      <c r="U105" s="286"/>
      <c r="V105" s="67"/>
    </row>
    <row r="106" spans="1:23" x14ac:dyDescent="0.2">
      <c r="A106" s="124"/>
      <c r="B106" s="29">
        <v>6112</v>
      </c>
      <c r="C106" s="29">
        <v>314</v>
      </c>
      <c r="D106" s="184" t="s">
        <v>83</v>
      </c>
      <c r="E106" s="41">
        <f>60+2552</f>
        <v>2612</v>
      </c>
      <c r="F106" s="17"/>
      <c r="G106" s="51">
        <f t="shared" ref="G106:G111" si="56">E106+F106</f>
        <v>2612</v>
      </c>
      <c r="H106" s="169">
        <v>435</v>
      </c>
      <c r="I106" s="164"/>
      <c r="J106" s="41">
        <f>E106+H106</f>
        <v>3047</v>
      </c>
      <c r="K106" s="17"/>
      <c r="L106" s="51">
        <f t="shared" ref="L106:L111" si="57">SUM(J106:K106)</f>
        <v>3047</v>
      </c>
      <c r="M106" s="41">
        <v>3022.6219999999998</v>
      </c>
      <c r="N106" s="17"/>
      <c r="O106" s="51">
        <f t="shared" ref="O106:O111" si="58">M106+N106</f>
        <v>3022.6219999999998</v>
      </c>
      <c r="P106" s="51">
        <f t="shared" si="54"/>
        <v>99.199934361667204</v>
      </c>
      <c r="Q106" s="346">
        <f t="shared" ref="Q106:Q111" si="59">L106-O106</f>
        <v>24.378000000000156</v>
      </c>
      <c r="R106" s="51"/>
      <c r="S106" s="164"/>
      <c r="T106" s="382">
        <f>L106-S106</f>
        <v>3047</v>
      </c>
      <c r="U106" s="282" t="s">
        <v>288</v>
      </c>
      <c r="V106" s="273" t="s">
        <v>429</v>
      </c>
    </row>
    <row r="107" spans="1:23" x14ac:dyDescent="0.2">
      <c r="A107" s="124"/>
      <c r="B107" s="29">
        <v>6118</v>
      </c>
      <c r="C107" s="29">
        <v>110</v>
      </c>
      <c r="D107" s="184" t="s">
        <v>409</v>
      </c>
      <c r="E107" s="41">
        <v>200</v>
      </c>
      <c r="F107" s="17"/>
      <c r="G107" s="51">
        <f t="shared" si="56"/>
        <v>200</v>
      </c>
      <c r="H107" s="169">
        <f>240+73.892</f>
        <v>313.892</v>
      </c>
      <c r="I107" s="164"/>
      <c r="J107" s="41">
        <f>E107+H107</f>
        <v>513.89200000000005</v>
      </c>
      <c r="K107" s="17"/>
      <c r="L107" s="51">
        <f t="shared" si="57"/>
        <v>513.89200000000005</v>
      </c>
      <c r="M107" s="41">
        <f>319.292+199.708</f>
        <v>519</v>
      </c>
      <c r="N107" s="17"/>
      <c r="O107" s="51">
        <f t="shared" si="58"/>
        <v>519</v>
      </c>
      <c r="P107" s="51">
        <f>O107/$L107*100</f>
        <v>100.99398317156133</v>
      </c>
      <c r="Q107" s="346">
        <f t="shared" si="59"/>
        <v>-5.1079999999999472</v>
      </c>
      <c r="R107" s="51"/>
      <c r="S107" s="164"/>
      <c r="T107" s="382"/>
      <c r="U107" s="282"/>
      <c r="V107" s="273" t="s">
        <v>375</v>
      </c>
    </row>
    <row r="108" spans="1:23" x14ac:dyDescent="0.2">
      <c r="A108" s="124"/>
      <c r="B108" s="29">
        <v>6171</v>
      </c>
      <c r="C108" s="29">
        <v>314</v>
      </c>
      <c r="D108" s="184" t="s">
        <v>97</v>
      </c>
      <c r="E108" s="41">
        <v>50098</v>
      </c>
      <c r="F108" s="17">
        <v>2175</v>
      </c>
      <c r="G108" s="51">
        <f t="shared" si="56"/>
        <v>52273</v>
      </c>
      <c r="H108" s="165">
        <f>217.72+24.45+88+687.5+40.05</f>
        <v>1057.72</v>
      </c>
      <c r="I108" s="166">
        <v>50</v>
      </c>
      <c r="J108" s="41">
        <f t="shared" ref="J108:K111" si="60">E108+H108</f>
        <v>51155.72</v>
      </c>
      <c r="K108" s="17">
        <f t="shared" si="60"/>
        <v>2225</v>
      </c>
      <c r="L108" s="51">
        <f t="shared" si="57"/>
        <v>53380.72</v>
      </c>
      <c r="M108" s="41">
        <f>50996.54453-N108</f>
        <v>48913.19788</v>
      </c>
      <c r="N108" s="17">
        <f>1571.0582+320.98+191.30845</f>
        <v>2083.34665</v>
      </c>
      <c r="O108" s="51">
        <f t="shared" si="58"/>
        <v>50996.544529999999</v>
      </c>
      <c r="P108" s="51">
        <f t="shared" si="54"/>
        <v>95.533639355182913</v>
      </c>
      <c r="Q108" s="346">
        <f t="shared" si="59"/>
        <v>2384.175470000002</v>
      </c>
      <c r="R108" s="51"/>
      <c r="S108" s="166"/>
      <c r="T108" s="382">
        <f>L108-S108</f>
        <v>53380.72</v>
      </c>
      <c r="U108" s="291" t="s">
        <v>183</v>
      </c>
      <c r="V108" s="67"/>
    </row>
    <row r="109" spans="1:23" x14ac:dyDescent="0.2">
      <c r="A109" s="124"/>
      <c r="B109" s="29">
        <v>6171</v>
      </c>
      <c r="C109" s="29">
        <v>3005</v>
      </c>
      <c r="D109" s="374" t="s">
        <v>322</v>
      </c>
      <c r="E109" s="41">
        <v>1275</v>
      </c>
      <c r="F109" s="17"/>
      <c r="G109" s="51">
        <f t="shared" si="56"/>
        <v>1275</v>
      </c>
      <c r="H109" s="165">
        <v>221.9</v>
      </c>
      <c r="I109" s="166"/>
      <c r="J109" s="41">
        <f>E109+H109</f>
        <v>1496.9</v>
      </c>
      <c r="K109" s="17"/>
      <c r="L109" s="51">
        <f t="shared" si="57"/>
        <v>1496.9</v>
      </c>
      <c r="M109" s="41">
        <v>1027.8205</v>
      </c>
      <c r="N109" s="17"/>
      <c r="O109" s="51">
        <f t="shared" si="58"/>
        <v>1027.8205</v>
      </c>
      <c r="P109" s="51">
        <f t="shared" si="54"/>
        <v>68.66327075956977</v>
      </c>
      <c r="Q109" s="346">
        <f t="shared" si="59"/>
        <v>469.07950000000005</v>
      </c>
      <c r="R109" s="353" t="s">
        <v>424</v>
      </c>
      <c r="S109" s="166"/>
      <c r="T109" s="382"/>
      <c r="U109" s="56" t="s">
        <v>278</v>
      </c>
      <c r="V109" s="272" t="s">
        <v>116</v>
      </c>
      <c r="W109" s="108" t="s">
        <v>413</v>
      </c>
    </row>
    <row r="110" spans="1:23" x14ac:dyDescent="0.2">
      <c r="A110" s="124"/>
      <c r="B110" s="29">
        <v>6171</v>
      </c>
      <c r="C110" s="29">
        <v>6206</v>
      </c>
      <c r="D110" s="374" t="s">
        <v>325</v>
      </c>
      <c r="E110" s="41">
        <v>2095</v>
      </c>
      <c r="F110" s="17"/>
      <c r="G110" s="51">
        <f t="shared" si="56"/>
        <v>2095</v>
      </c>
      <c r="H110" s="165">
        <v>50.230870000000003</v>
      </c>
      <c r="I110" s="166"/>
      <c r="J110" s="41">
        <f>E110+H110</f>
        <v>2145.2308699999999</v>
      </c>
      <c r="K110" s="17"/>
      <c r="L110" s="51">
        <f t="shared" si="57"/>
        <v>2145.2308699999999</v>
      </c>
      <c r="M110" s="41">
        <f>1136.45613</f>
        <v>1136.45613</v>
      </c>
      <c r="N110" s="17"/>
      <c r="O110" s="51">
        <f t="shared" si="58"/>
        <v>1136.45613</v>
      </c>
      <c r="P110" s="51">
        <f t="shared" si="54"/>
        <v>52.97593587211432</v>
      </c>
      <c r="Q110" s="346">
        <f t="shared" si="59"/>
        <v>1008.7747399999998</v>
      </c>
      <c r="R110" s="353" t="s">
        <v>326</v>
      </c>
      <c r="S110" s="166"/>
      <c r="T110" s="382"/>
      <c r="U110" s="56" t="s">
        <v>278</v>
      </c>
      <c r="V110" s="51" t="s">
        <v>297</v>
      </c>
    </row>
    <row r="111" spans="1:23" x14ac:dyDescent="0.2">
      <c r="A111" s="124"/>
      <c r="B111" s="29">
        <v>6171</v>
      </c>
      <c r="C111" s="29">
        <v>318</v>
      </c>
      <c r="D111" s="184" t="s">
        <v>237</v>
      </c>
      <c r="E111" s="41">
        <v>800</v>
      </c>
      <c r="F111" s="17"/>
      <c r="G111" s="51">
        <f t="shared" si="56"/>
        <v>800</v>
      </c>
      <c r="H111" s="165">
        <f>900+1200-270</f>
        <v>1830</v>
      </c>
      <c r="I111" s="166"/>
      <c r="J111" s="41">
        <f t="shared" si="60"/>
        <v>2630</v>
      </c>
      <c r="K111" s="17">
        <f t="shared" si="60"/>
        <v>0</v>
      </c>
      <c r="L111" s="51">
        <f t="shared" si="57"/>
        <v>2630</v>
      </c>
      <c r="M111" s="41">
        <v>2421.0266999999999</v>
      </c>
      <c r="N111" s="17"/>
      <c r="O111" s="51">
        <f t="shared" si="58"/>
        <v>2421.0266999999999</v>
      </c>
      <c r="P111" s="51">
        <f t="shared" si="54"/>
        <v>92.054247148288965</v>
      </c>
      <c r="Q111" s="346">
        <f t="shared" si="59"/>
        <v>208.97330000000011</v>
      </c>
      <c r="R111" s="51"/>
      <c r="S111" s="166"/>
      <c r="T111" s="382">
        <f>L111-S111</f>
        <v>2630</v>
      </c>
      <c r="U111" s="283" t="s">
        <v>158</v>
      </c>
      <c r="V111" s="274" t="s">
        <v>68</v>
      </c>
    </row>
    <row r="112" spans="1:23" x14ac:dyDescent="0.2">
      <c r="A112" s="125" t="s">
        <v>84</v>
      </c>
      <c r="B112" s="24">
        <v>6300</v>
      </c>
      <c r="C112" s="24"/>
      <c r="D112" s="372" t="s">
        <v>85</v>
      </c>
      <c r="E112" s="52">
        <f>SUM(E113:E119)</f>
        <v>5045</v>
      </c>
      <c r="F112" s="53">
        <f>SUM(F113:F119)</f>
        <v>700</v>
      </c>
      <c r="G112" s="54">
        <f>SUM(G113:G119)</f>
        <v>5745</v>
      </c>
      <c r="H112" s="167">
        <f t="shared" ref="H112:L112" si="61">SUM(H113:H119)</f>
        <v>-2542.7138699999996</v>
      </c>
      <c r="I112" s="168">
        <f t="shared" si="61"/>
        <v>-700</v>
      </c>
      <c r="J112" s="52">
        <f t="shared" si="61"/>
        <v>2502.28613</v>
      </c>
      <c r="K112" s="53">
        <f t="shared" si="61"/>
        <v>0</v>
      </c>
      <c r="L112" s="54">
        <f t="shared" si="61"/>
        <v>2502.28613</v>
      </c>
      <c r="M112" s="52">
        <f>SUM(M113:M119)</f>
        <v>1879.2448400000001</v>
      </c>
      <c r="N112" s="53">
        <f>SUM(N113:N119)</f>
        <v>0</v>
      </c>
      <c r="O112" s="54">
        <f>SUM(O113:O119)</f>
        <v>1879.2448400000001</v>
      </c>
      <c r="P112" s="54">
        <f t="shared" si="54"/>
        <v>75.101117233143924</v>
      </c>
      <c r="Q112" s="347">
        <f>SUM(Q113:Q119)</f>
        <v>623.04129000000046</v>
      </c>
      <c r="R112" s="54"/>
      <c r="S112" s="168">
        <f>SUM(S113:S119)</f>
        <v>0</v>
      </c>
      <c r="T112" s="383">
        <f>SUM(T113:T119)</f>
        <v>1848.6703200000002</v>
      </c>
      <c r="U112" s="286"/>
      <c r="V112" s="67"/>
    </row>
    <row r="113" spans="1:23" x14ac:dyDescent="0.2">
      <c r="A113" s="124"/>
      <c r="B113" s="29">
        <v>6320</v>
      </c>
      <c r="C113" s="29">
        <v>314</v>
      </c>
      <c r="D113" s="184" t="s">
        <v>194</v>
      </c>
      <c r="E113" s="41">
        <v>200</v>
      </c>
      <c r="F113" s="17"/>
      <c r="G113" s="51">
        <f t="shared" ref="G113:G119" si="62">E113+F113</f>
        <v>200</v>
      </c>
      <c r="H113" s="165"/>
      <c r="I113" s="164"/>
      <c r="J113" s="41">
        <f t="shared" ref="J113:J119" si="63">E113+H113</f>
        <v>200</v>
      </c>
      <c r="K113" s="17"/>
      <c r="L113" s="51">
        <f t="shared" ref="L113:L119" si="64">SUM(J113:K113)</f>
        <v>200</v>
      </c>
      <c r="M113" s="41">
        <v>153.16999999999999</v>
      </c>
      <c r="N113" s="17"/>
      <c r="O113" s="51">
        <f t="shared" ref="O113:O119" si="65">M113+N113</f>
        <v>153.16999999999999</v>
      </c>
      <c r="P113" s="51">
        <f t="shared" si="54"/>
        <v>76.584999999999994</v>
      </c>
      <c r="Q113" s="346">
        <f t="shared" ref="Q113:Q119" si="66">L113-O113</f>
        <v>46.830000000000013</v>
      </c>
      <c r="R113" s="51"/>
      <c r="S113" s="164"/>
      <c r="T113" s="382">
        <f>L113-S113</f>
        <v>200</v>
      </c>
      <c r="U113" s="287" t="s">
        <v>314</v>
      </c>
      <c r="V113" s="272" t="s">
        <v>68</v>
      </c>
    </row>
    <row r="114" spans="1:23" x14ac:dyDescent="0.2">
      <c r="A114" s="124"/>
      <c r="B114" s="29">
        <v>6399</v>
      </c>
      <c r="C114" s="29">
        <v>314</v>
      </c>
      <c r="D114" s="184" t="s">
        <v>238</v>
      </c>
      <c r="E114" s="41">
        <v>70</v>
      </c>
      <c r="F114" s="17"/>
      <c r="G114" s="51">
        <f t="shared" si="62"/>
        <v>70</v>
      </c>
      <c r="H114" s="165"/>
      <c r="I114" s="164"/>
      <c r="J114" s="41">
        <f t="shared" si="63"/>
        <v>70</v>
      </c>
      <c r="K114" s="17"/>
      <c r="L114" s="51">
        <f t="shared" si="64"/>
        <v>70</v>
      </c>
      <c r="M114" s="41">
        <v>64.814999999999998</v>
      </c>
      <c r="N114" s="17"/>
      <c r="O114" s="51">
        <f t="shared" si="65"/>
        <v>64.814999999999998</v>
      </c>
      <c r="P114" s="51">
        <f t="shared" si="54"/>
        <v>92.592857142857142</v>
      </c>
      <c r="Q114" s="346">
        <f t="shared" si="66"/>
        <v>5.1850000000000023</v>
      </c>
      <c r="R114" s="51"/>
      <c r="S114" s="164"/>
      <c r="T114" s="382">
        <f>L114-S114</f>
        <v>70</v>
      </c>
      <c r="U114" s="292" t="s">
        <v>70</v>
      </c>
      <c r="V114" s="273" t="s">
        <v>429</v>
      </c>
    </row>
    <row r="115" spans="1:23" x14ac:dyDescent="0.2">
      <c r="A115" s="124"/>
      <c r="B115" s="29">
        <v>6399</v>
      </c>
      <c r="C115" s="29">
        <v>315</v>
      </c>
      <c r="D115" s="184" t="s">
        <v>86</v>
      </c>
      <c r="E115" s="41">
        <v>2536</v>
      </c>
      <c r="F115" s="17"/>
      <c r="G115" s="51">
        <f t="shared" si="62"/>
        <v>2536</v>
      </c>
      <c r="H115" s="165"/>
      <c r="I115" s="164"/>
      <c r="J115" s="41">
        <f t="shared" si="63"/>
        <v>2536</v>
      </c>
      <c r="K115" s="17"/>
      <c r="L115" s="51">
        <f t="shared" si="64"/>
        <v>2536</v>
      </c>
      <c r="M115" s="41">
        <v>2535.7399999999998</v>
      </c>
      <c r="N115" s="17"/>
      <c r="O115" s="51">
        <f t="shared" si="65"/>
        <v>2535.7399999999998</v>
      </c>
      <c r="P115" s="51">
        <f t="shared" si="54"/>
        <v>99.989747634069388</v>
      </c>
      <c r="Q115" s="346">
        <f t="shared" si="66"/>
        <v>0.26000000000021828</v>
      </c>
      <c r="R115" s="51" t="s">
        <v>195</v>
      </c>
      <c r="S115" s="164"/>
      <c r="T115" s="382">
        <f>L115-S115</f>
        <v>2536</v>
      </c>
      <c r="U115" s="284" t="s">
        <v>200</v>
      </c>
      <c r="V115" s="270" t="s">
        <v>70</v>
      </c>
    </row>
    <row r="116" spans="1:23" x14ac:dyDescent="0.2">
      <c r="A116" s="124"/>
      <c r="B116" s="29">
        <v>6399</v>
      </c>
      <c r="C116" s="29">
        <v>665</v>
      </c>
      <c r="D116" s="184" t="s">
        <v>244</v>
      </c>
      <c r="E116" s="41">
        <v>1275</v>
      </c>
      <c r="F116" s="17"/>
      <c r="G116" s="51">
        <f t="shared" si="62"/>
        <v>1275</v>
      </c>
      <c r="H116" s="165">
        <f>-2537.85-73.892</f>
        <v>-2611.7419999999997</v>
      </c>
      <c r="I116" s="164"/>
      <c r="J116" s="41">
        <f t="shared" si="63"/>
        <v>-1336.7419999999997</v>
      </c>
      <c r="K116" s="17"/>
      <c r="L116" s="51">
        <f t="shared" si="64"/>
        <v>-1336.7419999999997</v>
      </c>
      <c r="M116" s="41">
        <v>-1902.0314599999999</v>
      </c>
      <c r="N116" s="17"/>
      <c r="O116" s="51">
        <f t="shared" si="65"/>
        <v>-1902.0314599999999</v>
      </c>
      <c r="P116" s="51">
        <f t="shared" si="54"/>
        <v>142.28859869743005</v>
      </c>
      <c r="Q116" s="346">
        <f t="shared" si="66"/>
        <v>565.28946000000019</v>
      </c>
      <c r="R116" s="51" t="s">
        <v>405</v>
      </c>
      <c r="S116" s="164"/>
      <c r="T116" s="382">
        <f>L116-S116</f>
        <v>-1336.7419999999997</v>
      </c>
      <c r="U116" s="284" t="s">
        <v>200</v>
      </c>
      <c r="V116" s="270" t="s">
        <v>70</v>
      </c>
      <c r="W116" s="136">
        <f>L116-2538</f>
        <v>-3874.7419999999997</v>
      </c>
    </row>
    <row r="117" spans="1:23" x14ac:dyDescent="0.2">
      <c r="A117" s="124"/>
      <c r="B117" s="29">
        <v>6402</v>
      </c>
      <c r="C117" s="29"/>
      <c r="D117" s="184" t="s">
        <v>339</v>
      </c>
      <c r="E117" s="41">
        <v>17</v>
      </c>
      <c r="F117" s="17"/>
      <c r="G117" s="51">
        <f t="shared" si="62"/>
        <v>17</v>
      </c>
      <c r="H117" s="165">
        <f>608.695+27.92081</f>
        <v>636.61581000000001</v>
      </c>
      <c r="I117" s="164"/>
      <c r="J117" s="41">
        <f>E117+H117</f>
        <v>653.61581000000001</v>
      </c>
      <c r="K117" s="17"/>
      <c r="L117" s="51">
        <f>SUM(J117:K117)</f>
        <v>653.61581000000001</v>
      </c>
      <c r="M117" s="41">
        <v>653.1721</v>
      </c>
      <c r="N117" s="17"/>
      <c r="O117" s="51">
        <f t="shared" si="65"/>
        <v>653.1721</v>
      </c>
      <c r="P117" s="51">
        <f t="shared" si="54"/>
        <v>99.932114555184953</v>
      </c>
      <c r="Q117" s="346">
        <f t="shared" si="66"/>
        <v>0.44371000000001004</v>
      </c>
      <c r="R117" s="51"/>
      <c r="S117" s="164"/>
      <c r="T117" s="382"/>
      <c r="U117" s="284" t="s">
        <v>200</v>
      </c>
      <c r="V117" s="270" t="s">
        <v>70</v>
      </c>
    </row>
    <row r="118" spans="1:23" x14ac:dyDescent="0.2">
      <c r="A118" s="124"/>
      <c r="B118" s="29">
        <v>6409</v>
      </c>
      <c r="C118" s="29">
        <v>100</v>
      </c>
      <c r="D118" s="184" t="s">
        <v>160</v>
      </c>
      <c r="E118" s="41">
        <v>379</v>
      </c>
      <c r="F118" s="17"/>
      <c r="G118" s="51">
        <f t="shared" si="62"/>
        <v>379</v>
      </c>
      <c r="H118" s="165"/>
      <c r="I118" s="164"/>
      <c r="J118" s="41">
        <f t="shared" si="63"/>
        <v>379</v>
      </c>
      <c r="K118" s="17"/>
      <c r="L118" s="51">
        <f t="shared" si="64"/>
        <v>379</v>
      </c>
      <c r="M118" s="41">
        <v>374.37920000000003</v>
      </c>
      <c r="N118" s="17"/>
      <c r="O118" s="51">
        <f t="shared" si="65"/>
        <v>374.37920000000003</v>
      </c>
      <c r="P118" s="51">
        <f t="shared" si="54"/>
        <v>98.780791556728246</v>
      </c>
      <c r="Q118" s="346">
        <f t="shared" si="66"/>
        <v>4.6207999999999743</v>
      </c>
      <c r="R118" s="51"/>
      <c r="S118" s="164"/>
      <c r="T118" s="382">
        <f>L118-S118</f>
        <v>379</v>
      </c>
      <c r="U118" s="284" t="s">
        <v>200</v>
      </c>
      <c r="V118" s="273" t="s">
        <v>288</v>
      </c>
    </row>
    <row r="119" spans="1:23" x14ac:dyDescent="0.2">
      <c r="A119" s="124"/>
      <c r="B119" s="29">
        <v>6409</v>
      </c>
      <c r="C119" s="29"/>
      <c r="D119" s="375" t="s">
        <v>141</v>
      </c>
      <c r="E119" s="41">
        <f>926-65+7-300</f>
        <v>568</v>
      </c>
      <c r="F119" s="17">
        <f>1000-300</f>
        <v>700</v>
      </c>
      <c r="G119" s="51">
        <f t="shared" si="62"/>
        <v>1268</v>
      </c>
      <c r="H119" s="165">
        <f>0.491-403.871+0.79232-165</f>
        <v>-567.58767999999998</v>
      </c>
      <c r="I119" s="166">
        <v>-700</v>
      </c>
      <c r="J119" s="41">
        <f t="shared" si="63"/>
        <v>0.41232000000002245</v>
      </c>
      <c r="K119" s="17">
        <f>F119+I119</f>
        <v>0</v>
      </c>
      <c r="L119" s="51">
        <f t="shared" si="64"/>
        <v>0.41232000000002245</v>
      </c>
      <c r="M119" s="41"/>
      <c r="N119" s="17"/>
      <c r="O119" s="51">
        <f t="shared" si="65"/>
        <v>0</v>
      </c>
      <c r="P119" s="51">
        <f t="shared" si="54"/>
        <v>0</v>
      </c>
      <c r="Q119" s="346">
        <f t="shared" si="66"/>
        <v>0.41232000000002245</v>
      </c>
      <c r="R119" s="51"/>
      <c r="S119" s="166"/>
      <c r="T119" s="382">
        <f>L119-S119</f>
        <v>0.41232000000002245</v>
      </c>
      <c r="U119" s="293" t="s">
        <v>70</v>
      </c>
      <c r="V119" s="270" t="s">
        <v>298</v>
      </c>
    </row>
    <row r="120" spans="1:23" ht="13.5" thickBot="1" x14ac:dyDescent="0.25">
      <c r="A120" s="127"/>
      <c r="B120" s="91"/>
      <c r="C120" s="91"/>
      <c r="D120" s="92" t="s">
        <v>87</v>
      </c>
      <c r="E120" s="157">
        <f t="shared" ref="E120:O120" si="67">SUM(E5+E10+E16+E28+E42+E55+E63+E65+E84+E95+E100+E105+E112)</f>
        <v>141863</v>
      </c>
      <c r="F120" s="318">
        <f t="shared" si="67"/>
        <v>72440</v>
      </c>
      <c r="G120" s="318">
        <f t="shared" si="67"/>
        <v>214303</v>
      </c>
      <c r="H120" s="175">
        <f t="shared" si="67"/>
        <v>10977.958250000001</v>
      </c>
      <c r="I120" s="175">
        <f t="shared" si="67"/>
        <v>17909.375950000001</v>
      </c>
      <c r="J120" s="157">
        <f t="shared" si="67"/>
        <v>152840.95825</v>
      </c>
      <c r="K120" s="318">
        <f t="shared" si="67"/>
        <v>90349.375950000001</v>
      </c>
      <c r="L120" s="318">
        <f t="shared" si="67"/>
        <v>243190.33420000001</v>
      </c>
      <c r="M120" s="157">
        <f t="shared" si="67"/>
        <v>141517.18680999998</v>
      </c>
      <c r="N120" s="318">
        <f t="shared" si="67"/>
        <v>78477.21060000002</v>
      </c>
      <c r="O120" s="318">
        <f t="shared" si="67"/>
        <v>219994.39741000001</v>
      </c>
      <c r="P120" s="318">
        <f t="shared" si="54"/>
        <v>90.461817955756558</v>
      </c>
      <c r="Q120" s="348">
        <f>SUM(Q5+Q10+Q16+Q28+Q42+Q55+Q63+Q65+Q84+Q95+Q100+Q105+Q112)</f>
        <v>23195.936790000003</v>
      </c>
      <c r="R120" s="318"/>
      <c r="S120" s="175">
        <f>SUM(S5+S10+S16+S28+S42+S55+S63+S65+S84+S95+S100+S105+S112)</f>
        <v>0</v>
      </c>
      <c r="T120" s="386" t="e">
        <f>SUM(T5+T10+T16+T28+T42+T55+T63+T65+T84+T95+T100+T105+T112)</f>
        <v>#REF!</v>
      </c>
      <c r="U120" s="157"/>
      <c r="V120" s="280"/>
    </row>
    <row r="121" spans="1:23" ht="13.5" thickBot="1" x14ac:dyDescent="0.25">
      <c r="A121" s="128"/>
      <c r="B121" s="35"/>
      <c r="C121" s="35"/>
      <c r="D121" s="35"/>
      <c r="E121" s="59" t="s">
        <v>88</v>
      </c>
      <c r="F121" s="35"/>
      <c r="G121" s="57">
        <f>SUM(E120:F120)</f>
        <v>214303</v>
      </c>
      <c r="H121" s="174"/>
      <c r="I121" s="171"/>
      <c r="J121" s="59"/>
      <c r="K121" s="35"/>
      <c r="L121" s="57">
        <f>+G120+H120+I120</f>
        <v>243190.33419999998</v>
      </c>
      <c r="M121" s="59" t="s">
        <v>88</v>
      </c>
      <c r="N121" s="35"/>
      <c r="O121" s="57">
        <f>SUM(M120:N120)</f>
        <v>219994.39741000001</v>
      </c>
      <c r="P121" s="57"/>
      <c r="Q121" s="349"/>
      <c r="R121" s="57"/>
      <c r="S121" s="171"/>
      <c r="T121" s="384"/>
      <c r="U121" s="392"/>
      <c r="V121" s="80"/>
    </row>
    <row r="122" spans="1:23" x14ac:dyDescent="0.2">
      <c r="A122" s="39"/>
      <c r="B122" s="23"/>
      <c r="C122" s="23"/>
      <c r="D122" s="423"/>
      <c r="E122" s="23"/>
      <c r="F122" s="23"/>
      <c r="G122" s="129"/>
      <c r="H122" s="176"/>
      <c r="I122" s="176"/>
      <c r="J122" s="23"/>
      <c r="K122" s="23"/>
      <c r="L122" s="129"/>
      <c r="M122" s="23"/>
      <c r="N122" s="23"/>
      <c r="O122" s="129"/>
      <c r="P122" s="129"/>
      <c r="Q122" s="23"/>
      <c r="R122" s="129"/>
      <c r="S122" s="176"/>
      <c r="T122" s="321"/>
      <c r="U122" s="23"/>
    </row>
    <row r="123" spans="1:23" x14ac:dyDescent="0.2">
      <c r="A123" s="108"/>
      <c r="D123" s="195"/>
      <c r="E123" s="296"/>
      <c r="F123" s="296"/>
      <c r="G123" s="136"/>
      <c r="H123" s="176"/>
      <c r="I123" s="176"/>
      <c r="L123" s="136"/>
      <c r="M123" s="296"/>
      <c r="N123" s="296"/>
      <c r="O123" s="136"/>
      <c r="P123" s="136"/>
      <c r="Q123" s="23"/>
      <c r="R123" s="395"/>
      <c r="S123" s="176"/>
      <c r="T123" s="321"/>
      <c r="U123" s="23"/>
    </row>
    <row r="124" spans="1:23" x14ac:dyDescent="0.2">
      <c r="A124" s="108"/>
      <c r="D124" s="195"/>
      <c r="E124" s="296"/>
      <c r="F124" s="296"/>
      <c r="G124" s="136"/>
      <c r="H124" s="176"/>
      <c r="I124" s="176"/>
      <c r="L124" s="136"/>
      <c r="M124" s="296"/>
      <c r="N124" s="296"/>
      <c r="O124" s="136"/>
      <c r="P124" s="136"/>
      <c r="Q124" s="129"/>
      <c r="R124" s="340"/>
      <c r="S124" s="176"/>
      <c r="T124" s="321"/>
      <c r="U124" s="23"/>
      <c r="V124" s="108"/>
    </row>
    <row r="125" spans="1:23" x14ac:dyDescent="0.2">
      <c r="A125" s="108"/>
      <c r="D125" s="195"/>
      <c r="E125" s="108"/>
      <c r="F125" s="108"/>
      <c r="H125" s="176"/>
      <c r="I125" s="176"/>
      <c r="N125" s="108"/>
      <c r="Q125" s="23"/>
      <c r="R125" s="340"/>
      <c r="S125" s="176"/>
      <c r="T125" s="321"/>
      <c r="U125" s="23"/>
      <c r="V125" s="108"/>
    </row>
    <row r="126" spans="1:23" x14ac:dyDescent="0.2">
      <c r="A126" s="108"/>
      <c r="D126" s="195"/>
      <c r="E126" s="108"/>
      <c r="F126" s="108"/>
      <c r="H126" s="176"/>
      <c r="I126" s="176"/>
      <c r="N126" s="108"/>
      <c r="Q126" s="23"/>
      <c r="R126" s="340"/>
      <c r="S126" s="176"/>
      <c r="T126" s="400"/>
    </row>
    <row r="127" spans="1:23" x14ac:dyDescent="0.2">
      <c r="A127" s="108"/>
      <c r="D127" s="195"/>
      <c r="E127" s="108"/>
      <c r="F127" s="108"/>
      <c r="H127" s="176"/>
      <c r="I127" s="176"/>
      <c r="N127" s="108"/>
      <c r="Q127" s="23"/>
      <c r="R127" s="117"/>
      <c r="S127" s="176"/>
      <c r="U127" s="61"/>
    </row>
    <row r="128" spans="1:23" x14ac:dyDescent="0.2">
      <c r="A128" s="108"/>
      <c r="D128" s="195"/>
      <c r="E128" s="108"/>
      <c r="F128" s="108"/>
      <c r="H128" s="176"/>
      <c r="I128" s="176"/>
      <c r="N128" s="108"/>
      <c r="Q128" s="23"/>
      <c r="R128" s="398"/>
      <c r="S128" s="176"/>
    </row>
    <row r="129" spans="1:19" x14ac:dyDescent="0.2">
      <c r="A129" s="108"/>
      <c r="D129" s="194"/>
      <c r="E129" s="108"/>
      <c r="F129" s="108"/>
      <c r="H129" s="176"/>
      <c r="I129" s="176"/>
      <c r="N129" s="108"/>
      <c r="Q129" s="23"/>
      <c r="S129" s="176"/>
    </row>
    <row r="130" spans="1:19" x14ac:dyDescent="0.2">
      <c r="E130" s="108"/>
      <c r="F130" s="108"/>
      <c r="H130" s="176"/>
      <c r="I130" s="176"/>
      <c r="N130" s="108"/>
      <c r="Q130" s="23"/>
      <c r="S130" s="176"/>
    </row>
    <row r="131" spans="1:19" x14ac:dyDescent="0.2">
      <c r="D131" s="194"/>
      <c r="E131" s="108"/>
      <c r="F131" s="108"/>
      <c r="H131" s="176"/>
      <c r="I131" s="176"/>
      <c r="N131" s="108"/>
      <c r="Q131" s="23"/>
      <c r="S131" s="176"/>
    </row>
    <row r="132" spans="1:19" x14ac:dyDescent="0.2">
      <c r="D132" s="194"/>
      <c r="E132" s="108"/>
      <c r="F132" s="108"/>
      <c r="H132" s="176"/>
      <c r="I132" s="176"/>
      <c r="N132" s="108"/>
      <c r="Q132" s="23"/>
      <c r="S132" s="176"/>
    </row>
    <row r="133" spans="1:19" x14ac:dyDescent="0.2">
      <c r="D133" s="194"/>
      <c r="E133" s="108"/>
      <c r="F133" s="108"/>
      <c r="H133" s="176"/>
      <c r="I133" s="176"/>
      <c r="N133" s="108"/>
      <c r="Q133" s="23"/>
      <c r="S133" s="176"/>
    </row>
    <row r="134" spans="1:19" x14ac:dyDescent="0.2">
      <c r="D134" s="194"/>
      <c r="E134" s="108"/>
      <c r="F134" s="108"/>
      <c r="H134" s="176"/>
      <c r="I134" s="176"/>
      <c r="N134" s="108"/>
      <c r="Q134" s="23"/>
      <c r="S134" s="176"/>
    </row>
    <row r="135" spans="1:19" x14ac:dyDescent="0.2">
      <c r="E135" s="108"/>
      <c r="F135" s="108"/>
      <c r="H135" s="176"/>
      <c r="I135" s="176"/>
      <c r="N135" s="108"/>
      <c r="Q135" s="23"/>
      <c r="S135" s="176"/>
    </row>
    <row r="136" spans="1:19" x14ac:dyDescent="0.2">
      <c r="E136" s="108"/>
      <c r="F136" s="108"/>
      <c r="H136" s="176"/>
      <c r="I136" s="176"/>
      <c r="N136" s="108"/>
      <c r="Q136" s="23"/>
      <c r="S136" s="176"/>
    </row>
    <row r="137" spans="1:19" x14ac:dyDescent="0.2">
      <c r="D137" s="194"/>
      <c r="E137" s="108"/>
      <c r="F137" s="108"/>
      <c r="H137" s="176"/>
      <c r="I137" s="176"/>
      <c r="N137" s="108"/>
      <c r="Q137" s="23"/>
      <c r="S137" s="176"/>
    </row>
    <row r="138" spans="1:19" x14ac:dyDescent="0.2">
      <c r="H138" s="176"/>
      <c r="I138" s="176"/>
      <c r="Q138" s="23"/>
      <c r="S138" s="176"/>
    </row>
    <row r="139" spans="1:19" x14ac:dyDescent="0.2">
      <c r="H139" s="176"/>
      <c r="I139" s="176"/>
      <c r="Q139" s="23"/>
      <c r="S139" s="176"/>
    </row>
    <row r="140" spans="1:19" x14ac:dyDescent="0.2">
      <c r="D140" s="195"/>
      <c r="H140" s="176"/>
      <c r="I140" s="176"/>
      <c r="Q140" s="23"/>
      <c r="S140" s="176"/>
    </row>
    <row r="141" spans="1:19" x14ac:dyDescent="0.2">
      <c r="D141" s="195"/>
    </row>
    <row r="142" spans="1:19" x14ac:dyDescent="0.2">
      <c r="D142" s="195"/>
    </row>
    <row r="143" spans="1:19" x14ac:dyDescent="0.2">
      <c r="D143" s="195"/>
    </row>
  </sheetData>
  <sortState ref="A90:HH93">
    <sortCondition ref="B90:B93"/>
  </sortState>
  <mergeCells count="1">
    <mergeCell ref="H2:I2"/>
  </mergeCells>
  <phoneticPr fontId="6" type="noConversion"/>
  <pageMargins left="0.27" right="0.19685039370078741" top="0.35433070866141736" bottom="0.23622047244094491" header="0.15748031496062992" footer="0.23622047244094491"/>
  <pageSetup paperSize="9" scale="95" orientation="landscape" r:id="rId1"/>
  <headerFooter alignWithMargins="0">
    <oddHeader xml:space="preserve">&amp;R&amp;P+5. strana
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2:O33"/>
  <sheetViews>
    <sheetView workbookViewId="0">
      <selection activeCell="R7" sqref="R7"/>
    </sheetView>
  </sheetViews>
  <sheetFormatPr defaultRowHeight="12.75" x14ac:dyDescent="0.2"/>
  <cols>
    <col min="1" max="1" width="22.7109375" customWidth="1"/>
    <col min="2" max="2" width="11.28515625" customWidth="1"/>
    <col min="3" max="3" width="10.85546875" customWidth="1"/>
    <col min="4" max="4" width="9.5703125" customWidth="1"/>
    <col min="5" max="5" width="10.140625" customWidth="1"/>
    <col min="6" max="6" width="9.85546875" customWidth="1"/>
    <col min="7" max="7" width="10.42578125" customWidth="1"/>
    <col min="8" max="8" width="11.5703125" customWidth="1"/>
    <col min="9" max="9" width="10.5703125" customWidth="1"/>
    <col min="10" max="10" width="11.5703125" customWidth="1"/>
    <col min="11" max="11" width="10.140625" customWidth="1"/>
    <col min="12" max="12" width="11.5703125" customWidth="1"/>
    <col min="13" max="13" width="10.140625" customWidth="1"/>
    <col min="14" max="14" width="8.5703125" customWidth="1"/>
    <col min="15" max="15" width="12.140625" style="201" customWidth="1"/>
  </cols>
  <sheetData>
    <row r="2" spans="1:15" ht="18" x14ac:dyDescent="0.25">
      <c r="A2" s="435" t="s">
        <v>439</v>
      </c>
    </row>
    <row r="4" spans="1:15" ht="20.100000000000001" customHeight="1" thickBot="1" x14ac:dyDescent="0.25"/>
    <row r="5" spans="1:15" ht="20.100000000000001" customHeight="1" x14ac:dyDescent="0.2">
      <c r="A5" s="231" t="s">
        <v>212</v>
      </c>
      <c r="B5" s="232" t="s">
        <v>213</v>
      </c>
      <c r="C5" s="298" t="s">
        <v>214</v>
      </c>
      <c r="D5" s="234"/>
      <c r="E5" s="266" t="s">
        <v>215</v>
      </c>
      <c r="F5" s="233" t="s">
        <v>214</v>
      </c>
      <c r="G5" s="234"/>
      <c r="H5" s="235" t="s">
        <v>243</v>
      </c>
      <c r="I5" s="231" t="s">
        <v>216</v>
      </c>
      <c r="J5" s="231" t="s">
        <v>216</v>
      </c>
      <c r="K5" s="231" t="s">
        <v>136</v>
      </c>
      <c r="L5" s="231" t="s">
        <v>203</v>
      </c>
      <c r="M5" s="236" t="s">
        <v>252</v>
      </c>
      <c r="N5" s="311" t="s">
        <v>184</v>
      </c>
      <c r="O5" s="237"/>
    </row>
    <row r="6" spans="1:15" ht="20.100000000000001" customHeight="1" thickBot="1" x14ac:dyDescent="0.25">
      <c r="A6" s="238"/>
      <c r="B6" s="239" t="s">
        <v>217</v>
      </c>
      <c r="C6" s="240" t="s">
        <v>218</v>
      </c>
      <c r="D6" s="241" t="s">
        <v>243</v>
      </c>
      <c r="E6" s="239" t="s">
        <v>217</v>
      </c>
      <c r="F6" s="240" t="s">
        <v>218</v>
      </c>
      <c r="G6" s="241" t="s">
        <v>243</v>
      </c>
      <c r="H6" s="242" t="s">
        <v>66</v>
      </c>
      <c r="I6" s="243" t="s">
        <v>219</v>
      </c>
      <c r="J6" s="243" t="s">
        <v>220</v>
      </c>
      <c r="K6" s="243" t="s">
        <v>234</v>
      </c>
      <c r="L6" s="312" t="s">
        <v>440</v>
      </c>
      <c r="M6" s="243" t="s">
        <v>234</v>
      </c>
      <c r="N6" s="312" t="s">
        <v>185</v>
      </c>
      <c r="O6" s="244" t="s">
        <v>221</v>
      </c>
    </row>
    <row r="7" spans="1:15" ht="21.75" customHeight="1" x14ac:dyDescent="0.2">
      <c r="A7" s="313" t="s">
        <v>491</v>
      </c>
      <c r="B7" s="402">
        <v>12428787.140000001</v>
      </c>
      <c r="C7" s="403">
        <v>12436792.57</v>
      </c>
      <c r="D7" s="362">
        <f t="shared" ref="D7" si="0">C7-B7</f>
        <v>8005.429999999702</v>
      </c>
      <c r="E7" s="402"/>
      <c r="F7" s="403"/>
      <c r="G7" s="362">
        <f t="shared" ref="G7" si="1">F7-E7</f>
        <v>0</v>
      </c>
      <c r="H7" s="247">
        <f t="shared" ref="H7" si="2">D7+G7</f>
        <v>8005.429999999702</v>
      </c>
      <c r="I7" s="402">
        <v>107264</v>
      </c>
      <c r="J7" s="404">
        <v>269072.71000000002</v>
      </c>
      <c r="K7" s="248">
        <v>257000</v>
      </c>
      <c r="L7" s="248">
        <v>249479.1</v>
      </c>
      <c r="M7" s="307">
        <f t="shared" ref="M7" si="3">L7/K7</f>
        <v>0.97073579766536966</v>
      </c>
      <c r="N7" s="363">
        <f t="shared" ref="N7" si="4">K7-L7</f>
        <v>7520.8999999999942</v>
      </c>
      <c r="O7" s="297"/>
    </row>
    <row r="8" spans="1:15" ht="21.75" customHeight="1" x14ac:dyDescent="0.2">
      <c r="A8" s="313" t="s">
        <v>223</v>
      </c>
      <c r="B8" s="402">
        <v>15133772.16</v>
      </c>
      <c r="C8" s="403">
        <v>15296987.59</v>
      </c>
      <c r="D8" s="362">
        <f t="shared" ref="D8:D12" si="5">C8-B8</f>
        <v>163215.4299999997</v>
      </c>
      <c r="E8" s="402">
        <v>312533</v>
      </c>
      <c r="F8" s="403">
        <v>338853</v>
      </c>
      <c r="G8" s="362">
        <f t="shared" ref="G8:G13" si="6">F8-E8</f>
        <v>26320</v>
      </c>
      <c r="H8" s="247">
        <f t="shared" ref="H8:H13" si="7">D8+G8</f>
        <v>189535.4299999997</v>
      </c>
      <c r="I8" s="402">
        <v>50987</v>
      </c>
      <c r="J8" s="404">
        <v>228279.72</v>
      </c>
      <c r="K8" s="248">
        <v>1145000</v>
      </c>
      <c r="L8" s="248">
        <v>960479.7</v>
      </c>
      <c r="M8" s="307">
        <f t="shared" ref="M8:M12" si="8">L8/K8</f>
        <v>0.8388468995633187</v>
      </c>
      <c r="N8" s="363">
        <f t="shared" ref="N8:N12" si="9">K8-L8</f>
        <v>184520.30000000005</v>
      </c>
      <c r="O8" s="297"/>
    </row>
    <row r="9" spans="1:15" ht="21.75" customHeight="1" x14ac:dyDescent="0.2">
      <c r="A9" s="313" t="s">
        <v>224</v>
      </c>
      <c r="B9" s="402">
        <v>11366020.32</v>
      </c>
      <c r="C9" s="403">
        <v>11607066.92</v>
      </c>
      <c r="D9" s="362">
        <f t="shared" si="5"/>
        <v>241046.59999999963</v>
      </c>
      <c r="E9" s="402">
        <v>1462342.22</v>
      </c>
      <c r="F9" s="403">
        <v>1581520.67</v>
      </c>
      <c r="G9" s="362">
        <f t="shared" si="6"/>
        <v>119178.44999999995</v>
      </c>
      <c r="H9" s="247">
        <f t="shared" si="7"/>
        <v>360225.04999999958</v>
      </c>
      <c r="I9" s="402">
        <v>125830.39</v>
      </c>
      <c r="J9" s="404">
        <v>64096.97</v>
      </c>
      <c r="K9" s="248">
        <v>1293000</v>
      </c>
      <c r="L9" s="248">
        <f>952851.17+164019.55</f>
        <v>1116870.72</v>
      </c>
      <c r="M9" s="307">
        <f t="shared" si="8"/>
        <v>0.86378245939675169</v>
      </c>
      <c r="N9" s="363">
        <f t="shared" si="9"/>
        <v>176129.28000000003</v>
      </c>
      <c r="O9" s="297"/>
    </row>
    <row r="10" spans="1:15" ht="21.75" customHeight="1" x14ac:dyDescent="0.2">
      <c r="A10" s="313" t="s">
        <v>225</v>
      </c>
      <c r="B10" s="402">
        <v>19259726.859999999</v>
      </c>
      <c r="C10" s="403">
        <v>19296346.77</v>
      </c>
      <c r="D10" s="362">
        <f t="shared" si="5"/>
        <v>36619.910000000149</v>
      </c>
      <c r="E10" s="402">
        <v>31729</v>
      </c>
      <c r="F10" s="403">
        <v>46700</v>
      </c>
      <c r="G10" s="362">
        <f t="shared" si="6"/>
        <v>14971</v>
      </c>
      <c r="H10" s="247">
        <f t="shared" si="7"/>
        <v>51590.910000000149</v>
      </c>
      <c r="I10" s="402">
        <v>257221.6</v>
      </c>
      <c r="J10" s="404">
        <v>455092.94</v>
      </c>
      <c r="K10" s="248">
        <v>419000</v>
      </c>
      <c r="L10" s="248">
        <v>381938.8</v>
      </c>
      <c r="M10" s="307">
        <f t="shared" si="8"/>
        <v>0.91154844868735085</v>
      </c>
      <c r="N10" s="363">
        <f t="shared" si="9"/>
        <v>37061.200000000012</v>
      </c>
      <c r="O10" s="297"/>
    </row>
    <row r="11" spans="1:15" ht="21.75" customHeight="1" x14ac:dyDescent="0.2">
      <c r="A11" s="313" t="s">
        <v>226</v>
      </c>
      <c r="B11" s="402">
        <v>20735534.949999999</v>
      </c>
      <c r="C11" s="403">
        <v>20932800.940000001</v>
      </c>
      <c r="D11" s="362">
        <f t="shared" si="5"/>
        <v>197265.99000000209</v>
      </c>
      <c r="E11" s="402">
        <v>112770</v>
      </c>
      <c r="F11" s="403">
        <v>214130</v>
      </c>
      <c r="G11" s="362">
        <f t="shared" si="6"/>
        <v>101360</v>
      </c>
      <c r="H11" s="247">
        <f t="shared" si="7"/>
        <v>298625.99000000209</v>
      </c>
      <c r="I11" s="402">
        <v>34977.82</v>
      </c>
      <c r="J11" s="404">
        <v>150990.71</v>
      </c>
      <c r="K11" s="248">
        <v>805000</v>
      </c>
      <c r="L11" s="248">
        <v>723528.4</v>
      </c>
      <c r="M11" s="307">
        <f t="shared" si="8"/>
        <v>0.89879304347826094</v>
      </c>
      <c r="N11" s="363">
        <f t="shared" si="9"/>
        <v>81471.599999999977</v>
      </c>
      <c r="O11" s="297"/>
    </row>
    <row r="12" spans="1:15" ht="21.75" customHeight="1" x14ac:dyDescent="0.2">
      <c r="A12" s="313" t="s">
        <v>227</v>
      </c>
      <c r="B12" s="402">
        <v>9800267.3499999996</v>
      </c>
      <c r="C12" s="403">
        <v>9751274.0999999996</v>
      </c>
      <c r="D12" s="362">
        <f t="shared" si="5"/>
        <v>-48993.25</v>
      </c>
      <c r="E12" s="402">
        <v>123405</v>
      </c>
      <c r="F12" s="403">
        <v>174000</v>
      </c>
      <c r="G12" s="362">
        <f t="shared" si="6"/>
        <v>50595</v>
      </c>
      <c r="H12" s="247">
        <f t="shared" si="7"/>
        <v>1601.75</v>
      </c>
      <c r="I12" s="402">
        <v>188664</v>
      </c>
      <c r="J12" s="404">
        <v>614597.73</v>
      </c>
      <c r="K12" s="248">
        <v>197000</v>
      </c>
      <c r="L12" s="248">
        <v>200060.56</v>
      </c>
      <c r="M12" s="307">
        <f t="shared" si="8"/>
        <v>1.0155358375634518</v>
      </c>
      <c r="N12" s="363">
        <f t="shared" si="9"/>
        <v>-3060.5599999999977</v>
      </c>
      <c r="O12" s="297"/>
    </row>
    <row r="13" spans="1:15" ht="25.5" customHeight="1" thickBot="1" x14ac:dyDescent="0.25">
      <c r="A13" s="313" t="s">
        <v>228</v>
      </c>
      <c r="B13" s="402">
        <v>4165805.22</v>
      </c>
      <c r="C13" s="403">
        <v>4165805.22</v>
      </c>
      <c r="D13" s="362">
        <f>C13-B13</f>
        <v>0</v>
      </c>
      <c r="E13" s="402"/>
      <c r="F13" s="403"/>
      <c r="G13" s="362">
        <f t="shared" si="6"/>
        <v>0</v>
      </c>
      <c r="H13" s="247">
        <f t="shared" si="7"/>
        <v>0</v>
      </c>
      <c r="I13" s="402"/>
      <c r="J13" s="404">
        <v>17281.16</v>
      </c>
      <c r="K13" s="248">
        <v>0</v>
      </c>
      <c r="L13" s="248"/>
      <c r="M13" s="307"/>
      <c r="N13" s="363">
        <f>K13/2-L13</f>
        <v>0</v>
      </c>
      <c r="O13" s="297" t="s">
        <v>414</v>
      </c>
    </row>
    <row r="14" spans="1:15" x14ac:dyDescent="0.2">
      <c r="A14" s="250"/>
      <c r="B14" s="251"/>
      <c r="C14" s="252"/>
      <c r="D14" s="253"/>
      <c r="E14" s="251"/>
      <c r="F14" s="252"/>
      <c r="G14" s="253"/>
      <c r="H14" s="254"/>
      <c r="I14" s="245"/>
      <c r="J14" s="245"/>
      <c r="K14" s="246"/>
      <c r="L14" s="246"/>
      <c r="M14" s="246"/>
      <c r="N14" s="246"/>
      <c r="O14" s="255"/>
    </row>
    <row r="15" spans="1:15" x14ac:dyDescent="0.2">
      <c r="A15" s="256" t="s">
        <v>229</v>
      </c>
      <c r="B15" s="356">
        <f t="shared" ref="B15:N15" si="10">SUM(B7:B13)</f>
        <v>92889914</v>
      </c>
      <c r="C15" s="357">
        <f t="shared" si="10"/>
        <v>93487074.109999985</v>
      </c>
      <c r="D15" s="358">
        <f t="shared" si="10"/>
        <v>597160.11000000127</v>
      </c>
      <c r="E15" s="356">
        <f t="shared" si="10"/>
        <v>2042779.22</v>
      </c>
      <c r="F15" s="357">
        <f t="shared" si="10"/>
        <v>2355203.67</v>
      </c>
      <c r="G15" s="358">
        <f t="shared" si="10"/>
        <v>312424.44999999995</v>
      </c>
      <c r="H15" s="359">
        <f t="shared" si="10"/>
        <v>909584.56000000122</v>
      </c>
      <c r="I15" s="360">
        <f t="shared" si="10"/>
        <v>764944.80999999994</v>
      </c>
      <c r="J15" s="360">
        <f t="shared" si="10"/>
        <v>1799411.94</v>
      </c>
      <c r="K15" s="264">
        <f t="shared" si="10"/>
        <v>4116000</v>
      </c>
      <c r="L15" s="264">
        <f t="shared" si="10"/>
        <v>3632357.28</v>
      </c>
      <c r="M15" s="314">
        <f>L15/K15</f>
        <v>0.88249690962099125</v>
      </c>
      <c r="N15" s="355">
        <f t="shared" si="10"/>
        <v>483642.72000000009</v>
      </c>
      <c r="O15" s="257"/>
    </row>
    <row r="16" spans="1:15" ht="13.5" thickBot="1" x14ac:dyDescent="0.25">
      <c r="A16" s="238"/>
      <c r="B16" s="258"/>
      <c r="C16" s="259"/>
      <c r="D16" s="260"/>
      <c r="E16" s="258"/>
      <c r="F16" s="259"/>
      <c r="G16" s="260"/>
      <c r="H16" s="261"/>
      <c r="I16" s="249"/>
      <c r="J16" s="249"/>
      <c r="K16" s="249"/>
      <c r="L16" s="249"/>
      <c r="M16" s="249"/>
      <c r="N16" s="249"/>
      <c r="O16" s="262"/>
    </row>
    <row r="18" spans="1:15" ht="18" x14ac:dyDescent="0.25">
      <c r="A18" s="435" t="s">
        <v>448</v>
      </c>
    </row>
    <row r="19" spans="1:15" ht="13.5" thickBot="1" x14ac:dyDescent="0.25"/>
    <row r="20" spans="1:15" x14ac:dyDescent="0.2">
      <c r="A20" s="436" t="s">
        <v>441</v>
      </c>
      <c r="B20" s="474" t="s">
        <v>442</v>
      </c>
      <c r="C20" s="475"/>
      <c r="D20" s="474" t="s">
        <v>443</v>
      </c>
      <c r="E20" s="475"/>
      <c r="F20" s="478" t="s">
        <v>444</v>
      </c>
      <c r="G20" s="475"/>
      <c r="H20" s="474" t="s">
        <v>445</v>
      </c>
      <c r="I20" s="475"/>
      <c r="J20" s="474" t="s">
        <v>446</v>
      </c>
      <c r="K20" s="475"/>
      <c r="L20" s="474" t="s">
        <v>447</v>
      </c>
      <c r="M20" s="475"/>
      <c r="N20" s="474" t="s">
        <v>221</v>
      </c>
      <c r="O20" s="475"/>
    </row>
    <row r="21" spans="1:15" x14ac:dyDescent="0.2">
      <c r="A21" s="326"/>
      <c r="B21" s="437">
        <v>43100</v>
      </c>
      <c r="C21" s="437">
        <v>43465</v>
      </c>
      <c r="D21" s="437">
        <v>43100</v>
      </c>
      <c r="E21" s="437">
        <f>C21</f>
        <v>43465</v>
      </c>
      <c r="F21" s="437">
        <v>43100</v>
      </c>
      <c r="G21" s="437">
        <f>E21</f>
        <v>43465</v>
      </c>
      <c r="H21" s="437">
        <v>43100</v>
      </c>
      <c r="I21" s="437">
        <f>G21</f>
        <v>43465</v>
      </c>
      <c r="J21" s="437">
        <v>43100</v>
      </c>
      <c r="K21" s="437">
        <f>I21</f>
        <v>43465</v>
      </c>
      <c r="L21" s="437">
        <v>43100</v>
      </c>
      <c r="M21" s="437">
        <f>K21</f>
        <v>43465</v>
      </c>
      <c r="N21" s="460"/>
      <c r="O21" s="461"/>
    </row>
    <row r="22" spans="1:15" x14ac:dyDescent="0.2">
      <c r="A22" s="438" t="s">
        <v>222</v>
      </c>
      <c r="B22" s="439">
        <v>313407</v>
      </c>
      <c r="C22" s="439">
        <v>479080</v>
      </c>
      <c r="D22" s="362">
        <v>1730517.04</v>
      </c>
      <c r="E22" s="362">
        <v>1737249.82</v>
      </c>
      <c r="F22" s="362">
        <v>3107464.95</v>
      </c>
      <c r="G22" s="362">
        <v>3322007.86</v>
      </c>
      <c r="H22" s="362">
        <v>1563092.57</v>
      </c>
      <c r="I22" s="362">
        <v>1182060.29</v>
      </c>
      <c r="J22" s="362">
        <v>3254685.28</v>
      </c>
      <c r="K22" s="362">
        <v>3869191.96</v>
      </c>
      <c r="L22" s="362">
        <v>0</v>
      </c>
      <c r="M22" s="362">
        <v>0</v>
      </c>
      <c r="N22" s="402"/>
      <c r="O22" s="462"/>
    </row>
    <row r="23" spans="1:15" x14ac:dyDescent="0.2">
      <c r="A23" s="438" t="s">
        <v>223</v>
      </c>
      <c r="B23" s="439">
        <v>18633619.57</v>
      </c>
      <c r="C23" s="439">
        <v>19141171.57</v>
      </c>
      <c r="D23" s="362">
        <v>255704.15</v>
      </c>
      <c r="E23" s="362">
        <v>681365.4</v>
      </c>
      <c r="F23" s="362">
        <v>2450027.2400000002</v>
      </c>
      <c r="G23" s="362">
        <v>2244717.4900000002</v>
      </c>
      <c r="H23" s="362">
        <v>459473.09</v>
      </c>
      <c r="I23" s="362">
        <v>570857.99</v>
      </c>
      <c r="J23" s="362">
        <v>2180365.67</v>
      </c>
      <c r="K23" s="362">
        <v>2242153.87</v>
      </c>
      <c r="L23" s="362">
        <v>0</v>
      </c>
      <c r="M23" s="362">
        <v>0</v>
      </c>
      <c r="N23" s="402"/>
      <c r="O23" s="462"/>
    </row>
    <row r="24" spans="1:15" x14ac:dyDescent="0.2">
      <c r="A24" s="438" t="s">
        <v>224</v>
      </c>
      <c r="B24" s="439">
        <v>24242835.850000001</v>
      </c>
      <c r="C24" s="439">
        <v>25394486.850000001</v>
      </c>
      <c r="D24" s="362">
        <v>1573680.43</v>
      </c>
      <c r="E24" s="362">
        <v>1383677.93</v>
      </c>
      <c r="F24" s="362">
        <v>892558.45</v>
      </c>
      <c r="G24" s="362">
        <v>996048.06</v>
      </c>
      <c r="H24" s="362">
        <v>543390.48</v>
      </c>
      <c r="I24" s="362">
        <v>284441.69</v>
      </c>
      <c r="J24" s="362">
        <v>1342393.6</v>
      </c>
      <c r="K24" s="362">
        <v>1684759.16</v>
      </c>
      <c r="L24" s="362">
        <v>936918.7</v>
      </c>
      <c r="M24" s="362">
        <v>578853.6</v>
      </c>
      <c r="N24" s="402"/>
      <c r="O24" s="462"/>
    </row>
    <row r="25" spans="1:15" x14ac:dyDescent="0.2">
      <c r="A25" s="438" t="s">
        <v>225</v>
      </c>
      <c r="B25" s="439">
        <v>33776599.57</v>
      </c>
      <c r="C25" s="439">
        <v>35945174.57</v>
      </c>
      <c r="D25" s="362">
        <v>429738.6</v>
      </c>
      <c r="E25" s="362">
        <v>833361.2</v>
      </c>
      <c r="F25" s="362">
        <v>2611760.7400000002</v>
      </c>
      <c r="G25" s="362">
        <v>2923001.93</v>
      </c>
      <c r="H25" s="362">
        <v>818026.88</v>
      </c>
      <c r="I25" s="362">
        <v>994718.57</v>
      </c>
      <c r="J25" s="362">
        <v>2078100.86</v>
      </c>
      <c r="K25" s="362">
        <v>2734053.65</v>
      </c>
      <c r="L25" s="362">
        <v>0</v>
      </c>
      <c r="M25" s="362">
        <v>0</v>
      </c>
      <c r="N25" s="402"/>
      <c r="O25" s="462"/>
    </row>
    <row r="26" spans="1:15" x14ac:dyDescent="0.2">
      <c r="A26" s="438" t="s">
        <v>226</v>
      </c>
      <c r="B26" s="439">
        <v>35888329.509999998</v>
      </c>
      <c r="C26" s="439">
        <v>35220454.710000001</v>
      </c>
      <c r="D26" s="362">
        <v>122123.6</v>
      </c>
      <c r="E26" s="362">
        <v>133712.6</v>
      </c>
      <c r="F26" s="362">
        <v>2921571.64</v>
      </c>
      <c r="G26" s="362">
        <v>2910845.64</v>
      </c>
      <c r="H26" s="362">
        <v>214849.41</v>
      </c>
      <c r="I26" s="362">
        <v>355450.24</v>
      </c>
      <c r="J26" s="362">
        <v>2674417.38</v>
      </c>
      <c r="K26" s="362">
        <v>2390482.0099999998</v>
      </c>
      <c r="L26" s="362">
        <v>0</v>
      </c>
      <c r="M26" s="362">
        <v>0</v>
      </c>
      <c r="N26" s="402"/>
      <c r="O26" s="462"/>
    </row>
    <row r="27" spans="1:15" x14ac:dyDescent="0.2">
      <c r="A27" s="438" t="s">
        <v>227</v>
      </c>
      <c r="B27" s="439">
        <v>563497</v>
      </c>
      <c r="C27" s="439">
        <v>1064736</v>
      </c>
      <c r="D27" s="362">
        <v>58119</v>
      </c>
      <c r="E27" s="362">
        <v>100415.3</v>
      </c>
      <c r="F27" s="362">
        <v>2553772.4</v>
      </c>
      <c r="G27" s="362">
        <v>2342818.36</v>
      </c>
      <c r="H27" s="362">
        <v>1113986.6000000001</v>
      </c>
      <c r="I27" s="362">
        <v>1282616.4099999999</v>
      </c>
      <c r="J27" s="362">
        <v>1209705.44</v>
      </c>
      <c r="K27" s="362">
        <v>1158416.5</v>
      </c>
      <c r="L27" s="362">
        <v>0</v>
      </c>
      <c r="M27" s="362">
        <v>0</v>
      </c>
      <c r="N27" s="402"/>
      <c r="O27" s="462"/>
    </row>
    <row r="28" spans="1:15" ht="13.5" thickBot="1" x14ac:dyDescent="0.25">
      <c r="A28" s="440" t="s">
        <v>228</v>
      </c>
      <c r="B28" s="463">
        <v>0</v>
      </c>
      <c r="C28" s="463">
        <v>0</v>
      </c>
      <c r="D28" s="441">
        <v>2375</v>
      </c>
      <c r="E28" s="441">
        <v>328747</v>
      </c>
      <c r="F28" s="441">
        <v>917717.41</v>
      </c>
      <c r="G28" s="441">
        <v>346393.89</v>
      </c>
      <c r="H28" s="441">
        <v>133062.85</v>
      </c>
      <c r="I28" s="441">
        <v>163610</v>
      </c>
      <c r="J28" s="441">
        <v>762837</v>
      </c>
      <c r="K28" s="441">
        <v>511530.64</v>
      </c>
      <c r="L28" s="441">
        <v>0</v>
      </c>
      <c r="M28" s="441">
        <v>0</v>
      </c>
      <c r="N28" s="464"/>
      <c r="O28" s="465" t="s">
        <v>484</v>
      </c>
    </row>
    <row r="30" spans="1:15" x14ac:dyDescent="0.2">
      <c r="A30" s="457" t="s">
        <v>478</v>
      </c>
    </row>
    <row r="31" spans="1:15" x14ac:dyDescent="0.2">
      <c r="A31" s="456" t="s">
        <v>485</v>
      </c>
      <c r="E31" s="263"/>
    </row>
    <row r="32" spans="1:15" ht="27.75" customHeight="1" x14ac:dyDescent="0.2">
      <c r="A32" s="476" t="s">
        <v>487</v>
      </c>
      <c r="B32" s="477"/>
      <c r="C32" s="477"/>
      <c r="D32" s="477"/>
      <c r="E32" s="477"/>
      <c r="F32" s="477"/>
      <c r="G32" s="477"/>
      <c r="H32" s="477"/>
      <c r="I32" s="477"/>
      <c r="J32" s="477"/>
      <c r="K32" s="477"/>
      <c r="L32" s="477"/>
      <c r="M32" s="477"/>
      <c r="N32" s="477"/>
      <c r="O32" s="477"/>
    </row>
    <row r="33" spans="1:1" x14ac:dyDescent="0.2">
      <c r="A33" s="456" t="s">
        <v>486</v>
      </c>
    </row>
  </sheetData>
  <mergeCells count="8">
    <mergeCell ref="N20:O20"/>
    <mergeCell ref="A32:O32"/>
    <mergeCell ref="L20:M20"/>
    <mergeCell ref="B20:C20"/>
    <mergeCell ref="D20:E20"/>
    <mergeCell ref="F20:G20"/>
    <mergeCell ref="H20:I20"/>
    <mergeCell ref="J20:K20"/>
  </mergeCells>
  <phoneticPr fontId="6" type="noConversion"/>
  <pageMargins left="0.31" right="0.15748031496062992" top="0.98425196850393704" bottom="0.98425196850393704" header="0.51181102362204722" footer="0.51181102362204722"/>
  <pageSetup paperSize="9" scale="85" orientation="landscape" r:id="rId1"/>
  <headerFooter alignWithMargins="0">
    <oddHeader>&amp;R9. strana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workbookViewId="0">
      <pane ySplit="1" topLeftCell="A2" activePane="bottomLeft" state="frozen"/>
      <selection pane="bottomLeft" activeCell="C42" sqref="C42"/>
    </sheetView>
  </sheetViews>
  <sheetFormatPr defaultRowHeight="12.75" x14ac:dyDescent="0.2"/>
  <cols>
    <col min="1" max="1" width="35.7109375" customWidth="1"/>
    <col min="2" max="5" width="11.7109375" customWidth="1"/>
    <col min="6" max="6" width="14.28515625" customWidth="1"/>
    <col min="7" max="11" width="11.7109375" customWidth="1"/>
  </cols>
  <sheetData>
    <row r="1" spans="1:5" ht="18" x14ac:dyDescent="0.25">
      <c r="A1" s="435" t="s">
        <v>480</v>
      </c>
    </row>
    <row r="2" spans="1:5" ht="18" x14ac:dyDescent="0.25">
      <c r="A2" s="435"/>
    </row>
    <row r="3" spans="1:5" x14ac:dyDescent="0.2">
      <c r="A3" s="430" t="s">
        <v>453</v>
      </c>
    </row>
    <row r="4" spans="1:5" s="430" customFormat="1" x14ac:dyDescent="0.2">
      <c r="A4" s="430" t="s">
        <v>454</v>
      </c>
    </row>
    <row r="5" spans="1:5" x14ac:dyDescent="0.2">
      <c r="A5" s="430" t="s">
        <v>455</v>
      </c>
    </row>
    <row r="6" spans="1:5" ht="13.5" thickBot="1" x14ac:dyDescent="0.25"/>
    <row r="7" spans="1:5" x14ac:dyDescent="0.2">
      <c r="A7" s="449" t="s">
        <v>456</v>
      </c>
      <c r="B7" s="469" t="s">
        <v>457</v>
      </c>
      <c r="C7" s="469" t="s">
        <v>458</v>
      </c>
      <c r="D7" s="469" t="s">
        <v>459</v>
      </c>
    </row>
    <row r="8" spans="1:5" ht="15.75" x14ac:dyDescent="0.25">
      <c r="A8" s="450" t="s">
        <v>479</v>
      </c>
      <c r="B8" s="470"/>
      <c r="C8" s="470"/>
      <c r="D8" s="470"/>
    </row>
    <row r="9" spans="1:5" ht="15.75" x14ac:dyDescent="0.25">
      <c r="A9" s="450"/>
      <c r="B9" s="470"/>
      <c r="C9" s="470"/>
      <c r="D9" s="470"/>
    </row>
    <row r="10" spans="1:5" s="430" customFormat="1" x14ac:dyDescent="0.2">
      <c r="A10" s="451" t="s">
        <v>460</v>
      </c>
      <c r="B10" s="471">
        <v>925014</v>
      </c>
      <c r="C10" s="471">
        <v>22310</v>
      </c>
      <c r="D10" s="471">
        <v>59049</v>
      </c>
    </row>
    <row r="11" spans="1:5" x14ac:dyDescent="0.2">
      <c r="A11" s="452" t="s">
        <v>461</v>
      </c>
      <c r="B11" s="362"/>
      <c r="C11" s="362"/>
      <c r="D11" s="362"/>
    </row>
    <row r="12" spans="1:5" x14ac:dyDescent="0.2">
      <c r="A12" s="452" t="s">
        <v>462</v>
      </c>
      <c r="B12" s="362">
        <v>0</v>
      </c>
      <c r="C12" s="362">
        <v>0</v>
      </c>
      <c r="D12" s="362">
        <v>0</v>
      </c>
    </row>
    <row r="13" spans="1:5" x14ac:dyDescent="0.2">
      <c r="A13" s="452" t="s">
        <v>463</v>
      </c>
      <c r="B13" s="362">
        <v>832120</v>
      </c>
      <c r="C13" s="362">
        <v>12392</v>
      </c>
      <c r="D13" s="362">
        <v>55716</v>
      </c>
    </row>
    <row r="14" spans="1:5" x14ac:dyDescent="0.2">
      <c r="A14" s="452" t="s">
        <v>464</v>
      </c>
      <c r="B14" s="362">
        <v>11084</v>
      </c>
      <c r="C14" s="362">
        <v>561</v>
      </c>
      <c r="D14" s="362"/>
    </row>
    <row r="15" spans="1:5" x14ac:dyDescent="0.2">
      <c r="A15" s="452" t="s">
        <v>465</v>
      </c>
      <c r="B15" s="362">
        <v>30736</v>
      </c>
      <c r="C15" s="362">
        <v>3235</v>
      </c>
      <c r="D15" s="362">
        <v>455</v>
      </c>
    </row>
    <row r="16" spans="1:5" x14ac:dyDescent="0.2">
      <c r="A16" s="452" t="s">
        <v>466</v>
      </c>
      <c r="B16" s="362">
        <v>50325</v>
      </c>
      <c r="C16" s="362">
        <v>6026</v>
      </c>
      <c r="D16" s="362">
        <v>2499</v>
      </c>
      <c r="E16" s="408"/>
    </row>
    <row r="17" spans="1:6" x14ac:dyDescent="0.2">
      <c r="A17" s="452" t="s">
        <v>467</v>
      </c>
      <c r="B17" s="362">
        <v>749</v>
      </c>
      <c r="C17" s="362">
        <v>96</v>
      </c>
      <c r="D17" s="362">
        <v>379</v>
      </c>
      <c r="E17" s="408"/>
    </row>
    <row r="18" spans="1:6" x14ac:dyDescent="0.2">
      <c r="A18" s="452"/>
      <c r="B18" s="362"/>
      <c r="C18" s="362"/>
      <c r="D18" s="362"/>
    </row>
    <row r="19" spans="1:6" s="430" customFormat="1" x14ac:dyDescent="0.2">
      <c r="A19" s="451" t="s">
        <v>468</v>
      </c>
      <c r="B19" s="471">
        <v>925014</v>
      </c>
      <c r="C19" s="471">
        <v>22310</v>
      </c>
      <c r="D19" s="471">
        <v>59049</v>
      </c>
    </row>
    <row r="20" spans="1:6" x14ac:dyDescent="0.2">
      <c r="A20" s="452" t="s">
        <v>461</v>
      </c>
      <c r="B20" s="362"/>
      <c r="C20" s="362"/>
      <c r="D20" s="362"/>
    </row>
    <row r="21" spans="1:6" x14ac:dyDescent="0.2">
      <c r="A21" s="452" t="s">
        <v>469</v>
      </c>
      <c r="B21" s="362">
        <v>750000</v>
      </c>
      <c r="C21" s="362">
        <v>8600</v>
      </c>
      <c r="D21" s="362">
        <v>57421</v>
      </c>
    </row>
    <row r="22" spans="1:6" x14ac:dyDescent="0.2">
      <c r="A22" s="452" t="s">
        <v>470</v>
      </c>
      <c r="B22" s="362">
        <v>115962</v>
      </c>
      <c r="C22" s="362">
        <v>1530</v>
      </c>
      <c r="D22" s="362">
        <v>7454</v>
      </c>
    </row>
    <row r="23" spans="1:6" x14ac:dyDescent="0.2">
      <c r="A23" s="452" t="s">
        <v>471</v>
      </c>
      <c r="B23" s="362">
        <v>0</v>
      </c>
      <c r="C23" s="362">
        <v>2788</v>
      </c>
      <c r="D23" s="362"/>
    </row>
    <row r="24" spans="1:6" x14ac:dyDescent="0.2">
      <c r="A24" s="452" t="s">
        <v>482</v>
      </c>
      <c r="B24" s="362">
        <v>-67503</v>
      </c>
      <c r="C24" s="362"/>
      <c r="D24" s="362">
        <v>-4922</v>
      </c>
    </row>
    <row r="25" spans="1:6" x14ac:dyDescent="0.2">
      <c r="A25" s="452" t="s">
        <v>483</v>
      </c>
      <c r="B25" s="362">
        <v>-15719</v>
      </c>
      <c r="C25" s="362">
        <v>266</v>
      </c>
      <c r="D25" s="362">
        <v>-2306</v>
      </c>
      <c r="E25" s="16"/>
      <c r="F25" s="16"/>
    </row>
    <row r="26" spans="1:6" x14ac:dyDescent="0.2">
      <c r="A26" s="452" t="s">
        <v>472</v>
      </c>
      <c r="B26" s="362">
        <v>80116</v>
      </c>
      <c r="C26" s="362">
        <v>4209</v>
      </c>
      <c r="D26" s="362">
        <v>1176</v>
      </c>
      <c r="E26" s="16"/>
      <c r="F26" s="16"/>
    </row>
    <row r="27" spans="1:6" x14ac:dyDescent="0.2">
      <c r="A27" s="452" t="s">
        <v>473</v>
      </c>
      <c r="B27" s="362">
        <v>61867</v>
      </c>
      <c r="C27" s="362">
        <v>3894</v>
      </c>
      <c r="D27" s="362">
        <v>0</v>
      </c>
      <c r="E27" s="16"/>
      <c r="F27" s="16"/>
    </row>
    <row r="28" spans="1:6" x14ac:dyDescent="0.2">
      <c r="A28" s="452" t="s">
        <v>474</v>
      </c>
      <c r="B28" s="362">
        <v>409</v>
      </c>
      <c r="C28" s="362">
        <v>933</v>
      </c>
      <c r="D28" s="362">
        <v>226</v>
      </c>
      <c r="E28" s="16"/>
      <c r="F28" s="16"/>
    </row>
    <row r="29" spans="1:6" x14ac:dyDescent="0.2">
      <c r="A29" s="452"/>
      <c r="B29" s="362"/>
      <c r="C29" s="362"/>
      <c r="D29" s="362"/>
      <c r="E29" s="16"/>
      <c r="F29" s="16"/>
    </row>
    <row r="30" spans="1:6" ht="15.75" x14ac:dyDescent="0.25">
      <c r="A30" s="450" t="s">
        <v>475</v>
      </c>
      <c r="B30" s="362"/>
      <c r="C30" s="362"/>
      <c r="D30" s="362"/>
      <c r="E30" s="16"/>
      <c r="F30" s="16"/>
    </row>
    <row r="31" spans="1:6" x14ac:dyDescent="0.2">
      <c r="A31" s="452" t="s">
        <v>476</v>
      </c>
      <c r="B31" s="362">
        <v>560317</v>
      </c>
      <c r="C31" s="362">
        <v>14184</v>
      </c>
      <c r="D31" s="362">
        <v>13235</v>
      </c>
      <c r="E31" s="16"/>
      <c r="F31" s="16"/>
    </row>
    <row r="32" spans="1:6" x14ac:dyDescent="0.2">
      <c r="A32" s="452" t="s">
        <v>477</v>
      </c>
      <c r="B32" s="362">
        <v>544598</v>
      </c>
      <c r="C32" s="362">
        <v>14450</v>
      </c>
      <c r="D32" s="362">
        <v>10929</v>
      </c>
      <c r="E32" s="16"/>
      <c r="F32" s="16"/>
    </row>
    <row r="33" spans="1:6" x14ac:dyDescent="0.2">
      <c r="A33" s="453"/>
      <c r="B33" s="362"/>
      <c r="C33" s="362"/>
      <c r="D33" s="362"/>
      <c r="E33" s="16"/>
      <c r="F33" s="16"/>
    </row>
    <row r="34" spans="1:6" ht="13.5" thickBot="1" x14ac:dyDescent="0.25">
      <c r="A34" s="454" t="s">
        <v>481</v>
      </c>
      <c r="B34" s="441">
        <f>B32-B31</f>
        <v>-15719</v>
      </c>
      <c r="C34" s="441">
        <f>C32-C31</f>
        <v>266</v>
      </c>
      <c r="D34" s="441">
        <f>D32-D31</f>
        <v>-2306</v>
      </c>
      <c r="E34" s="16"/>
      <c r="F34" s="16"/>
    </row>
    <row r="35" spans="1:6" x14ac:dyDescent="0.2">
      <c r="A35" s="408"/>
      <c r="D35" s="16"/>
      <c r="E35" s="16"/>
      <c r="F35" s="16"/>
    </row>
    <row r="36" spans="1:6" x14ac:dyDescent="0.2">
      <c r="B36" s="455"/>
      <c r="C36" s="455"/>
      <c r="D36" s="16"/>
      <c r="E36" s="16"/>
      <c r="F36" s="16"/>
    </row>
    <row r="37" spans="1:6" x14ac:dyDescent="0.2">
      <c r="A37" s="408"/>
      <c r="B37" s="408"/>
      <c r="C37" s="408"/>
      <c r="D37" s="16"/>
      <c r="E37" s="16"/>
      <c r="F37" s="16"/>
    </row>
    <row r="38" spans="1:6" x14ac:dyDescent="0.2">
      <c r="A38" s="408"/>
      <c r="B38" s="408"/>
      <c r="C38" s="408"/>
      <c r="D38" s="16"/>
      <c r="E38" s="16"/>
      <c r="F38" s="16"/>
    </row>
    <row r="39" spans="1:6" x14ac:dyDescent="0.2">
      <c r="B39" s="408"/>
      <c r="C39" s="408"/>
      <c r="D39" s="16"/>
      <c r="E39" s="16"/>
      <c r="F39" s="16"/>
    </row>
    <row r="40" spans="1:6" x14ac:dyDescent="0.2">
      <c r="B40" s="408"/>
      <c r="C40" s="408"/>
      <c r="D40" s="16"/>
      <c r="E40" s="456"/>
      <c r="F40" s="16"/>
    </row>
    <row r="41" spans="1:6" x14ac:dyDescent="0.2">
      <c r="B41" s="408"/>
      <c r="C41" s="408"/>
      <c r="D41" s="16"/>
      <c r="E41" s="456"/>
      <c r="F41" s="16"/>
    </row>
    <row r="42" spans="1:6" x14ac:dyDescent="0.2">
      <c r="B42" s="408"/>
      <c r="C42" s="408"/>
      <c r="D42" s="16"/>
      <c r="E42" s="16"/>
      <c r="F42" s="16"/>
    </row>
    <row r="43" spans="1:6" x14ac:dyDescent="0.2">
      <c r="B43" s="408"/>
      <c r="C43" s="408"/>
      <c r="D43" s="16"/>
      <c r="E43" s="16"/>
      <c r="F43" s="16"/>
    </row>
    <row r="44" spans="1:6" x14ac:dyDescent="0.2">
      <c r="B44" s="408"/>
      <c r="C44" s="408"/>
      <c r="D44" s="16"/>
      <c r="E44" s="16"/>
      <c r="F44" s="16"/>
    </row>
    <row r="45" spans="1:6" x14ac:dyDescent="0.2">
      <c r="B45" s="408"/>
      <c r="C45" s="408"/>
      <c r="D45" s="16"/>
      <c r="E45" s="16"/>
      <c r="F45" s="16"/>
    </row>
    <row r="46" spans="1:6" x14ac:dyDescent="0.2">
      <c r="B46" s="408"/>
      <c r="C46" s="408"/>
      <c r="D46" s="16"/>
      <c r="E46" s="16"/>
      <c r="F46" s="16"/>
    </row>
    <row r="47" spans="1:6" x14ac:dyDescent="0.2">
      <c r="B47" s="408"/>
      <c r="C47" s="408"/>
      <c r="D47" s="16"/>
      <c r="E47" s="16"/>
      <c r="F47" s="16"/>
    </row>
    <row r="48" spans="1:6" x14ac:dyDescent="0.2">
      <c r="B48" s="408"/>
      <c r="C48" s="408"/>
      <c r="D48" s="16"/>
      <c r="E48" s="16"/>
      <c r="F48" s="16"/>
    </row>
    <row r="49" spans="2:6" x14ac:dyDescent="0.2">
      <c r="B49" s="408"/>
      <c r="C49" s="408"/>
      <c r="D49" s="16"/>
      <c r="E49" s="16"/>
      <c r="F49" s="16"/>
    </row>
    <row r="50" spans="2:6" x14ac:dyDescent="0.2">
      <c r="B50" s="408"/>
      <c r="C50" s="408"/>
      <c r="D50" s="16"/>
      <c r="E50" s="16"/>
      <c r="F50" s="16"/>
    </row>
    <row r="51" spans="2:6" x14ac:dyDescent="0.2">
      <c r="B51" s="408"/>
      <c r="C51" s="408"/>
      <c r="D51" s="16"/>
      <c r="E51" s="16"/>
      <c r="F51" s="16"/>
    </row>
    <row r="52" spans="2:6" x14ac:dyDescent="0.2">
      <c r="B52" s="408"/>
      <c r="C52" s="408"/>
      <c r="D52" s="16"/>
      <c r="E52" s="16"/>
      <c r="F52" s="16"/>
    </row>
    <row r="53" spans="2:6" x14ac:dyDescent="0.2">
      <c r="B53" s="408"/>
      <c r="C53" s="408"/>
      <c r="D53" s="16"/>
      <c r="E53" s="16"/>
      <c r="F53" s="16"/>
    </row>
    <row r="54" spans="2:6" x14ac:dyDescent="0.2">
      <c r="D54" s="16"/>
      <c r="E54" s="16"/>
      <c r="F54" s="16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&amp;R10.strana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sumář</vt:lpstr>
      <vt:lpstr>příjmy</vt:lpstr>
      <vt:lpstr>výdaje</vt:lpstr>
      <vt:lpstr>Příspěvkové organizace</vt:lpstr>
      <vt:lpstr>Obchodní organizace</vt:lpstr>
      <vt:lpstr>příjmy!Názvy_tisku</vt:lpstr>
      <vt:lpstr>výdaje!Názvy_tisku</vt:lpstr>
      <vt:lpstr>příjmy!Oblast_tisku</vt:lpstr>
      <vt:lpstr>'Příspěvkové organizace'!Oblast_tisku</vt:lpstr>
      <vt:lpstr>výdaje!Oblast_tisku</vt:lpstr>
    </vt:vector>
  </TitlesOfParts>
  <Company>Jilemnice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Jilemnice</dc:creator>
  <cp:lastModifiedBy>Město Jilemnice</cp:lastModifiedBy>
  <cp:lastPrinted>2019-05-28T06:20:15Z</cp:lastPrinted>
  <dcterms:created xsi:type="dcterms:W3CDTF">1999-02-03T10:11:29Z</dcterms:created>
  <dcterms:modified xsi:type="dcterms:W3CDTF">2019-06-03T17:32:38Z</dcterms:modified>
</cp:coreProperties>
</file>