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ojanova\Documents\___Rok 2022\Rozpočet 2022\ZM rozpočet\"/>
    </mc:Choice>
  </mc:AlternateContent>
  <bookViews>
    <workbookView xWindow="135" yWindow="765" windowWidth="16695" windowHeight="7365"/>
  </bookViews>
  <sheets>
    <sheet name="sumář" sheetId="1" r:id="rId1"/>
    <sheet name="příjmy" sheetId="2" r:id="rId2"/>
    <sheet name="výdaje" sheetId="3" r:id="rId3"/>
    <sheet name="Závazné ukazatele" sheetId="22" r:id="rId4"/>
  </sheets>
  <definedNames>
    <definedName name="_xlnm._FilterDatabase" localSheetId="1" hidden="1">příjmy!$A$1:$G$129</definedName>
    <definedName name="_xlnm.Print_Titles" localSheetId="1">příjmy!$A:$E,příjmy!$1:$3</definedName>
    <definedName name="_xlnm.Print_Titles" localSheetId="2">výdaje!$A:$D,výdaje!$1:$4</definedName>
    <definedName name="_xlnm.Print_Area" localSheetId="1">příjmy!$A$1:$G$121</definedName>
    <definedName name="_xlnm.Print_Area" localSheetId="0">sumář!$B$2:$E$36</definedName>
    <definedName name="_xlnm.Print_Area" localSheetId="2">výdaje!$A$1:$J$118</definedName>
  </definedNames>
  <calcPr calcId="162913"/>
</workbook>
</file>

<file path=xl/calcChain.xml><?xml version="1.0" encoding="utf-8"?>
<calcChain xmlns="http://schemas.openxmlformats.org/spreadsheetml/2006/main">
  <c r="F88" i="2" l="1"/>
  <c r="G28" i="3" l="1"/>
  <c r="G29" i="3"/>
  <c r="G59" i="3"/>
  <c r="F66" i="3"/>
  <c r="E27" i="3" l="1"/>
  <c r="F27" i="3"/>
  <c r="E72" i="3"/>
  <c r="E117" i="3"/>
  <c r="G27" i="3" l="1"/>
  <c r="F56" i="3"/>
  <c r="G92" i="3"/>
  <c r="G60" i="3"/>
  <c r="E105" i="3" l="1"/>
  <c r="E102" i="3" l="1"/>
  <c r="E98" i="3"/>
  <c r="E90" i="3"/>
  <c r="E83" i="3"/>
  <c r="E55" i="3"/>
  <c r="E50" i="3"/>
  <c r="E6" i="3"/>
  <c r="E51" i="3" l="1"/>
  <c r="F58" i="2" l="1"/>
  <c r="E87" i="3" l="1"/>
  <c r="E76" i="3" l="1"/>
  <c r="E91" i="3" l="1"/>
  <c r="E21" i="3"/>
  <c r="F21" i="3"/>
  <c r="F14" i="3" s="1"/>
  <c r="G26" i="3" l="1"/>
  <c r="G15" i="3" l="1"/>
  <c r="F95" i="2" l="1"/>
  <c r="E12" i="3" l="1"/>
  <c r="F79" i="2" l="1"/>
  <c r="F77" i="2" l="1"/>
  <c r="E108" i="3" l="1"/>
  <c r="E103" i="3" l="1"/>
  <c r="F57" i="2" l="1"/>
  <c r="E67" i="3" l="1"/>
  <c r="E71" i="3" l="1"/>
  <c r="E54" i="3" l="1"/>
  <c r="G54" i="3" s="1"/>
  <c r="G53" i="3"/>
  <c r="G116" i="3" l="1"/>
  <c r="E101" i="3"/>
  <c r="F69" i="2" l="1"/>
  <c r="F73" i="2" l="1"/>
  <c r="E85" i="3" l="1"/>
  <c r="G85" i="3" s="1"/>
  <c r="E73" i="3"/>
  <c r="E62" i="3"/>
  <c r="F60" i="2" l="1"/>
  <c r="E63" i="3"/>
  <c r="E56" i="3" s="1"/>
  <c r="G91" i="3" l="1"/>
  <c r="G52" i="3"/>
  <c r="G21" i="3" l="1"/>
  <c r="F97" i="2"/>
  <c r="F29" i="2" l="1"/>
  <c r="F17" i="2" l="1"/>
  <c r="F89" i="3" l="1"/>
  <c r="F61" i="2"/>
  <c r="F67" i="2" l="1"/>
  <c r="F54" i="2" l="1"/>
  <c r="E99" i="3" l="1"/>
  <c r="E36" i="3" l="1"/>
  <c r="F51" i="2" l="1"/>
  <c r="F20" i="2" l="1"/>
  <c r="F5" i="3" l="1"/>
  <c r="E5" i="3"/>
  <c r="E8" i="3"/>
  <c r="F8" i="3"/>
  <c r="D23" i="1" l="1"/>
  <c r="D28" i="22" l="1"/>
  <c r="G117" i="3" l="1"/>
  <c r="G115" i="3"/>
  <c r="G114" i="3"/>
  <c r="G113" i="3"/>
  <c r="G112" i="3"/>
  <c r="G111" i="3"/>
  <c r="G110" i="3"/>
  <c r="F109" i="3"/>
  <c r="E109" i="3"/>
  <c r="G108" i="3"/>
  <c r="G107" i="3"/>
  <c r="G105" i="3"/>
  <c r="G103" i="3"/>
  <c r="G102" i="3"/>
  <c r="G101" i="3"/>
  <c r="F100" i="3"/>
  <c r="E100" i="3"/>
  <c r="G99" i="3"/>
  <c r="G98" i="3"/>
  <c r="G97" i="3"/>
  <c r="G96" i="3"/>
  <c r="G95" i="3"/>
  <c r="F94" i="3"/>
  <c r="E94" i="3"/>
  <c r="G93" i="3"/>
  <c r="G90" i="3"/>
  <c r="G89" i="3"/>
  <c r="G88" i="3"/>
  <c r="G87" i="3"/>
  <c r="F86" i="3"/>
  <c r="E86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E66" i="3"/>
  <c r="G65" i="3"/>
  <c r="G64" i="3" s="1"/>
  <c r="D17" i="22" s="1"/>
  <c r="F64" i="3"/>
  <c r="E64" i="3"/>
  <c r="G63" i="3"/>
  <c r="G62" i="3"/>
  <c r="G61" i="3"/>
  <c r="G58" i="3"/>
  <c r="G57" i="3"/>
  <c r="G55" i="3"/>
  <c r="G51" i="3"/>
  <c r="G50" i="3"/>
  <c r="G49" i="3"/>
  <c r="G48" i="3"/>
  <c r="G47" i="3"/>
  <c r="G46" i="3"/>
  <c r="G45" i="3"/>
  <c r="G44" i="3"/>
  <c r="F43" i="3"/>
  <c r="E43" i="3"/>
  <c r="G42" i="3"/>
  <c r="G41" i="3"/>
  <c r="G40" i="3"/>
  <c r="G39" i="3"/>
  <c r="G38" i="3"/>
  <c r="G37" i="3"/>
  <c r="G36" i="3"/>
  <c r="G35" i="3"/>
  <c r="G34" i="3"/>
  <c r="G33" i="3"/>
  <c r="G32" i="3"/>
  <c r="G31" i="3"/>
  <c r="F30" i="3"/>
  <c r="E30" i="3"/>
  <c r="G25" i="3"/>
  <c r="G22" i="3"/>
  <c r="G24" i="3"/>
  <c r="G23" i="3"/>
  <c r="G19" i="3"/>
  <c r="G18" i="3"/>
  <c r="G17" i="3"/>
  <c r="G16" i="3"/>
  <c r="E14" i="3"/>
  <c r="G13" i="3"/>
  <c r="G12" i="3"/>
  <c r="G11" i="3"/>
  <c r="G10" i="3"/>
  <c r="G9" i="3"/>
  <c r="G6" i="3"/>
  <c r="G5" i="3" s="1"/>
  <c r="D11" i="22" s="1"/>
  <c r="F120" i="2"/>
  <c r="F99" i="2"/>
  <c r="F119" i="2"/>
  <c r="F86" i="2"/>
  <c r="F62" i="2"/>
  <c r="F40" i="2"/>
  <c r="F35" i="2"/>
  <c r="F26" i="2"/>
  <c r="F14" i="2"/>
  <c r="G56" i="3" l="1"/>
  <c r="D16" i="22" s="1"/>
  <c r="F117" i="2"/>
  <c r="G100" i="3"/>
  <c r="D21" i="22" s="1"/>
  <c r="G8" i="3"/>
  <c r="D12" i="22" s="1"/>
  <c r="G109" i="3"/>
  <c r="D23" i="22" s="1"/>
  <c r="F90" i="2"/>
  <c r="G43" i="3"/>
  <c r="D15" i="22" s="1"/>
  <c r="G86" i="3"/>
  <c r="D19" i="22" s="1"/>
  <c r="G94" i="3"/>
  <c r="D20" i="22" s="1"/>
  <c r="G66" i="3"/>
  <c r="D18" i="22" s="1"/>
  <c r="G30" i="3"/>
  <c r="D14" i="22" s="1"/>
  <c r="G14" i="3"/>
  <c r="D13" i="22" s="1"/>
  <c r="F111" i="2"/>
  <c r="F116" i="2" l="1"/>
  <c r="F5" i="2" l="1"/>
  <c r="F104" i="3"/>
  <c r="F118" i="3" s="1"/>
  <c r="F37" i="2" l="1"/>
  <c r="F112" i="2" s="1"/>
  <c r="G106" i="3"/>
  <c r="E104" i="3"/>
  <c r="E118" i="3" s="1"/>
  <c r="D14" i="1"/>
  <c r="D17" i="1"/>
  <c r="D7" i="22" l="1"/>
  <c r="F115" i="2"/>
  <c r="F118" i="2" s="1"/>
  <c r="F121" i="2" s="1"/>
  <c r="G104" i="3"/>
  <c r="D12" i="1"/>
  <c r="D11" i="1"/>
  <c r="D16" i="1"/>
  <c r="D5" i="22" l="1"/>
  <c r="D4" i="22"/>
  <c r="G118" i="3"/>
  <c r="D22" i="22"/>
  <c r="D24" i="22" s="1"/>
  <c r="D18" i="1"/>
  <c r="E17" i="1" s="1"/>
  <c r="ER50" i="3"/>
  <c r="D13" i="1"/>
  <c r="G119" i="3"/>
  <c r="E16" i="1" l="1"/>
  <c r="D6" i="22"/>
  <c r="D8" i="22" s="1"/>
  <c r="D25" i="22" s="1"/>
  <c r="D15" i="1"/>
  <c r="E14" i="1" l="1"/>
  <c r="E12" i="1"/>
  <c r="E11" i="1"/>
  <c r="E13" i="1"/>
  <c r="D20" i="1"/>
  <c r="D30" i="22" s="1"/>
  <c r="D31" i="22" s="1"/>
  <c r="D32" i="1" l="1"/>
  <c r="D30" i="1" l="1"/>
</calcChain>
</file>

<file path=xl/comments1.xml><?xml version="1.0" encoding="utf-8"?>
<comments xmlns="http://schemas.openxmlformats.org/spreadsheetml/2006/main">
  <authors>
    <author>Kynčlová Miroslava, Ing.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-2291 splátka EPC za rok 2022
-2000 splátka úvěru projekt ZŠ Harracha</t>
        </r>
      </text>
    </comment>
  </commentList>
</comments>
</file>

<file path=xl/comments2.xml><?xml version="1.0" encoding="utf-8"?>
<comments xmlns="http://schemas.openxmlformats.org/spreadsheetml/2006/main">
  <authors>
    <author>Ing. Miroslava Kynčlová</author>
    <author>Kynčlová</author>
    <author>Trojanová Hana, Ing.</author>
    <author>Město Jilemnice</author>
  </authors>
  <commentList>
    <comment ref="E15" authorId="0" shapeId="0">
      <text>
        <r>
          <rPr>
            <sz val="8"/>
            <color indexed="81"/>
            <rFont val="Tahoma"/>
            <family val="2"/>
            <charset val="238"/>
          </rPr>
          <t>3-trvalý pobyt
4-ověřování
6-změna jména
8-sňatky
9-video</t>
        </r>
      </text>
    </comment>
    <comment ref="E17" authorId="1" shapeId="0">
      <text>
        <r>
          <rPr>
            <sz val="10"/>
            <color indexed="81"/>
            <rFont val="Tahoma"/>
            <family val="2"/>
            <charset val="238"/>
          </rPr>
          <t>10 rybářské lístky</t>
        </r>
        <r>
          <rPr>
            <sz val="10"/>
            <color indexed="81"/>
            <rFont val="Tahoma"/>
            <family val="2"/>
            <charset val="238"/>
          </rPr>
          <t xml:space="preserve">
23 životní prostředí </t>
        </r>
      </text>
    </comment>
    <comment ref="E22" authorId="0" shapeId="0">
      <text>
        <r>
          <rPr>
            <sz val="8"/>
            <color indexed="81"/>
            <rFont val="Tahoma"/>
            <family val="2"/>
            <charset val="238"/>
          </rPr>
          <t xml:space="preserve">32-pasy
33-občanské průkazy
</t>
        </r>
      </text>
    </comment>
    <comment ref="E25" authorId="0" shapeId="0">
      <text>
        <r>
          <rPr>
            <sz val="8"/>
            <color indexed="81"/>
            <rFont val="Tahoma"/>
            <family val="2"/>
            <charset val="238"/>
          </rPr>
          <t xml:space="preserve">13- 
19-vydání průkazů-soc
27-povolení tomboly
314-správa
</t>
        </r>
      </text>
    </comment>
    <comment ref="E27" authorId="0" shapeId="0">
      <text>
        <r>
          <rPr>
            <sz val="8"/>
            <color indexed="81"/>
            <rFont val="Tahoma"/>
            <family val="2"/>
            <charset val="238"/>
          </rPr>
          <t xml:space="preserve">23 1332- za znečištní žp
12 1334 org 12 za odnětí půdy
</t>
        </r>
      </text>
    </comment>
    <comment ref="E3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1349 zrušené poplatky
1344 poplatek ze vstupného
</t>
        </r>
      </text>
    </comment>
    <comment ref="F5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dle uzavřených smluv
</t>
        </r>
      </text>
    </comment>
    <comment ref="F54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10 - org. 319 restaurace pod radnicí
96 - org. 21 (DC, KRNAP, Kiosek)</t>
        </r>
      </text>
    </comment>
    <comment ref="F5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komunální služby a rozvoj Furi
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110
orj18  1000
orj 19  5
dary 2321  150
</t>
        </r>
      </text>
    </comment>
    <comment ref="E5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2111
2324
</t>
        </r>
      </text>
    </comment>
    <comment ref="F5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tech popl.sńatky zrušeny
končí exekuce Tužová
</t>
        </r>
      </text>
    </comment>
    <comment ref="F6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660 ZŠ Harr
888 ZŠ Kom
338 MŠ
66 ZUŠ
655 SD Jilm
</t>
        </r>
      </text>
    </comment>
    <comment ref="F6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1300 kompenzace za tř. odpad
100 služby</t>
        </r>
      </text>
    </comment>
    <comment ref="F6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826 nájem
195 90%zelený bonus
+ DPH 21%</t>
        </r>
      </text>
    </comment>
    <comment ref="E79" authorId="1" shapeId="0">
      <text>
        <r>
          <rPr>
            <sz val="8"/>
            <color indexed="81"/>
            <rFont val="Tahoma"/>
            <family val="2"/>
            <charset val="238"/>
          </rPr>
          <t>32 pasy
33 občanské průkazy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14 přestupky
13 památky
</t>
        </r>
      </text>
    </comment>
  </commentList>
</comments>
</file>

<file path=xl/comments3.xml><?xml version="1.0" encoding="utf-8"?>
<comments xmlns="http://schemas.openxmlformats.org/spreadsheetml/2006/main">
  <authors>
    <author>Trojanová Hana, Ing.</author>
    <author>Kynčlová Miroslava, Ing.</author>
    <author>Šolcová Ilona, Ing.</author>
    <author>Město Jilemnice</author>
    <author>notebook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630 provoz
653
 mzdy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137 propagace
350 služby z toho kniha a komiks Jilemnice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450 oprava padající zdi pod kopečkem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doplatek avizovaný vícepráce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2500 veřejné osvětlení
3000 VHS od nás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730 mzdy
107 maketa rep.m. zařízení 2 prac. Míst
300 hybrid.pošta
39 kalibrace ČMI
100 uprava prostor pro 2 prac.místa
95 progr. vyb.
90 změny dle gemos na polic.služ.
80 úprava migrace dat
35 napojení na ČP
34 roční poplatek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766 repr. modul+příslušenství
405 software Srvdata center 2x
246 licence GINIS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2300 střechy 101,103
300 opravy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oprava střechy 101,103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ZŠ Harr 887,975
ZŠ Kom 660,227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3tis úroky z úvěru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135 projektová dokumentace kuchyň
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Trojanová Hana, Ing.:</t>
        </r>
        <r>
          <rPr>
            <sz val="9"/>
            <color indexed="81"/>
            <rFont val="Tahoma"/>
            <charset val="1"/>
          </rPr>
          <t xml:space="preserve">
2708 oprava zám. Zdi, dotace kraj 1000
60 povinnosti ze st. Zákona
270 městský grant - povinné příspěvky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75 mzdy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2275 knihovna
3659 SD Jilm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15 mzdy</t>
        </r>
      </text>
    </comment>
    <comment ref="E62" authorId="1" shapeId="0">
      <text>
        <r>
          <rPr>
            <sz val="9"/>
            <color indexed="81"/>
            <rFont val="Tahoma"/>
            <family val="2"/>
            <charset val="238"/>
          </rPr>
          <t xml:space="preserve">
50 SKI - Jilemnická 50
30 SKI Hančův memoriál 
20 biatlon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ročně 13 308 036,85</t>
        </r>
      </text>
    </comment>
    <comment ref="E71" authorId="2" shapeId="0">
      <text>
        <r>
          <rPr>
            <b/>
            <sz val="9"/>
            <color indexed="81"/>
            <rFont val="Tahoma"/>
            <family val="2"/>
            <charset val="238"/>
          </rPr>
          <t>Šolcová Ilona, Ing.:
171 úroky</t>
        </r>
        <r>
          <rPr>
            <sz val="9"/>
            <color indexed="81"/>
            <rFont val="Tahoma"/>
            <family val="2"/>
            <charset val="238"/>
          </rPr>
          <t xml:space="preserve">
146 000 Kč - MVV energetický management
54 000 Kč - RIB analýza vhodnosti objektů pro EPC (10%)
250 000 - vypracování energetických auditů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291 provoz
200 oprava projekt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500 tis na navýšení el. energie Elektros 70%
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73 provoz
442 mzdy</t>
        </r>
      </text>
    </comment>
    <comment ref="E85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org. 319 (restaurace pod radnicí)
96 org. 21 (DC, KRNAP, Kiosek)</t>
        </r>
      </text>
    </comment>
    <comment ref="G85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org. 319 (restaurace pod radnicí)
96 org. 21 (DC, KRNAP, Kiosek)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2x dotace inv. 915tis, 31.3.22 a 30.9.22</t>
        </r>
      </text>
    </comment>
    <comment ref="E95" authorId="4" shapeId="0">
      <text>
        <r>
          <rPr>
            <b/>
            <sz val="9"/>
            <color indexed="81"/>
            <rFont val="Tahoma"/>
            <family val="2"/>
            <charset val="238"/>
          </rPr>
          <t>notebook:</t>
        </r>
        <r>
          <rPr>
            <sz val="9"/>
            <color indexed="81"/>
            <rFont val="Tahoma"/>
            <family val="2"/>
            <charset val="238"/>
          </rPr>
          <t xml:space="preserve">
podíl města 220tis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mzdy  5733
ostatní 591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elektromobil 95%  dotace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Trojanová Hana
</t>
        </r>
        <r>
          <rPr>
            <sz val="9"/>
            <color indexed="81"/>
            <rFont val="Tahoma"/>
            <family val="2"/>
            <charset val="238"/>
          </rPr>
          <t xml:space="preserve">par 5213   250tisKč
par 5272 203tisKč
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448
1979 mzdy 3 zam
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18 voda na Kozinci
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oprava EZS budov - alarm
230tis</t>
        </r>
      </text>
    </comment>
  </commentList>
</comments>
</file>

<file path=xl/sharedStrings.xml><?xml version="1.0" encoding="utf-8"?>
<sst xmlns="http://schemas.openxmlformats.org/spreadsheetml/2006/main" count="596" uniqueCount="399">
  <si>
    <t xml:space="preserve">                                 </t>
  </si>
  <si>
    <t xml:space="preserve">                           </t>
  </si>
  <si>
    <t>Rozpočet</t>
  </si>
  <si>
    <t>%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</si>
  <si>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</si>
  <si>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</si>
  <si>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</si>
  <si>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</si>
  <si>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</si>
  <si>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</si>
  <si>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</si>
  <si>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</si>
  <si>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 Příjmy - výdaje</t>
  </si>
  <si>
    <t>pol.</t>
  </si>
  <si>
    <t>Třída 8 - financování</t>
  </si>
  <si>
    <t>Celkem financování</t>
  </si>
  <si>
    <t>poznámka</t>
  </si>
  <si>
    <t>polož.</t>
  </si>
  <si>
    <t>§</t>
  </si>
  <si>
    <t>org.</t>
  </si>
  <si>
    <t>název</t>
  </si>
  <si>
    <t>1a) BĚŽNÉ</t>
  </si>
  <si>
    <t>DAŇOVÉ  - TŘÍDA  1</t>
  </si>
  <si>
    <t>11-daně z příjmů, zisku a kap. výnosů</t>
  </si>
  <si>
    <t>z toho:</t>
  </si>
  <si>
    <t>13-poplatky a daně z vybraných činností</t>
  </si>
  <si>
    <t>Matriční poplatky</t>
  </si>
  <si>
    <t>Živnostenské listy</t>
  </si>
  <si>
    <t>Hrací automaty</t>
  </si>
  <si>
    <t>15-majetkové daně</t>
  </si>
  <si>
    <t>bez</t>
  </si>
  <si>
    <t>Daňové příjmy celkem:</t>
  </si>
  <si>
    <t>NEDAŇOVÉ - TŘÍDA 2</t>
  </si>
  <si>
    <t>21-příjmy z vlastní činnosti</t>
  </si>
  <si>
    <t>Prodej zpravodaje</t>
  </si>
  <si>
    <t>Pohřebnictví</t>
  </si>
  <si>
    <t>Pečovatelská služba</t>
  </si>
  <si>
    <t>Příjmy z reklam ( zpravodaj, rozhlas)</t>
  </si>
  <si>
    <t>Nájemné:</t>
  </si>
  <si>
    <t>BH - Nájemné nebyt. prost.</t>
  </si>
  <si>
    <t>Nájemné Zásobování teplem s.r.o.</t>
  </si>
  <si>
    <t>Pokuty městská policie</t>
  </si>
  <si>
    <t>Nedaňové příjmy celkem:</t>
  </si>
  <si>
    <t>TŘÍDA  3</t>
  </si>
  <si>
    <t>31-příjmy z prodeje investičního majetku</t>
  </si>
  <si>
    <t>Kapitálové příjmy celkem:</t>
  </si>
  <si>
    <t xml:space="preserve">2)PŘIJATÉ DOTACE </t>
  </si>
  <si>
    <t>TŘÍDA  4</t>
  </si>
  <si>
    <t>2a) Běžné</t>
  </si>
  <si>
    <t>2b) Kapitálové</t>
  </si>
  <si>
    <t>Přijaté dotace celkem:</t>
  </si>
  <si>
    <t>Rekapitulace příjmů:</t>
  </si>
  <si>
    <t>Tř. 1 - Daňové příjmy</t>
  </si>
  <si>
    <t>Tř. 2. - Nedaňové příjmy</t>
  </si>
  <si>
    <t>Ze tř. 4 - Dotace běžné</t>
  </si>
  <si>
    <t>Vlastní příjmy celkem</t>
  </si>
  <si>
    <t>Tř. 3 - Kapitálové příjmy</t>
  </si>
  <si>
    <t>Ze tř. 4. - Dotace kapitálové</t>
  </si>
  <si>
    <t>Celkem příjmy</t>
  </si>
  <si>
    <t>sk</t>
  </si>
  <si>
    <t>Popis paragrafu</t>
  </si>
  <si>
    <t>běžné</t>
  </si>
  <si>
    <t>kap.</t>
  </si>
  <si>
    <t>celkem</t>
  </si>
  <si>
    <t>Zeměděl. a lesní hospodářství</t>
  </si>
  <si>
    <t>Morávková</t>
  </si>
  <si>
    <t>Faistauer</t>
  </si>
  <si>
    <t>Doprava,vodovody,kanalizace</t>
  </si>
  <si>
    <t>Kultura, církve a sdělovací  prostř.</t>
  </si>
  <si>
    <t>Vydávání zpravodaje</t>
  </si>
  <si>
    <t>Tělovýchova a zájmová činnost</t>
  </si>
  <si>
    <t>Bydlení, komunální služby a územní rozvoj</t>
  </si>
  <si>
    <t>Veřejné osvětlení- provoz ,opravy</t>
  </si>
  <si>
    <t>Sběr a svoz komun. odpadů</t>
  </si>
  <si>
    <t>Péče o vzhled obcí a veřejnou zeleň</t>
  </si>
  <si>
    <t>Sociální péče</t>
  </si>
  <si>
    <t xml:space="preserve">Obecní policie </t>
  </si>
  <si>
    <t>Státní správa, územní samospráva</t>
  </si>
  <si>
    <t>Místní zastupitelské orgány</t>
  </si>
  <si>
    <t>63,64</t>
  </si>
  <si>
    <t>Finanční operace, ostatní činnosti</t>
  </si>
  <si>
    <t>Daň z příjmu práv. osob za obce</t>
  </si>
  <si>
    <t>Celkem výdaje</t>
  </si>
  <si>
    <t>kontrola</t>
  </si>
  <si>
    <t>Příjmy z úroků a fin. majetku</t>
  </si>
  <si>
    <t>Výkup pozemků</t>
  </si>
  <si>
    <t>Příjem z veřejných WC</t>
  </si>
  <si>
    <t>Lesní hospodářství</t>
  </si>
  <si>
    <t>Opravy pronajímaných nebyt. prostor</t>
  </si>
  <si>
    <t>Projekty do 60000,-/ nad 60000</t>
  </si>
  <si>
    <t xml:space="preserve">Činnost místní správy </t>
  </si>
  <si>
    <t>Ost. poplatky</t>
  </si>
  <si>
    <t xml:space="preserve">SPOZ </t>
  </si>
  <si>
    <t>Popl. za komunální odpad</t>
  </si>
  <si>
    <t>Bezpečnost, požár. ochrana</t>
  </si>
  <si>
    <t>k sestavení rozpočtu</t>
  </si>
  <si>
    <t>Poplatek ze psů</t>
  </si>
  <si>
    <t>Popl. za užívání veřejného prostranství</t>
  </si>
  <si>
    <t>DPFO - závislá činnost</t>
  </si>
  <si>
    <t xml:space="preserve">DPH </t>
  </si>
  <si>
    <t>DPFO - srážková daň</t>
  </si>
  <si>
    <t>DP - právnických osob</t>
  </si>
  <si>
    <t>DP práv. osob za obce</t>
  </si>
  <si>
    <t>daň sdílená</t>
  </si>
  <si>
    <t>Zdravotnictví</t>
  </si>
  <si>
    <t>Životní prostředí</t>
  </si>
  <si>
    <t xml:space="preserve">Knihovna </t>
  </si>
  <si>
    <t>Šnorbert</t>
  </si>
  <si>
    <t xml:space="preserve">Dopravní obslužnost </t>
  </si>
  <si>
    <t>Kompenzace za tříděný odpad</t>
  </si>
  <si>
    <t>Provoz parkoviště , park. automaty</t>
  </si>
  <si>
    <t>DPFO-závisl. činnost 1,5% podíl</t>
  </si>
  <si>
    <t>Opravy, údržba komunikací</t>
  </si>
  <si>
    <t>Byty -  opravy z nájemného</t>
  </si>
  <si>
    <t>Byty - platby za služby</t>
  </si>
  <si>
    <t>Nebytové pr. - opravy</t>
  </si>
  <si>
    <t>Nebytové pr. - služby</t>
  </si>
  <si>
    <t>Zvelebilová</t>
  </si>
  <si>
    <t>Přebytek ( - ),   ztráta  (+)</t>
  </si>
  <si>
    <t>24- přijaté splátky půjček</t>
  </si>
  <si>
    <t>23-příjmy z prodeje majetku a ost.nedaňové příjmy</t>
  </si>
  <si>
    <t xml:space="preserve">22-přijaté sankční platby </t>
  </si>
  <si>
    <t>Pasy, obč. průkazy</t>
  </si>
  <si>
    <t xml:space="preserve">Pokuty dopravní </t>
  </si>
  <si>
    <t>Pokuty životní prostředí</t>
  </si>
  <si>
    <t>3,4,6,8,9</t>
  </si>
  <si>
    <t>Pokuty živnost.úřad</t>
  </si>
  <si>
    <t>Krizové řízení, ochrana obyvatelstva</t>
  </si>
  <si>
    <t>uz</t>
  </si>
  <si>
    <t>Zachov. a obn.kult. památek města</t>
  </si>
  <si>
    <t>Rezerva rozpočtová</t>
  </si>
  <si>
    <t>BH - Nájemné byt. prostory vč. penále</t>
  </si>
  <si>
    <t xml:space="preserve">Pečovatelská služba </t>
  </si>
  <si>
    <t>Příjmy z poskytování služeb a výrobků</t>
  </si>
  <si>
    <t>Správní poplatky</t>
  </si>
  <si>
    <t xml:space="preserve">Místní poplatky </t>
  </si>
  <si>
    <t>1b) KAPITÁLOVÉ -</t>
  </si>
  <si>
    <t>rozpočtu</t>
  </si>
  <si>
    <t>správce</t>
  </si>
  <si>
    <t>Provoz veř. WC</t>
  </si>
  <si>
    <t>daň vlastní</t>
  </si>
  <si>
    <t>operace</t>
  </si>
  <si>
    <t>Zelinka</t>
  </si>
  <si>
    <t>Augustin</t>
  </si>
  <si>
    <t>Cerman</t>
  </si>
  <si>
    <t>Platby do svazků obcí, sdružení</t>
  </si>
  <si>
    <t>příkazce</t>
  </si>
  <si>
    <t>Pokuty stavební úřad</t>
  </si>
  <si>
    <t>Stavební poplatky</t>
  </si>
  <si>
    <t>Propagace města, výročí, zahr.spolupráce</t>
  </si>
  <si>
    <t>Životní prostředí poplatky</t>
  </si>
  <si>
    <t>Zvl. užívání místních komun.</t>
  </si>
  <si>
    <t>Dopravní poplatky</t>
  </si>
  <si>
    <t>Areál služeb</t>
  </si>
  <si>
    <t>Městská knihovna</t>
  </si>
  <si>
    <t>Parkovné</t>
  </si>
  <si>
    <t>Nájemné z ost. nemovitostí</t>
  </si>
  <si>
    <t>Daň z nemovitostí</t>
  </si>
  <si>
    <t>BH - služby byt. prostory</t>
  </si>
  <si>
    <t>BH - služby nebyt. prostory</t>
  </si>
  <si>
    <t>Kopírování, ost příjmy správy</t>
  </si>
  <si>
    <t>Prodej pozemků</t>
  </si>
  <si>
    <t>Prodej nemovitostí - bytů,domů</t>
  </si>
  <si>
    <t>Inv. příspěvky 32b.j.</t>
  </si>
  <si>
    <t xml:space="preserve">Souhrnná neinvestiční dotace </t>
  </si>
  <si>
    <t>3769,6171</t>
  </si>
  <si>
    <t>Veřejnopr. smlouvy policie</t>
  </si>
  <si>
    <t xml:space="preserve">Komunální služby </t>
  </si>
  <si>
    <t>Nájemné z pozemků</t>
  </si>
  <si>
    <t xml:space="preserve">Areál služeb </t>
  </si>
  <si>
    <t>Pěstební činnost v lesnictví</t>
  </si>
  <si>
    <t xml:space="preserve">Požární ochrana </t>
  </si>
  <si>
    <t>Pojistění majetku města</t>
  </si>
  <si>
    <t>stejná v příjmech</t>
  </si>
  <si>
    <t>13,14,19,27</t>
  </si>
  <si>
    <t>Zkoušky OZ řidičské průkazy</t>
  </si>
  <si>
    <t>DPFO - přiznání - sdílená část</t>
  </si>
  <si>
    <r>
      <t>F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ri</t>
    </r>
  </si>
  <si>
    <r>
      <t>M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llerová</t>
    </r>
  </si>
  <si>
    <t>Műllerová</t>
  </si>
  <si>
    <t>Opravy budov škol</t>
  </si>
  <si>
    <t>Výdaje,daň za prodej majetku</t>
  </si>
  <si>
    <t>Mečíř</t>
  </si>
  <si>
    <t>Bedrníková</t>
  </si>
  <si>
    <t>Územní plánování</t>
  </si>
  <si>
    <t xml:space="preserve">Ost. sociální péče </t>
  </si>
  <si>
    <t>MŠ Jilemnice - příspěvek na provoz</t>
  </si>
  <si>
    <t>ZŠ Komenského- příspěvek na provoz</t>
  </si>
  <si>
    <t>ZŠ Harracha- příspěvek na provoz</t>
  </si>
  <si>
    <t>Czech Point poplatky</t>
  </si>
  <si>
    <t>Příjmy z věcných břemen pozemků</t>
  </si>
  <si>
    <t>Obnova a zachování kult. hodnot</t>
  </si>
  <si>
    <t>Opravy budov MÚ</t>
  </si>
  <si>
    <t>Právní zastoupení města</t>
  </si>
  <si>
    <t>Péče o stromovou zeleň</t>
  </si>
  <si>
    <t>Dětské centrum příspěvek na provoz</t>
  </si>
  <si>
    <t>Platba DPH za ekonomické činnosti</t>
  </si>
  <si>
    <t>Pokuty správní odbor, přestupky</t>
  </si>
  <si>
    <t>Odvody příspěvkových organizací</t>
  </si>
  <si>
    <t>Příspěvek na odpisy svěř. majetku MŠ</t>
  </si>
  <si>
    <t>Příspěvek na odpisy svěř. majetku ZŠ</t>
  </si>
  <si>
    <t>Příspěvek na odpisy svěř. majetku ZUŠ</t>
  </si>
  <si>
    <t>Příspěvek na odpisy svěř. majetku SDJ</t>
  </si>
  <si>
    <t>312,orj.10</t>
  </si>
  <si>
    <t>103, orj1,2,3,4,1111</t>
  </si>
  <si>
    <t>Stavebnictví, cestovní ruch, služby</t>
  </si>
  <si>
    <t>Územní rozvoj ( Zdravá města)</t>
  </si>
  <si>
    <t>Veřejnopr. smlouvy správní odbor</t>
  </si>
  <si>
    <t>SD Jilm - příspěvek na provoz</t>
  </si>
  <si>
    <t>Příspěvek na činnost Krkonošského muzea</t>
  </si>
  <si>
    <t xml:space="preserve">poznámka k rozpočtu </t>
  </si>
  <si>
    <t>Provoz informačního centra pro mládež</t>
  </si>
  <si>
    <t xml:space="preserve">Odvody z vybraných činností </t>
  </si>
  <si>
    <t>Příjmy za služby pronajímaných prostor</t>
  </si>
  <si>
    <t>Služby pronajímaných prostor</t>
  </si>
  <si>
    <t>Nájemné restaurace pod radnicí</t>
  </si>
  <si>
    <t>Opravy restaurace pod radnicí</t>
  </si>
  <si>
    <t>560Kč/os/rok</t>
  </si>
  <si>
    <t>Stravovadlo - Scolarest, ZŠ</t>
  </si>
  <si>
    <t>Kozáková</t>
  </si>
  <si>
    <t>Nováková</t>
  </si>
  <si>
    <t>3,14,26</t>
  </si>
  <si>
    <t>Příjmy z úroků ( vč. fondů)</t>
  </si>
  <si>
    <t>Kompostárna - provoz (příspěvek svazku)</t>
  </si>
  <si>
    <t>Jandurová</t>
  </si>
  <si>
    <t>Steinerová</t>
  </si>
  <si>
    <t>3349</t>
  </si>
  <si>
    <t>vč. akcí města</t>
  </si>
  <si>
    <t>Vinklář</t>
  </si>
  <si>
    <t>Vávrová</t>
  </si>
  <si>
    <t>700,701,702</t>
  </si>
  <si>
    <t>Dotace na výkon st. správy -  soc. práci</t>
  </si>
  <si>
    <t>Vébrová</t>
  </si>
  <si>
    <t>RM,ZM</t>
  </si>
  <si>
    <t>Vohnická</t>
  </si>
  <si>
    <t>saldo 0</t>
  </si>
  <si>
    <t>700-702</t>
  </si>
  <si>
    <t>Fűri</t>
  </si>
  <si>
    <t>org</t>
  </si>
  <si>
    <t xml:space="preserve">Dotace LK na pečovatelskou službu </t>
  </si>
  <si>
    <t xml:space="preserve">Pokuty ostatní </t>
  </si>
  <si>
    <t>MMN,a.s. - příplatek mimo zákl. kapitál</t>
  </si>
  <si>
    <t>VHS - příspěvky (úroky k úvěru Čistá Jizera)</t>
  </si>
  <si>
    <t>Šolcová</t>
  </si>
  <si>
    <t>Chodník ul. Roztocká - projekce</t>
  </si>
  <si>
    <t>Bulušek</t>
  </si>
  <si>
    <t>Finanční vypořádání z minulých let</t>
  </si>
  <si>
    <t>Dotace na výkon st. správy - soc. právní ochranu dětí</t>
  </si>
  <si>
    <t>Dotace MK ČR na obnovu památek</t>
  </si>
  <si>
    <t>Nájemné ZŠ Libereckého kraje</t>
  </si>
  <si>
    <t>Služby ZŠ Libereckého kraje</t>
  </si>
  <si>
    <t>Nájemné budovy čp. 259</t>
  </si>
  <si>
    <t>Služby nájemníků čp. 259</t>
  </si>
  <si>
    <t>ZUŠ - příspěvek na provoz, čp. 85</t>
  </si>
  <si>
    <t>Sportovní centrum Jilemnice, s.r.o</t>
  </si>
  <si>
    <t>ZŠ Harracha - projekt IROP</t>
  </si>
  <si>
    <t>vyrovnávací platba</t>
  </si>
  <si>
    <t>Nonnerová</t>
  </si>
  <si>
    <t>Lambertová</t>
  </si>
  <si>
    <t>Areál Hraběnka - provoz</t>
  </si>
  <si>
    <t>Daň z hazardních her</t>
  </si>
  <si>
    <t>Splátky úvěrů, dl. závazků</t>
  </si>
  <si>
    <t>13015</t>
  </si>
  <si>
    <t>Služby Hraběnka</t>
  </si>
  <si>
    <t>Grantový program Sport</t>
  </si>
  <si>
    <t>Plán rozvoje sportu - dotace na akce</t>
  </si>
  <si>
    <t>Přijatá náhrada za neplnění úspor z projektu EPC</t>
  </si>
  <si>
    <t>Rekonstrukce MŠ Zámecká</t>
  </si>
  <si>
    <t>Hegrová</t>
  </si>
  <si>
    <t>Příprava území k bytové výstavbě - Nouzov</t>
  </si>
  <si>
    <t>Grantový program Zdravé město</t>
  </si>
  <si>
    <t>Individuální dotace kultura a ost.</t>
  </si>
  <si>
    <t>Individuální dotace tělových. a záj. činnost</t>
  </si>
  <si>
    <t xml:space="preserve">Přijetí  úvěru </t>
  </si>
  <si>
    <t>301, orj. 11</t>
  </si>
  <si>
    <t>Financování soc. služeb v ORP Jilemnice</t>
  </si>
  <si>
    <t>Projekt "MAS Sociání práce v Jilemnici"</t>
  </si>
  <si>
    <t>Veřejnopr. smlouvy soc. služby ORP Jilemnice</t>
  </si>
  <si>
    <t>Veřejnopr. smlouvy pečovatelská služba ORP Jilemnice</t>
  </si>
  <si>
    <t>stejné v příjmech</t>
  </si>
  <si>
    <t>Popl. z pobytu</t>
  </si>
  <si>
    <t>včetně ověřování</t>
  </si>
  <si>
    <t>Spořilov - komunikace a kanalizace</t>
  </si>
  <si>
    <t>z toho 296 dotace na sportoviště</t>
  </si>
  <si>
    <t>40 dotace Svazku na podvečery</t>
  </si>
  <si>
    <t>ostatní z GP soc. služeb</t>
  </si>
  <si>
    <t>Charitní taxi</t>
  </si>
  <si>
    <t>Popl. za znečišť. životního  prostř. a odnětí ZPF</t>
  </si>
  <si>
    <t>včetně pouti a SC</t>
  </si>
  <si>
    <t>Nouzov komunikace - rekonstrukce</t>
  </si>
  <si>
    <t>Udržitelná mobilita - projekt</t>
  </si>
  <si>
    <t>vč. provozu zahr. domku</t>
  </si>
  <si>
    <t>Smuteční síň - studie, projekt</t>
  </si>
  <si>
    <t>Příprava území k bytové výstavbě - Buben</t>
  </si>
  <si>
    <t>přesun z min. let</t>
  </si>
  <si>
    <t>Rejlová</t>
  </si>
  <si>
    <t>indiv. dotace</t>
  </si>
  <si>
    <t>Otáhalová</t>
  </si>
  <si>
    <t>Vzdělávání</t>
  </si>
  <si>
    <t>Použití krizového fondu</t>
  </si>
  <si>
    <t>Most U Jarmary</t>
  </si>
  <si>
    <t>Příjmy místního hospodářství</t>
  </si>
  <si>
    <t>střecha čp. 103,101</t>
  </si>
  <si>
    <t>ukončení v r. 2021</t>
  </si>
  <si>
    <t>Příjmy ze služeb školního stravování</t>
  </si>
  <si>
    <t>Překladiště odpadů - svazek Jilemnicko</t>
  </si>
  <si>
    <t>Cyklostezka Hraběnka - koupaliště</t>
  </si>
  <si>
    <t>Projekt EPC + en. management</t>
  </si>
  <si>
    <t xml:space="preserve"> grantový program</t>
  </si>
  <si>
    <t>Rezerva zateplení odvod 2008</t>
  </si>
  <si>
    <t>Rozpočet 22</t>
  </si>
  <si>
    <t>Rozpočet 2022</t>
  </si>
  <si>
    <t>Vratka do fondu rezerv a rozvoje</t>
  </si>
  <si>
    <t>Zůstatek z roku 2020</t>
  </si>
  <si>
    <t>dotace spolku</t>
  </si>
  <si>
    <t xml:space="preserve">příplatek mimo základní kapitál </t>
  </si>
  <si>
    <t>pokračování z min. let</t>
  </si>
  <si>
    <t xml:space="preserve">změna ÚP </t>
  </si>
  <si>
    <t>Grant. program ORP</t>
  </si>
  <si>
    <t>Hlaváč</t>
  </si>
  <si>
    <t>5110, orj 240</t>
  </si>
  <si>
    <t>22,26,27</t>
  </si>
  <si>
    <t>v r. 2021 prominuto</t>
  </si>
  <si>
    <r>
      <t>Tr</t>
    </r>
    <r>
      <rPr>
        <sz val="8"/>
        <rFont val="Calibri"/>
        <family val="2"/>
        <charset val="238"/>
      </rPr>
      <t>ö</t>
    </r>
    <r>
      <rPr>
        <sz val="8"/>
        <rFont val="Arial CE"/>
        <family val="2"/>
        <charset val="238"/>
      </rPr>
      <t>merová</t>
    </r>
  </si>
  <si>
    <t>Komunikace Hanče a Vrbaty - reko</t>
  </si>
  <si>
    <t>22,25,26</t>
  </si>
  <si>
    <t>Zpracování lesních hospodářských osnov</t>
  </si>
  <si>
    <t>Informační systém a mobilní rozhlas</t>
  </si>
  <si>
    <t>Nájemné PO města - DC</t>
  </si>
  <si>
    <t>5213, 5272</t>
  </si>
  <si>
    <t>Radarový systém</t>
  </si>
  <si>
    <t>převedeno pod SD Jilm</t>
  </si>
  <si>
    <t>schváleno ZM 3.11.21</t>
  </si>
  <si>
    <t>do roku 2028</t>
  </si>
  <si>
    <t>Příjmy z úroků prodej akcií LK</t>
  </si>
  <si>
    <t>Prodej akcií LK - splátka</t>
  </si>
  <si>
    <t>Knihovna - vybavení</t>
  </si>
  <si>
    <t>Výsuvné zábrany</t>
  </si>
  <si>
    <t>Cykolostezka Martinice - koupaliště</t>
  </si>
  <si>
    <t>Pokuty dopravní - radary</t>
  </si>
  <si>
    <t>Trojanová</t>
  </si>
  <si>
    <t>Erlebach</t>
  </si>
  <si>
    <t>Zámecký park - studie, podium</t>
  </si>
  <si>
    <t>Jerychová</t>
  </si>
  <si>
    <t>227, 229</t>
  </si>
  <si>
    <t>Šimková, Rejlová-kap.</t>
  </si>
  <si>
    <t>Příjem ze zrušených poplatků, vstupné</t>
  </si>
  <si>
    <t>13,14,33,32</t>
  </si>
  <si>
    <t>Workoutové hřiště-Hraběnka</t>
  </si>
  <si>
    <t>Provoz, oprava čp. 259 (staré gymnázium)</t>
  </si>
  <si>
    <t>Cyklostezka Jilem-Mart</t>
  </si>
  <si>
    <t>Příjmy z úroků - z poskytn. půjček, dividend</t>
  </si>
  <si>
    <t>akce města u SPOZ, kniha Jilemnice</t>
  </si>
  <si>
    <t>Starý Nouzov</t>
  </si>
  <si>
    <t>projekt 2020-2021, doplatek</t>
  </si>
  <si>
    <t>projekt 2022</t>
  </si>
  <si>
    <t>smlouva do r. 2023</t>
  </si>
  <si>
    <t>žádost o dot.</t>
  </si>
  <si>
    <t>v r. 2022 úroky z úvěru</t>
  </si>
  <si>
    <t>Knihovna součástí SD Jilm</t>
  </si>
  <si>
    <t>45 SKI - úprava tratí</t>
  </si>
  <si>
    <t>zvýšení ceny el. energie</t>
  </si>
  <si>
    <t>dle spl. kalendáře do 2035</t>
  </si>
  <si>
    <t>saldo 1155</t>
  </si>
  <si>
    <t>saldo 240</t>
  </si>
  <si>
    <t>EKO-Jilemnicko od 1.4.22</t>
  </si>
  <si>
    <t>webovky, výdaje IT, auto, soc.práce</t>
  </si>
  <si>
    <t>část přesun z 2021</t>
  </si>
  <si>
    <t>vratka ret.nádž část neinv.</t>
  </si>
  <si>
    <t>posunuto řešení do 31.12.23</t>
  </si>
  <si>
    <t>Rekonst. a výstavba děts.parků a hřišť</t>
  </si>
  <si>
    <t>Financování (vyrovnání rozdílu příjmy - výdaje):</t>
  </si>
  <si>
    <t>Příjmy - výdaje:</t>
  </si>
  <si>
    <t>Výdaje:</t>
  </si>
  <si>
    <t>Sk:</t>
  </si>
  <si>
    <t>Příjmy:</t>
  </si>
  <si>
    <t>Přebytek z roku 2021</t>
  </si>
  <si>
    <t xml:space="preserve">Závazné ukazatele rozpočtu na rok 2022 </t>
  </si>
  <si>
    <t>:)</t>
  </si>
  <si>
    <t>úrok dle spl. kalend. do r. 2026</t>
  </si>
  <si>
    <t>inv.přísp. Jilemnicko - sv.obcí</t>
  </si>
  <si>
    <t>Příjmy - výdaje = - financování</t>
  </si>
  <si>
    <t>z toho 142 dotace na sportoviště</t>
  </si>
  <si>
    <t>v tis. Kč</t>
  </si>
  <si>
    <t>Návratná fin.výp. projekt pro SD Jilm</t>
  </si>
  <si>
    <t xml:space="preserve">SC,s.r.o -obnova a investice sport. zařízení </t>
  </si>
  <si>
    <t>Dotace na projekt "MAS Sociální práce v Jilemnici"</t>
  </si>
  <si>
    <t>13024</t>
  </si>
  <si>
    <t>Prodej knihy Jilemnice</t>
  </si>
  <si>
    <t>MĚSTO JILEMNICE -   Rozpočet 2022 - výdaje</t>
  </si>
  <si>
    <t>MĚSTO JILEMNICE -  Rozpočet 2022 - příjmy</t>
  </si>
  <si>
    <t>Rozpočet na rok 2022 schválen v ZM dne 2. 3. 2022 pod č. usn. 1/29ZM/22.</t>
  </si>
  <si>
    <t>Návrh rozpočtu na rok 2022 projednán a doporučen RM dne 18. 2. 2022 pod č. usn. 1/RM74/22.</t>
  </si>
  <si>
    <t>Návrh rozpočtu na rok 2022 projednán a doporučen FV dne 14. 2. 2022.</t>
  </si>
  <si>
    <t>Návrh rozpočtu na rok  2022 projednán a doporučen ve vedení města 3. 2. 2022.</t>
  </si>
  <si>
    <t>V elektronické podobě vyvěšeno od 7. 3. 2022</t>
  </si>
  <si>
    <t>V Jilemnici 7. 3. 2022</t>
  </si>
  <si>
    <t>MĚSTO JILEMNICE -  Schválený rozpočet 2022 - sumář</t>
  </si>
  <si>
    <t>MĚSTO JILEMNICE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</si>
</sst>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6" formatCode="#,##0.000000"/>
    <numFmt numFmtId="167" formatCode="#,##0.00000"/>
    <numFmt numFmtId="168" formatCode="#,##0.000"/>
    <numFmt numFmtId="169" formatCode="#,##0_ ;[Red]\-#,##0\ "/>
    <numFmt numFmtId="171" formatCode="#,##0.0000"/>
    <numFmt numFmtId="174" formatCode="#,##0.00000000"/>
    <numFmt numFmtId="175" formatCode="0.000"/>
    <numFmt numFmtId="176" formatCode="0.00000"/>
  </numFmts>
  <fonts count="3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sz val="7"/>
      <name val="Arial CE"/>
      <charset val="238"/>
    </font>
    <font>
      <i/>
      <sz val="8"/>
      <name val="Arial CE"/>
      <charset val="238"/>
    </font>
    <font>
      <i/>
      <sz val="8"/>
      <color indexed="8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7"/>
      <name val="Arial CE"/>
      <charset val="238"/>
    </font>
    <font>
      <sz val="14"/>
      <color theme="0"/>
      <name val="Arial CE"/>
      <charset val="238"/>
    </font>
    <font>
      <sz val="13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7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4" fillId="0" borderId="6" xfId="0" applyFont="1" applyBorder="1"/>
    <xf numFmtId="3" fontId="5" fillId="0" borderId="7" xfId="0" applyNumberFormat="1" applyFont="1" applyBorder="1"/>
    <xf numFmtId="0" fontId="3" fillId="0" borderId="9" xfId="0" applyFont="1" applyBorder="1"/>
    <xf numFmtId="3" fontId="4" fillId="0" borderId="7" xfId="0" applyNumberFormat="1" applyFont="1" applyBorder="1"/>
    <xf numFmtId="0" fontId="3" fillId="0" borderId="0" xfId="0" applyFont="1" applyBorder="1"/>
    <xf numFmtId="3" fontId="5" fillId="0" borderId="10" xfId="0" applyNumberFormat="1" applyFont="1" applyFill="1" applyBorder="1" applyAlignment="1" applyProtection="1"/>
    <xf numFmtId="3" fontId="5" fillId="0" borderId="7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5" fillId="0" borderId="13" xfId="0" applyNumberFormat="1" applyFont="1" applyFill="1" applyBorder="1" applyAlignment="1" applyProtection="1"/>
    <xf numFmtId="0" fontId="11" fillId="3" borderId="16" xfId="0" applyNumberFormat="1" applyFont="1" applyFill="1" applyBorder="1" applyAlignment="1" applyProtection="1"/>
    <xf numFmtId="0" fontId="12" fillId="3" borderId="11" xfId="0" applyNumberFormat="1" applyFont="1" applyFill="1" applyBorder="1" applyAlignment="1" applyProtection="1"/>
    <xf numFmtId="0" fontId="12" fillId="3" borderId="13" xfId="0" applyNumberFormat="1" applyFont="1" applyFill="1" applyBorder="1" applyAlignment="1" applyProtection="1"/>
    <xf numFmtId="164" fontId="12" fillId="3" borderId="1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3" fontId="5" fillId="0" borderId="23" xfId="0" applyNumberFormat="1" applyFont="1" applyFill="1" applyBorder="1" applyAlignment="1" applyProtection="1"/>
    <xf numFmtId="3" fontId="5" fillId="0" borderId="13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3" fontId="9" fillId="0" borderId="14" xfId="0" applyNumberFormat="1" applyFont="1" applyFill="1" applyBorder="1" applyAlignment="1" applyProtection="1">
      <alignment horizontal="right"/>
    </xf>
    <xf numFmtId="0" fontId="3" fillId="0" borderId="8" xfId="0" applyFont="1" applyBorder="1"/>
    <xf numFmtId="0" fontId="15" fillId="0" borderId="8" xfId="0" applyFont="1" applyBorder="1"/>
    <xf numFmtId="0" fontId="4" fillId="2" borderId="10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3" fillId="0" borderId="25" xfId="0" applyFont="1" applyBorder="1"/>
    <xf numFmtId="0" fontId="4" fillId="0" borderId="9" xfId="0" applyNumberFormat="1" applyFont="1" applyFill="1" applyBorder="1" applyAlignment="1" applyProtection="1"/>
    <xf numFmtId="0" fontId="15" fillId="0" borderId="0" xfId="0" applyFont="1"/>
    <xf numFmtId="0" fontId="3" fillId="0" borderId="10" xfId="0" applyNumberFormat="1" applyFont="1" applyFill="1" applyBorder="1" applyAlignment="1" applyProtection="1"/>
    <xf numFmtId="0" fontId="15" fillId="0" borderId="10" xfId="0" applyFont="1" applyBorder="1"/>
    <xf numFmtId="0" fontId="5" fillId="0" borderId="0" xfId="0" applyFont="1" applyFill="1"/>
    <xf numFmtId="0" fontId="4" fillId="0" borderId="19" xfId="0" applyNumberFormat="1" applyFont="1" applyFill="1" applyBorder="1" applyAlignment="1" applyProtection="1"/>
    <xf numFmtId="0" fontId="5" fillId="0" borderId="27" xfId="0" applyNumberFormat="1" applyFont="1" applyFill="1" applyBorder="1" applyAlignment="1" applyProtection="1"/>
    <xf numFmtId="0" fontId="15" fillId="0" borderId="9" xfId="0" applyFont="1" applyBorder="1"/>
    <xf numFmtId="0" fontId="4" fillId="2" borderId="10" xfId="0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0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right"/>
    </xf>
    <xf numFmtId="3" fontId="15" fillId="0" borderId="0" xfId="0" applyNumberFormat="1" applyFont="1"/>
    <xf numFmtId="0" fontId="5" fillId="0" borderId="10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/>
    <xf numFmtId="0" fontId="15" fillId="0" borderId="0" xfId="0" applyFont="1" applyFill="1"/>
    <xf numFmtId="0" fontId="5" fillId="0" borderId="14" xfId="0" applyNumberFormat="1" applyFont="1" applyFill="1" applyBorder="1" applyAlignment="1" applyProtection="1"/>
    <xf numFmtId="0" fontId="15" fillId="0" borderId="14" xfId="0" applyNumberFormat="1" applyFont="1" applyFill="1" applyBorder="1" applyAlignment="1" applyProtection="1"/>
    <xf numFmtId="0" fontId="15" fillId="2" borderId="10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>
      <alignment horizontal="right"/>
    </xf>
    <xf numFmtId="0" fontId="3" fillId="0" borderId="9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right"/>
    </xf>
    <xf numFmtId="0" fontId="15" fillId="0" borderId="4" xfId="0" applyFont="1" applyBorder="1"/>
    <xf numFmtId="0" fontId="15" fillId="0" borderId="0" xfId="0" applyFont="1" applyBorder="1"/>
    <xf numFmtId="0" fontId="15" fillId="0" borderId="8" xfId="0" applyFont="1" applyFill="1" applyBorder="1"/>
    <xf numFmtId="0" fontId="4" fillId="0" borderId="28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15" fillId="0" borderId="9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15" fillId="0" borderId="22" xfId="0" applyNumberFormat="1" applyFont="1" applyFill="1" applyBorder="1" applyAlignment="1" applyProtection="1"/>
    <xf numFmtId="0" fontId="5" fillId="0" borderId="29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3" fillId="0" borderId="26" xfId="0" applyFont="1" applyBorder="1" applyAlignment="1">
      <alignment horizontal="center"/>
    </xf>
    <xf numFmtId="9" fontId="5" fillId="0" borderId="8" xfId="2" applyFont="1" applyBorder="1"/>
    <xf numFmtId="9" fontId="4" fillId="0" borderId="8" xfId="2" applyFont="1" applyBorder="1"/>
    <xf numFmtId="0" fontId="15" fillId="0" borderId="6" xfId="0" applyFont="1" applyBorder="1"/>
    <xf numFmtId="3" fontId="4" fillId="0" borderId="29" xfId="0" applyNumberFormat="1" applyFont="1" applyFill="1" applyBorder="1" applyAlignment="1" applyProtection="1"/>
    <xf numFmtId="0" fontId="5" fillId="0" borderId="33" xfId="0" applyNumberFormat="1" applyFont="1" applyFill="1" applyBorder="1" applyAlignment="1" applyProtection="1"/>
    <xf numFmtId="0" fontId="3" fillId="0" borderId="32" xfId="0" applyFont="1" applyBorder="1"/>
    <xf numFmtId="0" fontId="3" fillId="0" borderId="34" xfId="0" applyFont="1" applyBorder="1"/>
    <xf numFmtId="0" fontId="15" fillId="0" borderId="35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right"/>
    </xf>
    <xf numFmtId="49" fontId="15" fillId="0" borderId="35" xfId="0" applyNumberFormat="1" applyFont="1" applyBorder="1" applyAlignment="1">
      <alignment horizontal="right"/>
    </xf>
    <xf numFmtId="0" fontId="15" fillId="0" borderId="34" xfId="0" applyFont="1" applyBorder="1"/>
    <xf numFmtId="0" fontId="5" fillId="0" borderId="0" xfId="0" applyFont="1" applyFill="1" applyAlignment="1"/>
    <xf numFmtId="4" fontId="5" fillId="0" borderId="0" xfId="0" applyNumberFormat="1" applyFont="1" applyFill="1" applyAlignment="1"/>
    <xf numFmtId="49" fontId="15" fillId="0" borderId="1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right"/>
    </xf>
    <xf numFmtId="164" fontId="15" fillId="0" borderId="10" xfId="0" applyNumberFormat="1" applyFont="1" applyBorder="1" applyAlignment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7" fontId="5" fillId="0" borderId="14" xfId="0" applyNumberFormat="1" applyFont="1" applyFill="1" applyBorder="1" applyAlignment="1" applyProtection="1">
      <alignment horizontal="right"/>
    </xf>
    <xf numFmtId="0" fontId="5" fillId="2" borderId="10" xfId="0" applyNumberFormat="1" applyFont="1" applyFill="1" applyBorder="1" applyAlignment="1" applyProtection="1">
      <alignment horizontal="right"/>
    </xf>
    <xf numFmtId="3" fontId="4" fillId="0" borderId="10" xfId="0" applyNumberFormat="1" applyFont="1" applyFill="1" applyBorder="1" applyAlignment="1" applyProtection="1">
      <alignment horizontal="right"/>
    </xf>
    <xf numFmtId="4" fontId="10" fillId="3" borderId="24" xfId="0" applyNumberFormat="1" applyFont="1" applyFill="1" applyBorder="1" applyAlignment="1" applyProtection="1">
      <alignment horizontal="right"/>
    </xf>
    <xf numFmtId="0" fontId="15" fillId="0" borderId="30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167" fontId="15" fillId="0" borderId="15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/>
    <xf numFmtId="3" fontId="5" fillId="0" borderId="20" xfId="0" applyNumberFormat="1" applyFont="1" applyFill="1" applyBorder="1" applyAlignment="1" applyProtection="1"/>
    <xf numFmtId="0" fontId="15" fillId="0" borderId="0" xfId="0" applyFont="1" applyFill="1" applyBorder="1"/>
    <xf numFmtId="0" fontId="5" fillId="0" borderId="15" xfId="0" applyFont="1" applyFill="1" applyBorder="1" applyAlignment="1">
      <alignment horizontal="right"/>
    </xf>
    <xf numFmtId="3" fontId="5" fillId="0" borderId="10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/>
    <xf numFmtId="168" fontId="6" fillId="0" borderId="0" xfId="0" applyNumberFormat="1" applyFont="1" applyFill="1"/>
    <xf numFmtId="3" fontId="4" fillId="0" borderId="37" xfId="0" applyNumberFormat="1" applyFont="1" applyFill="1" applyBorder="1" applyAlignment="1" applyProtection="1"/>
    <xf numFmtId="0" fontId="4" fillId="0" borderId="26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right"/>
    </xf>
    <xf numFmtId="3" fontId="18" fillId="0" borderId="10" xfId="0" applyNumberFormat="1" applyFont="1" applyFill="1" applyBorder="1" applyAlignment="1" applyProtection="1">
      <alignment horizontal="right"/>
    </xf>
    <xf numFmtId="4" fontId="5" fillId="0" borderId="10" xfId="0" applyNumberFormat="1" applyFont="1" applyFill="1" applyBorder="1" applyAlignment="1" applyProtection="1">
      <alignment horizontal="right"/>
    </xf>
    <xf numFmtId="0" fontId="4" fillId="4" borderId="8" xfId="0" applyNumberFormat="1" applyFont="1" applyFill="1" applyBorder="1" applyAlignment="1" applyProtection="1">
      <alignment horizontal="center"/>
    </xf>
    <xf numFmtId="0" fontId="5" fillId="0" borderId="33" xfId="0" applyFont="1" applyFill="1" applyBorder="1"/>
    <xf numFmtId="0" fontId="4" fillId="0" borderId="28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5" fillId="0" borderId="10" xfId="0" applyFont="1" applyFill="1" applyBorder="1"/>
    <xf numFmtId="4" fontId="15" fillId="0" borderId="0" xfId="0" applyNumberFormat="1" applyFont="1" applyFill="1"/>
    <xf numFmtId="3" fontId="15" fillId="0" borderId="10" xfId="0" applyNumberFormat="1" applyFont="1" applyBorder="1" applyAlignment="1">
      <alignment horizontal="right"/>
    </xf>
    <xf numFmtId="0" fontId="23" fillId="0" borderId="2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/>
    <xf numFmtId="0" fontId="23" fillId="0" borderId="0" xfId="0" applyFont="1"/>
    <xf numFmtId="4" fontId="5" fillId="0" borderId="0" xfId="0" applyNumberFormat="1" applyFont="1" applyFill="1" applyBorder="1" applyAlignment="1" applyProtection="1"/>
    <xf numFmtId="1" fontId="5" fillId="0" borderId="10" xfId="0" applyNumberFormat="1" applyFont="1" applyFill="1" applyBorder="1" applyAlignment="1" applyProtection="1"/>
    <xf numFmtId="4" fontId="5" fillId="0" borderId="0" xfId="0" applyNumberFormat="1" applyFont="1" applyFill="1"/>
    <xf numFmtId="0" fontId="5" fillId="0" borderId="14" xfId="0" applyNumberFormat="1" applyFont="1" applyFill="1" applyBorder="1" applyAlignment="1" applyProtection="1">
      <alignment horizontal="right"/>
    </xf>
    <xf numFmtId="4" fontId="4" fillId="0" borderId="38" xfId="0" applyNumberFormat="1" applyFont="1" applyFill="1" applyBorder="1" applyAlignment="1" applyProtection="1">
      <alignment horizontal="center"/>
    </xf>
    <xf numFmtId="171" fontId="4" fillId="0" borderId="12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center"/>
    </xf>
    <xf numFmtId="3" fontId="5" fillId="0" borderId="7" xfId="0" applyNumberFormat="1" applyFont="1" applyBorder="1"/>
    <xf numFmtId="0" fontId="15" fillId="0" borderId="0" xfId="0" applyFont="1"/>
    <xf numFmtId="168" fontId="0" fillId="0" borderId="0" xfId="0" applyNumberFormat="1" applyFont="1" applyFill="1"/>
    <xf numFmtId="0" fontId="3" fillId="0" borderId="0" xfId="0" applyFont="1" applyFill="1"/>
    <xf numFmtId="167" fontId="5" fillId="0" borderId="0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/>
    <xf numFmtId="3" fontId="15" fillId="0" borderId="0" xfId="0" applyNumberFormat="1" applyFont="1" applyFill="1" applyBorder="1"/>
    <xf numFmtId="169" fontId="15" fillId="0" borderId="0" xfId="0" applyNumberFormat="1" applyFont="1" applyFill="1" applyBorder="1" applyAlignment="1"/>
    <xf numFmtId="3" fontId="5" fillId="0" borderId="7" xfId="0" applyNumberFormat="1" applyFont="1" applyFill="1" applyBorder="1" applyAlignment="1" applyProtection="1">
      <alignment horizontal="right"/>
    </xf>
    <xf numFmtId="0" fontId="0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right"/>
    </xf>
    <xf numFmtId="0" fontId="0" fillId="0" borderId="0" xfId="0" applyFont="1"/>
    <xf numFmtId="3" fontId="25" fillId="0" borderId="9" xfId="0" applyNumberFormat="1" applyFont="1" applyFill="1" applyBorder="1" applyAlignment="1" applyProtection="1">
      <protection locked="0"/>
    </xf>
    <xf numFmtId="168" fontId="10" fillId="0" borderId="10" xfId="0" applyNumberFormat="1" applyFont="1" applyFill="1" applyBorder="1" applyAlignment="1" applyProtection="1">
      <alignment horizontal="right"/>
    </xf>
    <xf numFmtId="10" fontId="15" fillId="0" borderId="0" xfId="0" applyNumberFormat="1" applyFont="1"/>
    <xf numFmtId="174" fontId="5" fillId="0" borderId="10" xfId="0" applyNumberFormat="1" applyFont="1" applyFill="1" applyBorder="1" applyAlignment="1" applyProtection="1">
      <alignment horizontal="right"/>
    </xf>
    <xf numFmtId="2" fontId="5" fillId="0" borderId="10" xfId="0" applyNumberFormat="1" applyFont="1" applyFill="1" applyBorder="1" applyAlignment="1" applyProtection="1">
      <alignment horizontal="right"/>
    </xf>
    <xf numFmtId="175" fontId="5" fillId="0" borderId="10" xfId="0" applyNumberFormat="1" applyFont="1" applyFill="1" applyBorder="1" applyAlignment="1" applyProtection="1">
      <alignment horizontal="right"/>
    </xf>
    <xf numFmtId="176" fontId="5" fillId="0" borderId="10" xfId="0" applyNumberFormat="1" applyFont="1" applyFill="1" applyBorder="1" applyAlignment="1" applyProtection="1">
      <alignment horizontal="right"/>
    </xf>
    <xf numFmtId="167" fontId="4" fillId="0" borderId="10" xfId="0" applyNumberFormat="1" applyFont="1" applyFill="1" applyBorder="1" applyAlignment="1" applyProtection="1">
      <alignment horizontal="right"/>
    </xf>
    <xf numFmtId="0" fontId="27" fillId="0" borderId="7" xfId="0" applyNumberFormat="1" applyFont="1" applyFill="1" applyBorder="1" applyAlignment="1" applyProtection="1">
      <alignment horizontal="right"/>
    </xf>
    <xf numFmtId="3" fontId="27" fillId="0" borderId="10" xfId="0" applyNumberFormat="1" applyFont="1" applyFill="1" applyBorder="1" applyAlignment="1" applyProtection="1">
      <alignment horizontal="right"/>
    </xf>
    <xf numFmtId="3" fontId="28" fillId="0" borderId="10" xfId="0" applyNumberFormat="1" applyFont="1" applyFill="1" applyBorder="1" applyAlignment="1" applyProtection="1">
      <alignment horizontal="right"/>
    </xf>
    <xf numFmtId="0" fontId="0" fillId="0" borderId="0" xfId="0"/>
    <xf numFmtId="0" fontId="5" fillId="0" borderId="10" xfId="0" applyNumberFormat="1" applyFont="1" applyFill="1" applyBorder="1" applyAlignment="1" applyProtection="1"/>
    <xf numFmtId="164" fontId="10" fillId="0" borderId="10" xfId="0" applyNumberFormat="1" applyFont="1" applyFill="1" applyBorder="1" applyAlignment="1" applyProtection="1">
      <alignment horizontal="right"/>
    </xf>
    <xf numFmtId="3" fontId="10" fillId="0" borderId="10" xfId="0" applyNumberFormat="1" applyFont="1" applyFill="1" applyBorder="1" applyAlignment="1" applyProtection="1">
      <alignment horizontal="right"/>
    </xf>
    <xf numFmtId="0" fontId="15" fillId="0" borderId="0" xfId="0" applyFont="1"/>
    <xf numFmtId="0" fontId="15" fillId="0" borderId="10" xfId="0" applyNumberFormat="1" applyFont="1" applyFill="1" applyBorder="1" applyAlignment="1" applyProtection="1"/>
    <xf numFmtId="168" fontId="10" fillId="0" borderId="7" xfId="0" applyNumberFormat="1" applyFont="1" applyFill="1" applyBorder="1" applyAlignment="1" applyProtection="1">
      <alignment horizontal="right"/>
    </xf>
    <xf numFmtId="3" fontId="3" fillId="0" borderId="0" xfId="0" applyNumberFormat="1" applyFont="1"/>
    <xf numFmtId="3" fontId="17" fillId="0" borderId="10" xfId="0" applyNumberFormat="1" applyFont="1" applyFill="1" applyBorder="1" applyAlignment="1" applyProtection="1">
      <alignment horizontal="right"/>
    </xf>
    <xf numFmtId="3" fontId="5" fillId="4" borderId="7" xfId="0" applyNumberFormat="1" applyFont="1" applyFill="1" applyBorder="1"/>
    <xf numFmtId="3" fontId="4" fillId="4" borderId="7" xfId="0" applyNumberFormat="1" applyFont="1" applyFill="1" applyBorder="1"/>
    <xf numFmtId="3" fontId="5" fillId="4" borderId="10" xfId="0" applyNumberFormat="1" applyFont="1" applyFill="1" applyBorder="1" applyAlignment="1" applyProtection="1"/>
    <xf numFmtId="3" fontId="5" fillId="4" borderId="7" xfId="0" applyNumberFormat="1" applyFont="1" applyFill="1" applyBorder="1" applyAlignment="1" applyProtection="1"/>
    <xf numFmtId="3" fontId="4" fillId="4" borderId="10" xfId="0" applyNumberFormat="1" applyFont="1" applyFill="1" applyBorder="1"/>
    <xf numFmtId="3" fontId="5" fillId="4" borderId="26" xfId="0" applyNumberFormat="1" applyFont="1" applyFill="1" applyBorder="1"/>
    <xf numFmtId="0" fontId="4" fillId="4" borderId="31" xfId="0" applyNumberFormat="1" applyFont="1" applyFill="1" applyBorder="1" applyAlignment="1" applyProtection="1">
      <alignment horizontal="center"/>
    </xf>
    <xf numFmtId="3" fontId="4" fillId="4" borderId="6" xfId="0" applyNumberFormat="1" applyFont="1" applyFill="1" applyBorder="1" applyAlignment="1" applyProtection="1">
      <alignment horizontal="center"/>
    </xf>
    <xf numFmtId="3" fontId="5" fillId="0" borderId="35" xfId="0" applyNumberFormat="1" applyFont="1" applyFill="1" applyBorder="1" applyAlignment="1" applyProtection="1"/>
    <xf numFmtId="0" fontId="29" fillId="0" borderId="0" xfId="0" applyFont="1"/>
    <xf numFmtId="4" fontId="26" fillId="0" borderId="0" xfId="0" applyNumberFormat="1" applyFont="1" applyFill="1" applyBorder="1" applyAlignment="1"/>
    <xf numFmtId="3" fontId="31" fillId="0" borderId="31" xfId="0" applyNumberFormat="1" applyFont="1" applyFill="1" applyBorder="1" applyAlignment="1" applyProtection="1">
      <alignment horizontal="center"/>
    </xf>
    <xf numFmtId="0" fontId="31" fillId="0" borderId="8" xfId="0" applyNumberFormat="1" applyFont="1" applyFill="1" applyBorder="1" applyAlignment="1" applyProtection="1">
      <alignment horizontal="center"/>
    </xf>
    <xf numFmtId="3" fontId="31" fillId="0" borderId="6" xfId="0" applyNumberFormat="1" applyFont="1" applyFill="1" applyBorder="1" applyAlignment="1" applyProtection="1">
      <alignment horizontal="center"/>
    </xf>
    <xf numFmtId="3" fontId="31" fillId="0" borderId="3" xfId="0" applyNumberFormat="1" applyFont="1" applyFill="1" applyBorder="1" applyAlignment="1" applyProtection="1"/>
    <xf numFmtId="3" fontId="26" fillId="0" borderId="8" xfId="0" applyNumberFormat="1" applyFont="1" applyFill="1" applyBorder="1" applyAlignment="1" applyProtection="1"/>
    <xf numFmtId="3" fontId="31" fillId="0" borderId="21" xfId="0" applyNumberFormat="1" applyFont="1" applyFill="1" applyBorder="1" applyAlignment="1" applyProtection="1"/>
    <xf numFmtId="3" fontId="26" fillId="0" borderId="23" xfId="0" applyNumberFormat="1" applyFont="1" applyFill="1" applyBorder="1" applyAlignment="1" applyProtection="1"/>
    <xf numFmtId="3" fontId="31" fillId="0" borderId="8" xfId="0" applyNumberFormat="1" applyFont="1" applyFill="1" applyBorder="1" applyAlignment="1" applyProtection="1"/>
    <xf numFmtId="0" fontId="26" fillId="0" borderId="8" xfId="0" applyNumberFormat="1" applyFont="1" applyFill="1" applyBorder="1" applyAlignment="1" applyProtection="1"/>
    <xf numFmtId="0" fontId="26" fillId="0" borderId="0" xfId="0" applyFont="1" applyFill="1"/>
    <xf numFmtId="3" fontId="31" fillId="0" borderId="37" xfId="0" applyNumberFormat="1" applyFont="1" applyFill="1" applyBorder="1" applyAlignment="1" applyProtection="1"/>
    <xf numFmtId="3" fontId="26" fillId="0" borderId="0" xfId="0" applyNumberFormat="1" applyFont="1" applyFill="1" applyBorder="1" applyAlignment="1" applyProtection="1"/>
    <xf numFmtId="0" fontId="32" fillId="0" borderId="0" xfId="0" applyFont="1" applyBorder="1"/>
    <xf numFmtId="0" fontId="30" fillId="0" borderId="0" xfId="0" applyFont="1" applyBorder="1"/>
    <xf numFmtId="0" fontId="0" fillId="0" borderId="0" xfId="0" applyBorder="1"/>
    <xf numFmtId="0" fontId="7" fillId="0" borderId="0" xfId="0" applyFont="1" applyBorder="1"/>
    <xf numFmtId="3" fontId="0" fillId="0" borderId="0" xfId="0" applyNumberFormat="1" applyBorder="1"/>
    <xf numFmtId="3" fontId="7" fillId="0" borderId="0" xfId="0" applyNumberFormat="1" applyFont="1" applyBorder="1"/>
    <xf numFmtId="0" fontId="0" fillId="0" borderId="0" xfId="0" applyNumberFormat="1" applyFont="1" applyFill="1" applyBorder="1" applyAlignment="1" applyProtection="1"/>
    <xf numFmtId="3" fontId="0" fillId="0" borderId="0" xfId="0" applyNumberFormat="1" applyFont="1" applyBorder="1"/>
    <xf numFmtId="0" fontId="0" fillId="0" borderId="0" xfId="0" applyFill="1" applyBorder="1"/>
    <xf numFmtId="0" fontId="7" fillId="0" borderId="0" xfId="0" applyNumberFormat="1" applyFont="1" applyFill="1" applyBorder="1" applyAlignment="1" applyProtection="1"/>
    <xf numFmtId="0" fontId="33" fillId="0" borderId="0" xfId="0" applyFont="1" applyBorder="1" applyAlignment="1">
      <alignment horizontal="right"/>
    </xf>
    <xf numFmtId="0" fontId="26" fillId="0" borderId="36" xfId="0" applyFont="1" applyFill="1" applyBorder="1"/>
    <xf numFmtId="0" fontId="5" fillId="0" borderId="17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3" fontId="26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4" fillId="0" borderId="21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4" fillId="0" borderId="23" xfId="0" applyNumberFormat="1" applyFont="1" applyFill="1" applyBorder="1" applyAlignment="1" applyProtection="1"/>
    <xf numFmtId="0" fontId="4" fillId="0" borderId="37" xfId="0" applyNumberFormat="1" applyFont="1" applyFill="1" applyBorder="1" applyAlignment="1" applyProtection="1"/>
    <xf numFmtId="4" fontId="4" fillId="0" borderId="21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>
      <alignment horizontal="right"/>
    </xf>
    <xf numFmtId="3" fontId="8" fillId="4" borderId="12" xfId="0" applyNumberFormat="1" applyFont="1" applyFill="1" applyBorder="1" applyAlignment="1" applyProtection="1">
      <alignment horizontal="right"/>
    </xf>
    <xf numFmtId="3" fontId="8" fillId="0" borderId="5" xfId="0" applyNumberFormat="1" applyFont="1" applyFill="1" applyBorder="1" applyAlignment="1" applyProtection="1">
      <alignment horizontal="center"/>
    </xf>
    <xf numFmtId="3" fontId="17" fillId="2" borderId="10" xfId="0" applyNumberFormat="1" applyFont="1" applyFill="1" applyBorder="1" applyAlignment="1" applyProtection="1">
      <alignment horizontal="right"/>
    </xf>
    <xf numFmtId="3" fontId="17" fillId="4" borderId="10" xfId="0" applyNumberFormat="1" applyFont="1" applyFill="1" applyBorder="1" applyAlignment="1" applyProtection="1">
      <alignment horizontal="right"/>
    </xf>
    <xf numFmtId="3" fontId="18" fillId="4" borderId="10" xfId="0" applyNumberFormat="1" applyFont="1" applyFill="1" applyBorder="1" applyAlignment="1" applyProtection="1">
      <alignment horizontal="right"/>
    </xf>
    <xf numFmtId="3" fontId="17" fillId="0" borderId="14" xfId="0" applyNumberFormat="1" applyFont="1" applyFill="1" applyBorder="1" applyAlignment="1" applyProtection="1">
      <alignment horizontal="right"/>
    </xf>
    <xf numFmtId="3" fontId="6" fillId="4" borderId="10" xfId="0" applyNumberFormat="1" applyFont="1" applyFill="1" applyBorder="1" applyAlignment="1" applyProtection="1">
      <alignment horizontal="right"/>
    </xf>
    <xf numFmtId="3" fontId="18" fillId="2" borderId="10" xfId="0" applyNumberFormat="1" applyFont="1" applyFill="1" applyBorder="1" applyAlignment="1" applyProtection="1">
      <alignment horizontal="right"/>
    </xf>
    <xf numFmtId="3" fontId="8" fillId="0" borderId="14" xfId="0" applyNumberFormat="1" applyFont="1" applyFill="1" applyBorder="1" applyAlignment="1" applyProtection="1">
      <alignment horizontal="right"/>
    </xf>
    <xf numFmtId="3" fontId="17" fillId="3" borderId="13" xfId="0" applyNumberFormat="1" applyFont="1" applyFill="1" applyBorder="1" applyAlignment="1" applyProtection="1">
      <alignment horizontal="right"/>
    </xf>
    <xf numFmtId="3" fontId="8" fillId="0" borderId="17" xfId="0" applyNumberFormat="1" applyFont="1" applyFill="1" applyBorder="1" applyAlignment="1" applyProtection="1">
      <alignment horizontal="center"/>
    </xf>
    <xf numFmtId="3" fontId="6" fillId="0" borderId="15" xfId="0" applyNumberFormat="1" applyFont="1" applyFill="1" applyBorder="1" applyAlignment="1" applyProtection="1"/>
    <xf numFmtId="3" fontId="18" fillId="0" borderId="15" xfId="0" applyNumberFormat="1" applyFont="1" applyFill="1" applyBorder="1" applyAlignment="1" applyProtection="1">
      <alignment horizontal="right"/>
    </xf>
    <xf numFmtId="3" fontId="8" fillId="0" borderId="15" xfId="0" applyNumberFormat="1" applyFont="1" applyFill="1" applyBorder="1" applyAlignment="1" applyProtection="1">
      <alignment horizontal="right"/>
    </xf>
    <xf numFmtId="3" fontId="6" fillId="0" borderId="15" xfId="0" applyNumberFormat="1" applyFont="1" applyFill="1" applyBorder="1" applyAlignment="1" applyProtection="1">
      <alignment horizontal="right"/>
    </xf>
    <xf numFmtId="3" fontId="7" fillId="0" borderId="18" xfId="0" applyNumberFormat="1" applyFont="1" applyFill="1" applyBorder="1" applyAlignment="1" applyProtection="1">
      <alignment horizontal="right"/>
    </xf>
    <xf numFmtId="3" fontId="0" fillId="0" borderId="0" xfId="0" applyNumberFormat="1" applyFont="1"/>
    <xf numFmtId="3" fontId="4" fillId="4" borderId="3" xfId="0" applyNumberFormat="1" applyFont="1" applyFill="1" applyBorder="1" applyAlignment="1" applyProtection="1"/>
    <xf numFmtId="3" fontId="5" fillId="4" borderId="8" xfId="0" applyNumberFormat="1" applyFont="1" applyFill="1" applyBorder="1" applyAlignment="1" applyProtection="1"/>
    <xf numFmtId="3" fontId="4" fillId="4" borderId="21" xfId="0" applyNumberFormat="1" applyFont="1" applyFill="1" applyBorder="1" applyAlignment="1" applyProtection="1"/>
    <xf numFmtId="3" fontId="5" fillId="4" borderId="23" xfId="0" applyNumberFormat="1" applyFont="1" applyFill="1" applyBorder="1" applyAlignment="1" applyProtection="1"/>
    <xf numFmtId="3" fontId="4" fillId="4" borderId="8" xfId="0" applyNumberFormat="1" applyFont="1" applyFill="1" applyBorder="1" applyAlignment="1" applyProtection="1"/>
    <xf numFmtId="3" fontId="4" fillId="4" borderId="37" xfId="0" applyNumberFormat="1" applyFont="1" applyFill="1" applyBorder="1" applyAlignment="1" applyProtection="1"/>
    <xf numFmtId="3" fontId="5" fillId="4" borderId="6" xfId="0" applyNumberFormat="1" applyFont="1" applyFill="1" applyBorder="1" applyAlignment="1" applyProtection="1"/>
    <xf numFmtId="0" fontId="5" fillId="0" borderId="31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22" xfId="0" applyFont="1" applyFill="1" applyBorder="1"/>
    <xf numFmtId="3" fontId="6" fillId="0" borderId="9" xfId="0" applyNumberFormat="1" applyFont="1" applyFill="1" applyBorder="1" applyAlignment="1" applyProtection="1"/>
    <xf numFmtId="3" fontId="18" fillId="0" borderId="8" xfId="0" applyNumberFormat="1" applyFont="1" applyFill="1" applyBorder="1" applyAlignment="1" applyProtection="1">
      <alignment horizontal="left"/>
    </xf>
    <xf numFmtId="3" fontId="5" fillId="0" borderId="36" xfId="0" applyNumberFormat="1" applyFont="1" applyFill="1" applyBorder="1" applyAlignment="1" applyProtection="1"/>
    <xf numFmtId="0" fontId="5" fillId="0" borderId="21" xfId="0" applyFont="1" applyFill="1" applyBorder="1"/>
    <xf numFmtId="0" fontId="5" fillId="0" borderId="37" xfId="0" applyFont="1" applyFill="1" applyBorder="1"/>
    <xf numFmtId="0" fontId="5" fillId="0" borderId="6" xfId="0" applyFont="1" applyFill="1" applyBorder="1"/>
    <xf numFmtId="3" fontId="26" fillId="0" borderId="33" xfId="0" applyNumberFormat="1" applyFont="1" applyFill="1" applyBorder="1" applyAlignment="1" applyProtection="1"/>
    <xf numFmtId="0" fontId="15" fillId="0" borderId="10" xfId="0" applyNumberFormat="1" applyFont="1" applyFill="1" applyBorder="1" applyAlignment="1" applyProtection="1">
      <alignment horizontal="right"/>
    </xf>
    <xf numFmtId="0" fontId="4" fillId="0" borderId="14" xfId="0" applyNumberFormat="1" applyFont="1" applyFill="1" applyBorder="1" applyAlignment="1" applyProtection="1">
      <alignment horizontal="right"/>
    </xf>
    <xf numFmtId="0" fontId="0" fillId="0" borderId="10" xfId="0" applyNumberFormat="1" applyFont="1" applyFill="1" applyBorder="1" applyAlignment="1" applyProtection="1">
      <alignment horizontal="right"/>
    </xf>
    <xf numFmtId="49" fontId="5" fillId="0" borderId="10" xfId="0" applyNumberFormat="1" applyFont="1" applyFill="1" applyBorder="1" applyAlignment="1" applyProtection="1">
      <alignment horizontal="right"/>
    </xf>
    <xf numFmtId="0" fontId="12" fillId="3" borderId="1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1" fontId="5" fillId="0" borderId="13" xfId="0" applyNumberFormat="1" applyFont="1" applyFill="1" applyBorder="1" applyAlignment="1" applyProtection="1"/>
    <xf numFmtId="0" fontId="4" fillId="0" borderId="3" xfId="0" applyFont="1" applyBorder="1" applyAlignment="1">
      <alignment horizontal="center"/>
    </xf>
    <xf numFmtId="9" fontId="8" fillId="0" borderId="8" xfId="2" applyFont="1" applyBorder="1"/>
    <xf numFmtId="0" fontId="36" fillId="0" borderId="9" xfId="0" applyNumberFormat="1" applyFont="1" applyFill="1" applyBorder="1" applyAlignment="1" applyProtection="1">
      <alignment horizontal="left"/>
    </xf>
    <xf numFmtId="0" fontId="36" fillId="0" borderId="8" xfId="0" applyFont="1" applyFill="1" applyBorder="1"/>
    <xf numFmtId="9" fontId="36" fillId="0" borderId="4" xfId="2" applyFont="1" applyFill="1" applyBorder="1" applyAlignment="1" applyProtection="1">
      <alignment horizontal="left"/>
    </xf>
    <xf numFmtId="0" fontId="36" fillId="0" borderId="6" xfId="0" applyFont="1" applyFill="1" applyBorder="1"/>
    <xf numFmtId="0" fontId="36" fillId="0" borderId="12" xfId="0" applyNumberFormat="1" applyFont="1" applyFill="1" applyBorder="1" applyAlignment="1" applyProtection="1">
      <alignment horizontal="right"/>
    </xf>
    <xf numFmtId="0" fontId="36" fillId="0" borderId="5" xfId="0" applyNumberFormat="1" applyFont="1" applyFill="1" applyBorder="1" applyAlignment="1" applyProtection="1">
      <alignment horizontal="right"/>
    </xf>
    <xf numFmtId="0" fontId="30" fillId="0" borderId="0" xfId="0" applyFont="1"/>
  </cellXfs>
  <cellStyles count="3">
    <cellStyle name="Normální" xfId="0" builtinId="0"/>
    <cellStyle name="Normální 2" xfId="1"/>
    <cellStyle name="Procenta" xfId="2" builtinId="5"/>
  </cellStyles>
  <dxfs count="3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CE"/>
        <scheme val="none"/>
      </font>
    </dxf>
  </dxfs>
  <tableStyles count="0" defaultTableStyle="TableStyleMedium2" defaultPivotStyle="PivotStyleLight16"/>
  <colors>
    <mruColors>
      <color rgb="FFFFFF99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ulka2" displayName="Tabulka2" ref="B2:D31" totalsRowShown="0" headerRowDxfId="2">
  <tableColumns count="3">
    <tableColumn id="1" name=":)"/>
    <tableColumn id="2" name="Závazné ukazatele rozpočtu na rok 2022 " dataDxfId="1"/>
    <tableColumn id="3" name="v tis. Kč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R66"/>
  <sheetViews>
    <sheetView tabSelected="1" zoomScaleNormal="100" workbookViewId="0"/>
  </sheetViews>
  <sheetFormatPr defaultColWidth="7.85546875" defaultRowHeight="12.75" x14ac:dyDescent="0.2"/>
  <cols>
    <col min="1" max="1" width="9.85546875" style="179" customWidth="1"/>
    <col min="2" max="2" width="7.42578125" style="53" customWidth="1"/>
    <col min="3" max="3" width="22.85546875" style="53" customWidth="1"/>
    <col min="4" max="4" width="12.28515625" style="53" customWidth="1"/>
    <col min="5" max="5" width="9.140625" style="53" customWidth="1"/>
    <col min="6" max="6" width="15" style="53" customWidth="1"/>
    <col min="7" max="7" width="11.28515625" style="53" customWidth="1"/>
    <col min="8" max="16384" width="7.85546875" style="53"/>
  </cols>
  <sheetData>
    <row r="1" spans="2:8" s="179" customFormat="1" ht="24" customHeight="1" x14ac:dyDescent="0.2"/>
    <row r="2" spans="2:8" s="1" customFormat="1" ht="18" x14ac:dyDescent="0.25">
      <c r="B2" s="61" t="s">
        <v>397</v>
      </c>
    </row>
    <row r="3" spans="2:8" s="1" customFormat="1" ht="15.75" x14ac:dyDescent="0.25">
      <c r="B3" s="155" t="s">
        <v>391</v>
      </c>
    </row>
    <row r="4" spans="2:8" s="1" customFormat="1" ht="15.75" x14ac:dyDescent="0.25">
      <c r="B4" s="155" t="s">
        <v>392</v>
      </c>
    </row>
    <row r="5" spans="2:8" s="1" customFormat="1" ht="15.75" x14ac:dyDescent="0.25">
      <c r="B5" s="155" t="s">
        <v>393</v>
      </c>
    </row>
    <row r="6" spans="2:8" s="1" customFormat="1" ht="15.75" x14ac:dyDescent="0.25">
      <c r="B6" s="155" t="s">
        <v>394</v>
      </c>
    </row>
    <row r="7" spans="2:8" s="1" customFormat="1" ht="15.75" x14ac:dyDescent="0.25">
      <c r="C7" s="155"/>
    </row>
    <row r="8" spans="2:8" ht="13.5" thickBot="1" x14ac:dyDescent="0.25">
      <c r="C8" s="2" t="s">
        <v>381</v>
      </c>
    </row>
    <row r="9" spans="2:8" s="2" customFormat="1" x14ac:dyDescent="0.2">
      <c r="B9" s="95"/>
      <c r="C9" s="3"/>
      <c r="D9" s="51" t="s">
        <v>2</v>
      </c>
      <c r="E9" s="274" t="s">
        <v>3</v>
      </c>
    </row>
    <row r="10" spans="2:8" s="2" customFormat="1" ht="13.5" thickBot="1" x14ac:dyDescent="0.25">
      <c r="B10" s="96"/>
      <c r="C10" s="4"/>
      <c r="D10" s="89">
        <v>2022</v>
      </c>
      <c r="E10" s="5"/>
    </row>
    <row r="11" spans="2:8" x14ac:dyDescent="0.2">
      <c r="B11" s="97"/>
      <c r="C11" s="59" t="s">
        <v>4</v>
      </c>
      <c r="D11" s="184">
        <f>příjmy!F115</f>
        <v>103445</v>
      </c>
      <c r="E11" s="90">
        <f>D11/D15</f>
        <v>0.55501604232168344</v>
      </c>
      <c r="H11" s="66"/>
    </row>
    <row r="12" spans="2:8" x14ac:dyDescent="0.2">
      <c r="B12" s="97"/>
      <c r="C12" s="59" t="s">
        <v>5</v>
      </c>
      <c r="D12" s="184">
        <f>příjmy!F116</f>
        <v>31040</v>
      </c>
      <c r="E12" s="90">
        <f>D12/D15</f>
        <v>0.16653968730886029</v>
      </c>
      <c r="H12" s="66"/>
    </row>
    <row r="13" spans="2:8" x14ac:dyDescent="0.2">
      <c r="B13" s="97"/>
      <c r="C13" s="59" t="s">
        <v>6</v>
      </c>
      <c r="D13" s="184">
        <f>příjmy!F119</f>
        <v>18097</v>
      </c>
      <c r="E13" s="90">
        <f>D13/D15</f>
        <v>9.7096286122050415E-2</v>
      </c>
      <c r="H13" s="66"/>
    </row>
    <row r="14" spans="2:8" x14ac:dyDescent="0.2">
      <c r="B14" s="97"/>
      <c r="C14" s="59" t="s">
        <v>7</v>
      </c>
      <c r="D14" s="184">
        <f>příjmy!F117+příjmy!F120</f>
        <v>33800</v>
      </c>
      <c r="E14" s="90">
        <f>D14/D15</f>
        <v>0.18134798424740586</v>
      </c>
      <c r="H14" s="66"/>
    </row>
    <row r="15" spans="2:8" s="2" customFormat="1" x14ac:dyDescent="0.2">
      <c r="B15" s="98"/>
      <c r="C15" s="7" t="s">
        <v>8</v>
      </c>
      <c r="D15" s="185">
        <f>SUM(D11:D14)</f>
        <v>186382</v>
      </c>
      <c r="E15" s="275">
        <v>1</v>
      </c>
      <c r="H15" s="66"/>
    </row>
    <row r="16" spans="2:8" x14ac:dyDescent="0.2">
      <c r="B16" s="97"/>
      <c r="C16" s="59" t="s">
        <v>9</v>
      </c>
      <c r="D16" s="184">
        <f>+výdaje!E118</f>
        <v>174769</v>
      </c>
      <c r="E16" s="90">
        <f>D16/D18</f>
        <v>0.80503466224463949</v>
      </c>
      <c r="H16" s="66"/>
    </row>
    <row r="17" spans="1:8" x14ac:dyDescent="0.2">
      <c r="B17" s="97"/>
      <c r="C17" s="59" t="s">
        <v>10</v>
      </c>
      <c r="D17" s="184">
        <f>+výdaje!F118</f>
        <v>42326</v>
      </c>
      <c r="E17" s="90">
        <f>D17/D18</f>
        <v>0.19496533775536057</v>
      </c>
      <c r="H17" s="66"/>
    </row>
    <row r="18" spans="1:8" s="2" customFormat="1" x14ac:dyDescent="0.2">
      <c r="B18" s="98"/>
      <c r="C18" s="7" t="s">
        <v>11</v>
      </c>
      <c r="D18" s="185">
        <f>SUM(D16:D17)</f>
        <v>217095</v>
      </c>
      <c r="E18" s="91">
        <v>1</v>
      </c>
      <c r="H18" s="66"/>
    </row>
    <row r="19" spans="1:8" x14ac:dyDescent="0.2">
      <c r="B19" s="97"/>
      <c r="C19" s="59"/>
      <c r="D19" s="152"/>
      <c r="E19" s="48"/>
    </row>
    <row r="20" spans="1:8" s="2" customFormat="1" x14ac:dyDescent="0.2">
      <c r="B20" s="98"/>
      <c r="C20" s="7" t="s">
        <v>12</v>
      </c>
      <c r="D20" s="185">
        <f>D15-D18</f>
        <v>-30713</v>
      </c>
      <c r="E20" s="47"/>
      <c r="H20" s="182"/>
    </row>
    <row r="21" spans="1:8" x14ac:dyDescent="0.2">
      <c r="B21" s="97"/>
      <c r="C21" s="59"/>
      <c r="D21" s="6"/>
      <c r="E21" s="48"/>
    </row>
    <row r="22" spans="1:8" s="2" customFormat="1" x14ac:dyDescent="0.2">
      <c r="B22" s="99" t="s">
        <v>13</v>
      </c>
      <c r="C22" s="7" t="s">
        <v>14</v>
      </c>
      <c r="D22" s="8"/>
      <c r="E22" s="47"/>
    </row>
    <row r="23" spans="1:8" x14ac:dyDescent="0.2">
      <c r="B23" s="97">
        <v>8124</v>
      </c>
      <c r="C23" s="59" t="s">
        <v>261</v>
      </c>
      <c r="D23" s="184">
        <f>-2291-2000</f>
        <v>-4291</v>
      </c>
      <c r="E23" s="90"/>
      <c r="H23" s="66"/>
    </row>
    <row r="24" spans="1:8" x14ac:dyDescent="0.2">
      <c r="B24" s="100"/>
      <c r="C24" s="59"/>
      <c r="D24" s="184"/>
      <c r="E24" s="90"/>
    </row>
    <row r="25" spans="1:8" x14ac:dyDescent="0.2">
      <c r="B25" s="97">
        <v>8123</v>
      </c>
      <c r="C25" s="59" t="s">
        <v>273</v>
      </c>
      <c r="D25" s="186">
        <v>0</v>
      </c>
      <c r="E25" s="48"/>
    </row>
    <row r="26" spans="1:8" x14ac:dyDescent="0.2">
      <c r="B26" s="97">
        <v>8115</v>
      </c>
      <c r="C26" s="59" t="s">
        <v>299</v>
      </c>
      <c r="D26" s="187">
        <v>0</v>
      </c>
      <c r="E26" s="48"/>
    </row>
    <row r="27" spans="1:8" s="153" customFormat="1" x14ac:dyDescent="0.2">
      <c r="A27" s="179"/>
      <c r="B27" s="97">
        <v>8115</v>
      </c>
      <c r="C27" s="59" t="s">
        <v>312</v>
      </c>
      <c r="D27" s="187">
        <v>0</v>
      </c>
      <c r="E27" s="48"/>
    </row>
    <row r="28" spans="1:8" x14ac:dyDescent="0.2">
      <c r="B28" s="97">
        <v>8115</v>
      </c>
      <c r="C28" s="59" t="s">
        <v>313</v>
      </c>
      <c r="D28" s="184"/>
      <c r="E28" s="81"/>
    </row>
    <row r="29" spans="1:8" x14ac:dyDescent="0.2">
      <c r="B29" s="97"/>
      <c r="C29" s="59"/>
      <c r="D29" s="184"/>
      <c r="E29" s="48"/>
    </row>
    <row r="30" spans="1:8" x14ac:dyDescent="0.2">
      <c r="B30" s="97"/>
      <c r="C30" s="7" t="s">
        <v>118</v>
      </c>
      <c r="D30" s="188">
        <f>-D23-D25+D32-D28-D24-D26-D27</f>
        <v>35004</v>
      </c>
      <c r="E30" s="48"/>
      <c r="H30" s="66"/>
    </row>
    <row r="31" spans="1:8" s="2" customFormat="1" x14ac:dyDescent="0.2">
      <c r="B31" s="98"/>
      <c r="C31" s="59"/>
      <c r="D31" s="185"/>
      <c r="E31" s="47"/>
    </row>
    <row r="32" spans="1:8" ht="13.5" thickBot="1" x14ac:dyDescent="0.25">
      <c r="B32" s="101"/>
      <c r="C32" s="79" t="s">
        <v>15</v>
      </c>
      <c r="D32" s="189">
        <f>-D20</f>
        <v>30713</v>
      </c>
      <c r="E32" s="92"/>
      <c r="H32" s="66"/>
    </row>
    <row r="33" spans="3:6" x14ac:dyDescent="0.2">
      <c r="D33" s="13"/>
    </row>
    <row r="34" spans="3:6" x14ac:dyDescent="0.2">
      <c r="C34" s="147"/>
      <c r="D34" s="159"/>
      <c r="E34" s="80"/>
      <c r="F34" s="80"/>
    </row>
    <row r="35" spans="3:6" ht="12.75" customHeight="1" x14ac:dyDescent="0.2">
      <c r="C35" s="154" t="s">
        <v>395</v>
      </c>
      <c r="D35" s="159"/>
      <c r="E35" s="80"/>
      <c r="F35" s="80"/>
    </row>
    <row r="36" spans="3:6" x14ac:dyDescent="0.2">
      <c r="C36" s="154" t="s">
        <v>396</v>
      </c>
      <c r="D36" s="158"/>
      <c r="E36" s="80"/>
      <c r="F36" s="80"/>
    </row>
    <row r="37" spans="3:6" x14ac:dyDescent="0.2">
      <c r="C37" s="128"/>
      <c r="D37" s="125"/>
      <c r="E37" s="80"/>
      <c r="F37" s="80"/>
    </row>
    <row r="38" spans="3:6" x14ac:dyDescent="0.2">
      <c r="C38" s="128"/>
      <c r="D38" s="125"/>
      <c r="E38" s="80"/>
      <c r="F38" s="80"/>
    </row>
    <row r="39" spans="3:6" x14ac:dyDescent="0.2">
      <c r="D39" s="125"/>
      <c r="E39" s="80"/>
      <c r="F39" s="80"/>
    </row>
    <row r="40" spans="3:6" x14ac:dyDescent="0.2">
      <c r="C40" s="128"/>
      <c r="D40" s="125"/>
      <c r="E40" s="80"/>
      <c r="F40" s="80"/>
    </row>
    <row r="41" spans="3:6" x14ac:dyDescent="0.2">
      <c r="C41" s="128"/>
      <c r="D41" s="158"/>
      <c r="E41" s="80"/>
      <c r="F41" s="80"/>
    </row>
    <row r="42" spans="3:6" x14ac:dyDescent="0.2">
      <c r="C42" s="128"/>
      <c r="D42" s="125"/>
      <c r="E42" s="80"/>
      <c r="F42" s="80"/>
    </row>
    <row r="43" spans="3:6" x14ac:dyDescent="0.2">
      <c r="C43" s="129"/>
      <c r="D43" s="125"/>
      <c r="E43" s="80"/>
      <c r="F43" s="80"/>
    </row>
    <row r="44" spans="3:6" x14ac:dyDescent="0.2">
      <c r="C44" s="129"/>
      <c r="D44" s="125"/>
      <c r="E44" s="80"/>
      <c r="F44" s="80"/>
    </row>
    <row r="45" spans="3:6" x14ac:dyDescent="0.2">
      <c r="C45" s="128"/>
      <c r="D45" s="125"/>
      <c r="E45" s="80"/>
      <c r="F45" s="80"/>
    </row>
    <row r="46" spans="3:6" x14ac:dyDescent="0.2">
      <c r="C46" s="128"/>
      <c r="D46" s="70"/>
    </row>
    <row r="47" spans="3:6" x14ac:dyDescent="0.2">
      <c r="C47" s="128"/>
      <c r="D47" s="70"/>
    </row>
    <row r="48" spans="3:6" x14ac:dyDescent="0.2">
      <c r="C48" s="128"/>
      <c r="D48" s="70"/>
    </row>
    <row r="49" spans="3:4" x14ac:dyDescent="0.2">
      <c r="C49" s="128"/>
      <c r="D49" s="70"/>
    </row>
    <row r="50" spans="3:4" x14ac:dyDescent="0.2">
      <c r="C50" s="128"/>
      <c r="D50" s="70"/>
    </row>
    <row r="51" spans="3:4" x14ac:dyDescent="0.2">
      <c r="C51" s="128"/>
      <c r="D51" s="70"/>
    </row>
    <row r="52" spans="3:4" x14ac:dyDescent="0.2">
      <c r="C52" s="128"/>
      <c r="D52" s="70"/>
    </row>
    <row r="53" spans="3:4" x14ac:dyDescent="0.2">
      <c r="C53" s="128"/>
      <c r="D53" s="70"/>
    </row>
    <row r="54" spans="3:4" x14ac:dyDescent="0.2">
      <c r="C54" s="128"/>
      <c r="D54" s="70"/>
    </row>
    <row r="55" spans="3:4" x14ac:dyDescent="0.2">
      <c r="C55" s="128"/>
      <c r="D55" s="70"/>
    </row>
    <row r="56" spans="3:4" x14ac:dyDescent="0.2">
      <c r="C56" s="129"/>
      <c r="D56" s="70"/>
    </row>
    <row r="57" spans="3:4" x14ac:dyDescent="0.2">
      <c r="C57" s="129"/>
      <c r="D57" s="70"/>
    </row>
    <row r="58" spans="3:4" x14ac:dyDescent="0.2">
      <c r="C58" s="129"/>
      <c r="D58" s="70"/>
    </row>
    <row r="59" spans="3:4" x14ac:dyDescent="0.2">
      <c r="C59" s="129"/>
      <c r="D59" s="70"/>
    </row>
    <row r="60" spans="3:4" x14ac:dyDescent="0.2">
      <c r="C60" s="129"/>
      <c r="D60" s="70"/>
    </row>
    <row r="61" spans="3:4" x14ac:dyDescent="0.2">
      <c r="C61" s="129"/>
      <c r="D61" s="70"/>
    </row>
    <row r="62" spans="3:4" x14ac:dyDescent="0.2">
      <c r="C62" s="129"/>
      <c r="D62" s="70"/>
    </row>
    <row r="63" spans="3:4" x14ac:dyDescent="0.2">
      <c r="C63" s="129"/>
      <c r="D63" s="70"/>
    </row>
    <row r="64" spans="3:4" x14ac:dyDescent="0.2">
      <c r="C64" s="129"/>
      <c r="D64" s="70"/>
    </row>
    <row r="65" spans="3:4" x14ac:dyDescent="0.2">
      <c r="C65" s="129"/>
      <c r="D65" s="70"/>
    </row>
    <row r="66" spans="3:4" x14ac:dyDescent="0.2">
      <c r="C66" s="70"/>
      <c r="D66" s="70"/>
    </row>
  </sheetData>
  <phoneticPr fontId="6" type="noConversion"/>
  <pageMargins left="0.59055118110236227" right="0.27559055118110237" top="0.59055118110236227" bottom="0" header="0.23622047244094491" footer="0.27559055118110237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V129"/>
  <sheetViews>
    <sheetView zoomScale="112" zoomScaleNormal="112" workbookViewId="0">
      <pane ySplit="3" topLeftCell="A4" activePane="bottomLeft" state="frozen"/>
      <selection pane="bottomLeft" activeCell="A2" sqref="A2"/>
    </sheetView>
  </sheetViews>
  <sheetFormatPr defaultColWidth="7.85546875" defaultRowHeight="12.75" x14ac:dyDescent="0.2"/>
  <cols>
    <col min="1" max="1" width="4" style="53" customWidth="1"/>
    <col min="2" max="2" width="4.42578125" style="53" customWidth="1"/>
    <col min="3" max="3" width="7.5703125" style="53" customWidth="1"/>
    <col min="4" max="4" width="9.7109375" style="121" bestFit="1" customWidth="1"/>
    <col min="5" max="5" width="52.140625" style="53" bestFit="1" customWidth="1"/>
    <col min="6" max="6" width="11.42578125" style="248" bestFit="1" customWidth="1"/>
    <col min="7" max="7" width="17.85546875" style="121" bestFit="1" customWidth="1"/>
    <col min="8" max="16384" width="7.85546875" style="53"/>
  </cols>
  <sheetData>
    <row r="1" spans="1:7" ht="18" x14ac:dyDescent="0.25">
      <c r="A1" s="61" t="s">
        <v>390</v>
      </c>
      <c r="B1" s="14"/>
      <c r="C1" s="62"/>
      <c r="D1" s="105"/>
      <c r="E1" s="14"/>
      <c r="F1" s="231"/>
      <c r="G1" s="156"/>
    </row>
    <row r="2" spans="1:7" x14ac:dyDescent="0.2">
      <c r="A2" s="15"/>
      <c r="B2" s="15"/>
      <c r="C2" s="15"/>
      <c r="D2" s="106"/>
      <c r="E2" s="150"/>
      <c r="F2" s="232" t="s">
        <v>310</v>
      </c>
      <c r="G2" s="280" t="s">
        <v>16</v>
      </c>
    </row>
    <row r="3" spans="1:7" ht="13.5" thickBot="1" x14ac:dyDescent="0.25">
      <c r="A3" s="16"/>
      <c r="B3" s="16" t="s">
        <v>17</v>
      </c>
      <c r="C3" s="17" t="s">
        <v>18</v>
      </c>
      <c r="D3" s="18" t="s">
        <v>19</v>
      </c>
      <c r="E3" s="16" t="s">
        <v>20</v>
      </c>
      <c r="F3" s="233"/>
      <c r="G3" s="281" t="s">
        <v>95</v>
      </c>
    </row>
    <row r="4" spans="1:7" x14ac:dyDescent="0.2">
      <c r="A4" s="64" t="s">
        <v>21</v>
      </c>
      <c r="B4" s="49"/>
      <c r="C4" s="64"/>
      <c r="D4" s="110"/>
      <c r="E4" s="64" t="s">
        <v>22</v>
      </c>
      <c r="F4" s="234"/>
      <c r="G4" s="60"/>
    </row>
    <row r="5" spans="1:7" x14ac:dyDescent="0.2">
      <c r="A5" s="54" t="s">
        <v>23</v>
      </c>
      <c r="B5" s="20"/>
      <c r="C5" s="54"/>
      <c r="D5" s="109"/>
      <c r="E5" s="20"/>
      <c r="F5" s="235">
        <f>SUM(F6:F12)</f>
        <v>87780</v>
      </c>
      <c r="G5" s="141"/>
    </row>
    <row r="6" spans="1:7" x14ac:dyDescent="0.2">
      <c r="A6" s="63" t="s">
        <v>24</v>
      </c>
      <c r="B6" s="19">
        <v>1111</v>
      </c>
      <c r="C6" s="63"/>
      <c r="D6" s="65"/>
      <c r="E6" s="19" t="s">
        <v>98</v>
      </c>
      <c r="F6" s="236">
        <v>13000</v>
      </c>
      <c r="G6" s="177" t="s">
        <v>103</v>
      </c>
    </row>
    <row r="7" spans="1:7" x14ac:dyDescent="0.2">
      <c r="A7" s="63"/>
      <c r="B7" s="19">
        <v>1112</v>
      </c>
      <c r="C7" s="63"/>
      <c r="D7" s="267"/>
      <c r="E7" s="19" t="s">
        <v>176</v>
      </c>
      <c r="F7" s="236">
        <v>400</v>
      </c>
      <c r="G7" s="177" t="s">
        <v>103</v>
      </c>
    </row>
    <row r="8" spans="1:7" x14ac:dyDescent="0.2">
      <c r="A8" s="63"/>
      <c r="B8" s="19">
        <v>1113</v>
      </c>
      <c r="C8" s="63"/>
      <c r="D8" s="267"/>
      <c r="E8" s="19" t="s">
        <v>100</v>
      </c>
      <c r="F8" s="236">
        <v>2300</v>
      </c>
      <c r="G8" s="177" t="s">
        <v>103</v>
      </c>
    </row>
    <row r="9" spans="1:7" x14ac:dyDescent="0.2">
      <c r="A9" s="63"/>
      <c r="B9" s="19">
        <v>1121</v>
      </c>
      <c r="C9" s="63"/>
      <c r="D9" s="267"/>
      <c r="E9" s="19" t="s">
        <v>101</v>
      </c>
      <c r="F9" s="236">
        <v>18000</v>
      </c>
      <c r="G9" s="177" t="s">
        <v>103</v>
      </c>
    </row>
    <row r="10" spans="1:7" x14ac:dyDescent="0.2">
      <c r="A10" s="63"/>
      <c r="B10" s="19">
        <v>1211</v>
      </c>
      <c r="C10" s="63"/>
      <c r="D10" s="267"/>
      <c r="E10" s="19" t="s">
        <v>99</v>
      </c>
      <c r="F10" s="236">
        <v>45000</v>
      </c>
      <c r="G10" s="177" t="s">
        <v>103</v>
      </c>
    </row>
    <row r="11" spans="1:7" x14ac:dyDescent="0.2">
      <c r="A11" s="63"/>
      <c r="B11" s="19">
        <v>1111</v>
      </c>
      <c r="C11" s="63"/>
      <c r="D11" s="65">
        <v>2</v>
      </c>
      <c r="E11" s="19" t="s">
        <v>111</v>
      </c>
      <c r="F11" s="236">
        <v>1400</v>
      </c>
      <c r="G11" s="107"/>
    </row>
    <row r="12" spans="1:7" x14ac:dyDescent="0.2">
      <c r="A12" s="63"/>
      <c r="B12" s="19">
        <v>1122</v>
      </c>
      <c r="C12" s="63"/>
      <c r="D12" s="267"/>
      <c r="E12" s="19" t="s">
        <v>102</v>
      </c>
      <c r="F12" s="236">
        <v>7680</v>
      </c>
      <c r="G12" s="65" t="s">
        <v>140</v>
      </c>
    </row>
    <row r="13" spans="1:7" x14ac:dyDescent="0.2">
      <c r="A13" s="54" t="s">
        <v>25</v>
      </c>
      <c r="B13" s="20"/>
      <c r="C13" s="54"/>
      <c r="D13" s="109"/>
      <c r="E13" s="20"/>
      <c r="F13" s="235"/>
      <c r="G13" s="127"/>
    </row>
    <row r="14" spans="1:7" x14ac:dyDescent="0.2">
      <c r="A14" s="63"/>
      <c r="B14" s="63"/>
      <c r="C14" s="63"/>
      <c r="D14" s="267"/>
      <c r="E14" s="20" t="s">
        <v>134</v>
      </c>
      <c r="F14" s="235">
        <f>SUM(F15:F25)</f>
        <v>4480</v>
      </c>
      <c r="G14" s="127"/>
    </row>
    <row r="15" spans="1:7" x14ac:dyDescent="0.2">
      <c r="A15" s="63"/>
      <c r="B15" s="19">
        <v>1361</v>
      </c>
      <c r="D15" s="65" t="s">
        <v>125</v>
      </c>
      <c r="E15" s="19" t="s">
        <v>26</v>
      </c>
      <c r="F15" s="236">
        <v>195</v>
      </c>
      <c r="G15" s="108" t="s">
        <v>281</v>
      </c>
    </row>
    <row r="16" spans="1:7" x14ac:dyDescent="0.2">
      <c r="A16" s="63"/>
      <c r="B16" s="19">
        <v>1361</v>
      </c>
      <c r="C16" s="63"/>
      <c r="D16" s="65">
        <v>7</v>
      </c>
      <c r="E16" s="19" t="s">
        <v>148</v>
      </c>
      <c r="F16" s="236">
        <v>800</v>
      </c>
      <c r="G16" s="108"/>
    </row>
    <row r="17" spans="1:7" x14ac:dyDescent="0.2">
      <c r="A17" s="63"/>
      <c r="B17" s="19">
        <v>1361</v>
      </c>
      <c r="C17" s="63"/>
      <c r="D17" s="65">
        <v>10.23</v>
      </c>
      <c r="E17" s="67" t="s">
        <v>150</v>
      </c>
      <c r="F17" s="236">
        <f>85+35</f>
        <v>120</v>
      </c>
      <c r="G17" s="108"/>
    </row>
    <row r="18" spans="1:7" x14ac:dyDescent="0.2">
      <c r="A18" s="63"/>
      <c r="B18" s="19">
        <v>1361</v>
      </c>
      <c r="C18" s="63"/>
      <c r="D18" s="65">
        <v>11</v>
      </c>
      <c r="E18" s="19" t="s">
        <v>27</v>
      </c>
      <c r="F18" s="236">
        <v>150</v>
      </c>
      <c r="G18" s="108"/>
    </row>
    <row r="19" spans="1:7" x14ac:dyDescent="0.2">
      <c r="A19" s="63"/>
      <c r="B19" s="19">
        <v>1361</v>
      </c>
      <c r="C19" s="63"/>
      <c r="D19" s="65">
        <v>24</v>
      </c>
      <c r="E19" s="19" t="s">
        <v>151</v>
      </c>
      <c r="F19" s="236">
        <v>30</v>
      </c>
      <c r="G19" s="108"/>
    </row>
    <row r="20" spans="1:7" x14ac:dyDescent="0.2">
      <c r="A20" s="63"/>
      <c r="B20" s="19">
        <v>1361</v>
      </c>
      <c r="C20" s="63"/>
      <c r="D20" s="65" t="s">
        <v>321</v>
      </c>
      <c r="E20" s="19" t="s">
        <v>152</v>
      </c>
      <c r="F20" s="236">
        <f>90+210+2200</f>
        <v>2500</v>
      </c>
      <c r="G20" s="108"/>
    </row>
    <row r="21" spans="1:7" x14ac:dyDescent="0.2">
      <c r="A21" s="63"/>
      <c r="B21" s="19">
        <v>1353</v>
      </c>
      <c r="C21" s="63"/>
      <c r="D21" s="65">
        <v>26</v>
      </c>
      <c r="E21" s="19" t="s">
        <v>175</v>
      </c>
      <c r="F21" s="236">
        <v>250</v>
      </c>
      <c r="G21" s="108"/>
    </row>
    <row r="22" spans="1:7" x14ac:dyDescent="0.2">
      <c r="A22" s="63"/>
      <c r="B22" s="19">
        <v>1361</v>
      </c>
      <c r="C22" s="63"/>
      <c r="D22" s="65">
        <v>32.33</v>
      </c>
      <c r="E22" s="19" t="s">
        <v>122</v>
      </c>
      <c r="F22" s="236">
        <v>400</v>
      </c>
      <c r="G22" s="111"/>
    </row>
    <row r="23" spans="1:7" x14ac:dyDescent="0.2">
      <c r="A23" s="63"/>
      <c r="B23" s="19">
        <v>1361</v>
      </c>
      <c r="C23" s="63"/>
      <c r="D23" s="65">
        <v>35</v>
      </c>
      <c r="E23" s="19" t="s">
        <v>189</v>
      </c>
      <c r="F23" s="236">
        <v>35</v>
      </c>
      <c r="G23" s="108"/>
    </row>
    <row r="24" spans="1:7" x14ac:dyDescent="0.2">
      <c r="A24" s="63"/>
      <c r="B24" s="19">
        <v>1361</v>
      </c>
      <c r="C24" s="63"/>
      <c r="D24" s="65">
        <v>40</v>
      </c>
      <c r="E24" s="19" t="s">
        <v>28</v>
      </c>
      <c r="F24" s="236">
        <v>0</v>
      </c>
      <c r="G24" s="167"/>
    </row>
    <row r="25" spans="1:7" x14ac:dyDescent="0.2">
      <c r="A25" s="63"/>
      <c r="B25" s="19">
        <v>1361</v>
      </c>
      <c r="C25" s="63"/>
      <c r="D25" s="65" t="s">
        <v>174</v>
      </c>
      <c r="E25" s="19" t="s">
        <v>91</v>
      </c>
      <c r="F25" s="236"/>
      <c r="G25" s="108"/>
    </row>
    <row r="26" spans="1:7" x14ac:dyDescent="0.2">
      <c r="A26" s="63"/>
      <c r="B26" s="63"/>
      <c r="C26" s="63"/>
      <c r="D26" s="267"/>
      <c r="E26" s="20" t="s">
        <v>212</v>
      </c>
      <c r="F26" s="235">
        <f>SUM(F27:F28)</f>
        <v>3500</v>
      </c>
      <c r="G26" s="65"/>
    </row>
    <row r="27" spans="1:7" x14ac:dyDescent="0.2">
      <c r="A27" s="63"/>
      <c r="B27" s="19">
        <v>1332.1333999999999</v>
      </c>
      <c r="C27" s="63"/>
      <c r="D27" s="65">
        <v>23.12</v>
      </c>
      <c r="E27" s="19" t="s">
        <v>287</v>
      </c>
      <c r="F27" s="236"/>
      <c r="G27" s="108"/>
    </row>
    <row r="28" spans="1:7" x14ac:dyDescent="0.2">
      <c r="A28" s="63"/>
      <c r="B28" s="19">
        <v>1381</v>
      </c>
      <c r="C28" s="63"/>
      <c r="D28" s="65">
        <v>401</v>
      </c>
      <c r="E28" s="19" t="s">
        <v>260</v>
      </c>
      <c r="F28" s="236">
        <v>3500</v>
      </c>
      <c r="G28" s="108"/>
    </row>
    <row r="29" spans="1:7" x14ac:dyDescent="0.2">
      <c r="A29" s="63"/>
      <c r="B29" s="63"/>
      <c r="C29" s="63"/>
      <c r="D29" s="267"/>
      <c r="E29" s="20" t="s">
        <v>135</v>
      </c>
      <c r="F29" s="235">
        <f>SUM(F30:F34)</f>
        <v>3485</v>
      </c>
      <c r="G29" s="127"/>
    </row>
    <row r="30" spans="1:7" x14ac:dyDescent="0.2">
      <c r="A30" s="63"/>
      <c r="B30" s="19">
        <v>1340</v>
      </c>
      <c r="C30" s="63"/>
      <c r="D30" s="65">
        <v>240</v>
      </c>
      <c r="E30" s="19" t="s">
        <v>93</v>
      </c>
      <c r="F30" s="236">
        <v>3200</v>
      </c>
      <c r="G30" s="65" t="s">
        <v>217</v>
      </c>
    </row>
    <row r="31" spans="1:7" x14ac:dyDescent="0.2">
      <c r="A31" s="63"/>
      <c r="B31" s="19">
        <v>1341</v>
      </c>
      <c r="C31" s="63"/>
      <c r="D31" s="65">
        <v>5</v>
      </c>
      <c r="E31" s="19" t="s">
        <v>96</v>
      </c>
      <c r="F31" s="236">
        <v>105</v>
      </c>
      <c r="G31" s="65"/>
    </row>
    <row r="32" spans="1:7" x14ac:dyDescent="0.2">
      <c r="A32" s="63"/>
      <c r="B32" s="19">
        <v>1342</v>
      </c>
      <c r="C32" s="63"/>
      <c r="D32" s="65">
        <v>9</v>
      </c>
      <c r="E32" s="19" t="s">
        <v>280</v>
      </c>
      <c r="F32" s="236">
        <v>90</v>
      </c>
      <c r="G32" s="65"/>
    </row>
    <row r="33" spans="1:7" x14ac:dyDescent="0.2">
      <c r="A33" s="63"/>
      <c r="B33" s="19">
        <v>1343</v>
      </c>
      <c r="C33" s="63"/>
      <c r="D33" s="65">
        <v>30</v>
      </c>
      <c r="E33" s="19" t="s">
        <v>97</v>
      </c>
      <c r="F33" s="236">
        <v>90</v>
      </c>
      <c r="G33" s="65" t="s">
        <v>322</v>
      </c>
    </row>
    <row r="34" spans="1:7" x14ac:dyDescent="0.2">
      <c r="A34" s="63"/>
      <c r="B34" s="19">
        <v>1349</v>
      </c>
      <c r="C34" s="63"/>
      <c r="D34" s="65">
        <v>31</v>
      </c>
      <c r="E34" s="19" t="s">
        <v>346</v>
      </c>
      <c r="F34" s="236"/>
      <c r="G34" s="65"/>
    </row>
    <row r="35" spans="1:7" x14ac:dyDescent="0.2">
      <c r="A35" s="54" t="s">
        <v>29</v>
      </c>
      <c r="B35" s="20"/>
      <c r="C35" s="54"/>
      <c r="D35" s="109"/>
      <c r="E35" s="20"/>
      <c r="F35" s="235">
        <f>SUM(F36)</f>
        <v>4200</v>
      </c>
      <c r="G35" s="109"/>
    </row>
    <row r="36" spans="1:7" ht="13.5" thickBot="1" x14ac:dyDescent="0.25">
      <c r="A36" s="63"/>
      <c r="B36" s="19">
        <v>1511</v>
      </c>
      <c r="C36" s="63" t="s">
        <v>30</v>
      </c>
      <c r="D36" s="267"/>
      <c r="E36" s="19" t="s">
        <v>157</v>
      </c>
      <c r="F36" s="236">
        <v>4200</v>
      </c>
      <c r="G36" s="65"/>
    </row>
    <row r="37" spans="1:7" ht="18" customHeight="1" thickBot="1" x14ac:dyDescent="0.3">
      <c r="A37" s="68" t="s">
        <v>31</v>
      </c>
      <c r="B37" s="69"/>
      <c r="C37" s="68"/>
      <c r="D37" s="268"/>
      <c r="E37" s="68"/>
      <c r="F37" s="237">
        <f>SUM(F5+F14+F26+F29+F35)</f>
        <v>103445</v>
      </c>
      <c r="G37" s="46"/>
    </row>
    <row r="38" spans="1:7" x14ac:dyDescent="0.2">
      <c r="A38" s="64"/>
      <c r="B38" s="49"/>
      <c r="C38" s="64"/>
      <c r="D38" s="110"/>
      <c r="E38" s="64" t="s">
        <v>32</v>
      </c>
      <c r="F38" s="234"/>
      <c r="G38" s="110"/>
    </row>
    <row r="39" spans="1:7" x14ac:dyDescent="0.2">
      <c r="A39" s="54" t="s">
        <v>33</v>
      </c>
      <c r="B39" s="20"/>
      <c r="C39" s="54"/>
      <c r="D39" s="109"/>
      <c r="E39" s="20"/>
      <c r="F39" s="183"/>
      <c r="G39" s="109"/>
    </row>
    <row r="40" spans="1:7" x14ac:dyDescent="0.2">
      <c r="A40" s="63"/>
      <c r="B40" s="20"/>
      <c r="C40" s="63"/>
      <c r="D40" s="109"/>
      <c r="E40" s="20" t="s">
        <v>133</v>
      </c>
      <c r="F40" s="235">
        <f>SUM(F41:F61)</f>
        <v>12224</v>
      </c>
      <c r="G40" s="65"/>
    </row>
    <row r="41" spans="1:7" x14ac:dyDescent="0.2">
      <c r="A41" s="63"/>
      <c r="B41" s="19">
        <v>2111</v>
      </c>
      <c r="C41" s="63">
        <v>1031</v>
      </c>
      <c r="D41" s="65">
        <v>201</v>
      </c>
      <c r="E41" s="19" t="s">
        <v>87</v>
      </c>
      <c r="F41" s="236">
        <v>400</v>
      </c>
      <c r="G41" s="65"/>
    </row>
    <row r="42" spans="1:7" x14ac:dyDescent="0.2">
      <c r="A42" s="63"/>
      <c r="B42" s="19">
        <v>2111</v>
      </c>
      <c r="C42" s="63">
        <v>2219</v>
      </c>
      <c r="D42" s="65">
        <v>43</v>
      </c>
      <c r="E42" s="19" t="s">
        <v>155</v>
      </c>
      <c r="F42" s="236">
        <v>1000</v>
      </c>
      <c r="G42" s="65"/>
    </row>
    <row r="43" spans="1:7" x14ac:dyDescent="0.2">
      <c r="A43" s="63"/>
      <c r="B43" s="19">
        <v>2111</v>
      </c>
      <c r="C43" s="63">
        <v>3113</v>
      </c>
      <c r="D43" s="65">
        <v>302</v>
      </c>
      <c r="E43" s="19" t="s">
        <v>250</v>
      </c>
      <c r="F43" s="236">
        <v>272</v>
      </c>
      <c r="G43" s="65"/>
    </row>
    <row r="44" spans="1:7" s="153" customFormat="1" x14ac:dyDescent="0.2">
      <c r="A44" s="63"/>
      <c r="B44" s="19">
        <v>2111</v>
      </c>
      <c r="C44" s="63">
        <v>3141</v>
      </c>
      <c r="D44" s="65">
        <v>309</v>
      </c>
      <c r="E44" s="19" t="s">
        <v>304</v>
      </c>
      <c r="F44" s="236">
        <v>1950</v>
      </c>
      <c r="G44" s="65"/>
    </row>
    <row r="45" spans="1:7" x14ac:dyDescent="0.2">
      <c r="A45" s="63"/>
      <c r="B45" s="19">
        <v>2111</v>
      </c>
      <c r="C45" s="63">
        <v>3613</v>
      </c>
      <c r="D45" s="65">
        <v>316</v>
      </c>
      <c r="E45" s="19" t="s">
        <v>252</v>
      </c>
      <c r="F45" s="236">
        <v>125</v>
      </c>
      <c r="G45" s="65"/>
    </row>
    <row r="46" spans="1:7" x14ac:dyDescent="0.2">
      <c r="A46" s="63"/>
      <c r="B46" s="19">
        <v>2111</v>
      </c>
      <c r="C46" s="63">
        <v>3412</v>
      </c>
      <c r="D46" s="65">
        <v>216</v>
      </c>
      <c r="E46" s="19" t="s">
        <v>263</v>
      </c>
      <c r="F46" s="236">
        <v>126</v>
      </c>
      <c r="G46" s="65"/>
    </row>
    <row r="47" spans="1:7" x14ac:dyDescent="0.2">
      <c r="A47" s="63"/>
      <c r="B47" s="19">
        <v>2111</v>
      </c>
      <c r="C47" s="63">
        <v>3314</v>
      </c>
      <c r="D47" s="65">
        <v>504</v>
      </c>
      <c r="E47" s="19" t="s">
        <v>154</v>
      </c>
      <c r="F47" s="236">
        <v>0</v>
      </c>
      <c r="G47" s="65"/>
    </row>
    <row r="48" spans="1:7" x14ac:dyDescent="0.2">
      <c r="A48" s="63"/>
      <c r="B48" s="19">
        <v>2111</v>
      </c>
      <c r="C48" s="132" t="s">
        <v>226</v>
      </c>
      <c r="D48" s="65">
        <v>41</v>
      </c>
      <c r="E48" s="19" t="s">
        <v>37</v>
      </c>
      <c r="F48" s="236">
        <v>55</v>
      </c>
      <c r="G48" s="165"/>
    </row>
    <row r="49" spans="1:7" x14ac:dyDescent="0.2">
      <c r="A49" s="63"/>
      <c r="B49" s="19">
        <v>2111</v>
      </c>
      <c r="C49" s="63">
        <v>3349</v>
      </c>
      <c r="D49" s="65">
        <v>42</v>
      </c>
      <c r="E49" s="19" t="s">
        <v>34</v>
      </c>
      <c r="F49" s="236">
        <v>80</v>
      </c>
      <c r="G49" s="165"/>
    </row>
    <row r="50" spans="1:7" s="179" customFormat="1" x14ac:dyDescent="0.2">
      <c r="A50" s="180"/>
      <c r="B50" s="176">
        <v>2111</v>
      </c>
      <c r="C50" s="180">
        <v>2144</v>
      </c>
      <c r="D50" s="65">
        <v>650</v>
      </c>
      <c r="E50" s="176" t="s">
        <v>388</v>
      </c>
      <c r="F50" s="236">
        <v>250</v>
      </c>
      <c r="G50" s="181"/>
    </row>
    <row r="51" spans="1:7" x14ac:dyDescent="0.2">
      <c r="A51" s="63"/>
      <c r="B51" s="19">
        <v>2111</v>
      </c>
      <c r="C51" s="63">
        <v>3612</v>
      </c>
      <c r="D51" s="65" t="s">
        <v>236</v>
      </c>
      <c r="E51" s="19" t="s">
        <v>158</v>
      </c>
      <c r="F51" s="236">
        <f>1150+800</f>
        <v>1950</v>
      </c>
      <c r="G51" s="78"/>
    </row>
    <row r="52" spans="1:7" x14ac:dyDescent="0.2">
      <c r="A52" s="63"/>
      <c r="B52" s="19">
        <v>2111</v>
      </c>
      <c r="C52" s="63">
        <v>3613</v>
      </c>
      <c r="D52" s="65">
        <v>703</v>
      </c>
      <c r="E52" s="19" t="s">
        <v>159</v>
      </c>
      <c r="F52" s="236">
        <v>200</v>
      </c>
      <c r="G52" s="174"/>
    </row>
    <row r="53" spans="1:7" x14ac:dyDescent="0.2">
      <c r="A53" s="63"/>
      <c r="B53" s="19">
        <v>2111</v>
      </c>
      <c r="C53" s="63">
        <v>3632</v>
      </c>
      <c r="D53" s="65">
        <v>238</v>
      </c>
      <c r="E53" s="19" t="s">
        <v>35</v>
      </c>
      <c r="F53" s="236">
        <v>278</v>
      </c>
    </row>
    <row r="54" spans="1:7" x14ac:dyDescent="0.2">
      <c r="A54" s="63"/>
      <c r="B54" s="19">
        <v>2111</v>
      </c>
      <c r="C54" s="63">
        <v>3639</v>
      </c>
      <c r="D54" s="65">
        <v>21.318999999999999</v>
      </c>
      <c r="E54" s="19" t="s">
        <v>213</v>
      </c>
      <c r="F54" s="236">
        <f>10+96</f>
        <v>106</v>
      </c>
    </row>
    <row r="55" spans="1:7" x14ac:dyDescent="0.2">
      <c r="A55" s="63"/>
      <c r="B55" s="19">
        <v>2111.2323999999999</v>
      </c>
      <c r="C55" s="63">
        <v>3639</v>
      </c>
      <c r="D55" s="65">
        <v>239.22300000000001</v>
      </c>
      <c r="E55" s="19" t="s">
        <v>301</v>
      </c>
      <c r="F55" s="236">
        <v>20</v>
      </c>
      <c r="G55" s="65"/>
    </row>
    <row r="56" spans="1:7" x14ac:dyDescent="0.2">
      <c r="A56" s="63"/>
      <c r="B56" s="19">
        <v>2111</v>
      </c>
      <c r="C56" s="63">
        <v>3639</v>
      </c>
      <c r="D56" s="65">
        <v>243</v>
      </c>
      <c r="E56" s="19" t="s">
        <v>86</v>
      </c>
      <c r="F56" s="236">
        <v>40</v>
      </c>
      <c r="G56" s="173"/>
    </row>
    <row r="57" spans="1:7" x14ac:dyDescent="0.2">
      <c r="A57" s="63"/>
      <c r="B57" s="19">
        <v>2111</v>
      </c>
      <c r="C57" s="63">
        <v>4351</v>
      </c>
      <c r="D57" s="65">
        <v>227</v>
      </c>
      <c r="E57" s="19" t="s">
        <v>132</v>
      </c>
      <c r="F57" s="236">
        <f>110+1000+5+150</f>
        <v>1265</v>
      </c>
      <c r="G57" s="67"/>
    </row>
    <row r="58" spans="1:7" x14ac:dyDescent="0.2">
      <c r="A58" s="63"/>
      <c r="B58" s="19">
        <v>2111</v>
      </c>
      <c r="C58" s="63">
        <v>6171</v>
      </c>
      <c r="D58" s="65">
        <v>314.911</v>
      </c>
      <c r="E58" s="19" t="s">
        <v>160</v>
      </c>
      <c r="F58" s="236">
        <f>50</f>
        <v>50</v>
      </c>
      <c r="G58" s="65"/>
    </row>
    <row r="59" spans="1:7" x14ac:dyDescent="0.2">
      <c r="A59" s="63"/>
      <c r="B59" s="19">
        <v>2119</v>
      </c>
      <c r="C59" s="63">
        <v>2121</v>
      </c>
      <c r="D59" s="65">
        <v>20</v>
      </c>
      <c r="E59" s="19" t="s">
        <v>190</v>
      </c>
      <c r="F59" s="236">
        <v>50</v>
      </c>
      <c r="G59" s="65"/>
    </row>
    <row r="60" spans="1:7" x14ac:dyDescent="0.2">
      <c r="A60" s="63"/>
      <c r="B60" s="19">
        <v>2122</v>
      </c>
      <c r="C60" s="63"/>
      <c r="D60" s="65"/>
      <c r="E60" s="19" t="s">
        <v>198</v>
      </c>
      <c r="F60" s="236">
        <f>888+660+338+66+655</f>
        <v>2607</v>
      </c>
      <c r="G60" s="172"/>
    </row>
    <row r="61" spans="1:7" x14ac:dyDescent="0.2">
      <c r="A61" s="63"/>
      <c r="B61" s="19">
        <v>2324</v>
      </c>
      <c r="C61" s="63">
        <v>3725</v>
      </c>
      <c r="D61" s="65">
        <v>240</v>
      </c>
      <c r="E61" s="19" t="s">
        <v>109</v>
      </c>
      <c r="F61" s="236">
        <f>1300+100</f>
        <v>1400</v>
      </c>
      <c r="G61" s="127"/>
    </row>
    <row r="62" spans="1:7" ht="15" customHeight="1" x14ac:dyDescent="0.2">
      <c r="A62" s="63"/>
      <c r="B62" s="63"/>
      <c r="C62" s="63"/>
      <c r="D62" s="267"/>
      <c r="E62" s="20" t="s">
        <v>38</v>
      </c>
      <c r="F62" s="235">
        <f>SUM(F63:F72)</f>
        <v>14301</v>
      </c>
      <c r="G62" s="65"/>
    </row>
    <row r="63" spans="1:7" x14ac:dyDescent="0.2">
      <c r="A63" s="63"/>
      <c r="B63" s="19">
        <v>2131</v>
      </c>
      <c r="C63" s="63">
        <v>1012</v>
      </c>
      <c r="D63" s="65">
        <v>38</v>
      </c>
      <c r="E63" s="19" t="s">
        <v>168</v>
      </c>
      <c r="F63" s="236">
        <v>497</v>
      </c>
      <c r="G63" s="65" t="s">
        <v>288</v>
      </c>
    </row>
    <row r="64" spans="1:7" x14ac:dyDescent="0.2">
      <c r="A64" s="63"/>
      <c r="B64" s="19">
        <v>2132</v>
      </c>
      <c r="C64" s="63">
        <v>2121</v>
      </c>
      <c r="D64" s="65">
        <v>237</v>
      </c>
      <c r="E64" s="19" t="s">
        <v>169</v>
      </c>
      <c r="F64" s="236">
        <v>1435</v>
      </c>
      <c r="G64" s="169"/>
    </row>
    <row r="65" spans="1:7" x14ac:dyDescent="0.2">
      <c r="A65" s="63"/>
      <c r="B65" s="19">
        <v>2132</v>
      </c>
      <c r="C65" s="63">
        <v>3113</v>
      </c>
      <c r="D65" s="65">
        <v>302</v>
      </c>
      <c r="E65" s="19" t="s">
        <v>249</v>
      </c>
      <c r="F65" s="236">
        <v>195</v>
      </c>
      <c r="G65" s="168"/>
    </row>
    <row r="66" spans="1:7" x14ac:dyDescent="0.2">
      <c r="A66" s="63"/>
      <c r="B66" s="19">
        <v>2132</v>
      </c>
      <c r="C66" s="63">
        <v>3613</v>
      </c>
      <c r="D66" s="65">
        <v>316</v>
      </c>
      <c r="E66" s="19" t="s">
        <v>251</v>
      </c>
      <c r="F66" s="236">
        <v>281</v>
      </c>
      <c r="G66" s="168"/>
    </row>
    <row r="67" spans="1:7" x14ac:dyDescent="0.2">
      <c r="A67" s="63"/>
      <c r="B67" s="19">
        <v>2132</v>
      </c>
      <c r="C67" s="63">
        <v>3612</v>
      </c>
      <c r="D67" s="65" t="s">
        <v>230</v>
      </c>
      <c r="E67" s="19" t="s">
        <v>131</v>
      </c>
      <c r="F67" s="236">
        <f>2500+1680+4150</f>
        <v>8330</v>
      </c>
      <c r="G67" s="168"/>
    </row>
    <row r="68" spans="1:7" x14ac:dyDescent="0.2">
      <c r="A68" s="63"/>
      <c r="B68" s="19">
        <v>2132</v>
      </c>
      <c r="C68" s="63">
        <v>3613</v>
      </c>
      <c r="D68" s="65">
        <v>703</v>
      </c>
      <c r="E68" s="19" t="s">
        <v>39</v>
      </c>
      <c r="F68" s="236">
        <v>620</v>
      </c>
      <c r="G68" s="170"/>
    </row>
    <row r="69" spans="1:7" ht="13.5" customHeight="1" x14ac:dyDescent="0.2">
      <c r="A69" s="63"/>
      <c r="B69" s="19">
        <v>2132</v>
      </c>
      <c r="C69" s="63">
        <v>3634</v>
      </c>
      <c r="D69" s="65">
        <v>21</v>
      </c>
      <c r="E69" s="19" t="s">
        <v>40</v>
      </c>
      <c r="F69" s="236">
        <f>1235</f>
        <v>1235</v>
      </c>
      <c r="G69" s="168"/>
    </row>
    <row r="70" spans="1:7" x14ac:dyDescent="0.2">
      <c r="A70" s="63"/>
      <c r="B70" s="19">
        <v>2132</v>
      </c>
      <c r="C70" s="63">
        <v>3639</v>
      </c>
      <c r="D70" s="65">
        <v>21</v>
      </c>
      <c r="E70" s="19" t="s">
        <v>156</v>
      </c>
      <c r="F70" s="236">
        <v>500</v>
      </c>
      <c r="G70" s="168"/>
    </row>
    <row r="71" spans="1:7" x14ac:dyDescent="0.2">
      <c r="A71" s="63"/>
      <c r="B71" s="19">
        <v>2132</v>
      </c>
      <c r="C71" s="63">
        <v>3639</v>
      </c>
      <c r="D71" s="65">
        <v>319</v>
      </c>
      <c r="E71" s="19" t="s">
        <v>215</v>
      </c>
      <c r="F71" s="236">
        <v>275</v>
      </c>
      <c r="G71" s="168"/>
    </row>
    <row r="72" spans="1:7" x14ac:dyDescent="0.2">
      <c r="A72" s="63"/>
      <c r="B72" s="19">
        <v>2132</v>
      </c>
      <c r="C72" s="63">
        <v>4355</v>
      </c>
      <c r="D72" s="65">
        <v>311</v>
      </c>
      <c r="E72" s="19" t="s">
        <v>328</v>
      </c>
      <c r="F72" s="236">
        <v>933</v>
      </c>
      <c r="G72" s="65"/>
    </row>
    <row r="73" spans="1:7" ht="14.25" customHeight="1" x14ac:dyDescent="0.2">
      <c r="A73" s="63"/>
      <c r="B73" s="63"/>
      <c r="C73" s="63"/>
      <c r="D73" s="267"/>
      <c r="E73" s="20" t="s">
        <v>84</v>
      </c>
      <c r="F73" s="235">
        <f>SUM(F74:F76)</f>
        <v>227</v>
      </c>
      <c r="G73" s="111"/>
    </row>
    <row r="74" spans="1:7" s="163" customFormat="1" ht="14.25" customHeight="1" x14ac:dyDescent="0.2">
      <c r="A74" s="161"/>
      <c r="B74" s="21">
        <v>2141</v>
      </c>
      <c r="C74" s="161">
        <v>3522</v>
      </c>
      <c r="D74" s="269">
        <v>233</v>
      </c>
      <c r="E74" s="21" t="s">
        <v>334</v>
      </c>
      <c r="F74" s="238">
        <v>216</v>
      </c>
      <c r="G74" s="162" t="s">
        <v>333</v>
      </c>
    </row>
    <row r="75" spans="1:7" s="163" customFormat="1" x14ac:dyDescent="0.2">
      <c r="A75" s="161"/>
      <c r="B75" s="21">
        <v>2141</v>
      </c>
      <c r="C75" s="161">
        <v>6310</v>
      </c>
      <c r="D75" s="162">
        <v>314</v>
      </c>
      <c r="E75" s="21" t="s">
        <v>222</v>
      </c>
      <c r="F75" s="238">
        <v>10</v>
      </c>
      <c r="G75" s="162"/>
    </row>
    <row r="76" spans="1:7" ht="13.5" customHeight="1" x14ac:dyDescent="0.2">
      <c r="A76" s="63"/>
      <c r="B76" s="19">
        <v>2141</v>
      </c>
      <c r="C76" s="63">
        <v>6310</v>
      </c>
      <c r="D76" s="65">
        <v>318</v>
      </c>
      <c r="E76" s="19" t="s">
        <v>351</v>
      </c>
      <c r="F76" s="236">
        <v>1</v>
      </c>
      <c r="G76" s="65"/>
    </row>
    <row r="77" spans="1:7" x14ac:dyDescent="0.2">
      <c r="A77" s="54" t="s">
        <v>121</v>
      </c>
      <c r="B77" s="20"/>
      <c r="C77" s="54"/>
      <c r="D77" s="109"/>
      <c r="E77" s="20"/>
      <c r="F77" s="235">
        <f>SUM(F78:F85)</f>
        <v>4238</v>
      </c>
      <c r="G77" s="109"/>
    </row>
    <row r="78" spans="1:7" x14ac:dyDescent="0.2">
      <c r="A78" s="63"/>
      <c r="B78" s="19">
        <v>2212</v>
      </c>
      <c r="C78" s="63">
        <v>6171</v>
      </c>
      <c r="D78" s="65">
        <v>11</v>
      </c>
      <c r="E78" s="19" t="s">
        <v>126</v>
      </c>
      <c r="F78" s="236">
        <v>3</v>
      </c>
      <c r="G78" s="171"/>
    </row>
    <row r="79" spans="1:7" x14ac:dyDescent="0.2">
      <c r="B79" s="19">
        <v>2212</v>
      </c>
      <c r="C79" s="63">
        <v>6171</v>
      </c>
      <c r="D79" s="65" t="s">
        <v>347</v>
      </c>
      <c r="E79" s="19" t="s">
        <v>197</v>
      </c>
      <c r="F79" s="236">
        <f>60+5</f>
        <v>65</v>
      </c>
      <c r="G79" s="65"/>
    </row>
    <row r="80" spans="1:7" x14ac:dyDescent="0.2">
      <c r="A80" s="55"/>
      <c r="B80" s="19">
        <v>2212</v>
      </c>
      <c r="C80" s="63">
        <v>2169</v>
      </c>
      <c r="D80" s="65">
        <v>15</v>
      </c>
      <c r="E80" s="19" t="s">
        <v>147</v>
      </c>
      <c r="F80" s="236">
        <v>50</v>
      </c>
      <c r="G80" s="134"/>
    </row>
    <row r="81" spans="1:7" x14ac:dyDescent="0.2">
      <c r="A81" s="63"/>
      <c r="B81" s="19">
        <v>2212</v>
      </c>
      <c r="C81" s="104" t="s">
        <v>165</v>
      </c>
      <c r="D81" s="65">
        <v>17</v>
      </c>
      <c r="E81" s="19" t="s">
        <v>124</v>
      </c>
      <c r="F81" s="236">
        <v>20</v>
      </c>
      <c r="G81" s="65"/>
    </row>
    <row r="82" spans="1:7" ht="13.5" customHeight="1" x14ac:dyDescent="0.2">
      <c r="A82" s="63"/>
      <c r="B82" s="19">
        <v>2212</v>
      </c>
      <c r="C82" s="63">
        <v>6171</v>
      </c>
      <c r="D82" s="65" t="s">
        <v>325</v>
      </c>
      <c r="E82" s="19" t="s">
        <v>123</v>
      </c>
      <c r="F82" s="236">
        <v>1000</v>
      </c>
      <c r="G82" s="65"/>
    </row>
    <row r="83" spans="1:7" s="153" customFormat="1" x14ac:dyDescent="0.2">
      <c r="A83" s="63"/>
      <c r="B83" s="19">
        <v>2223</v>
      </c>
      <c r="C83" s="63">
        <v>6171</v>
      </c>
      <c r="D83" s="65"/>
      <c r="E83" s="19" t="s">
        <v>339</v>
      </c>
      <c r="F83" s="236">
        <v>3000</v>
      </c>
      <c r="G83" s="65"/>
    </row>
    <row r="84" spans="1:7" x14ac:dyDescent="0.2">
      <c r="A84" s="63"/>
      <c r="B84" s="19">
        <v>2212</v>
      </c>
      <c r="C84" s="63">
        <v>6171</v>
      </c>
      <c r="D84" s="65">
        <v>30.13</v>
      </c>
      <c r="E84" s="19" t="s">
        <v>240</v>
      </c>
      <c r="F84" s="236">
        <v>0</v>
      </c>
      <c r="G84" s="65"/>
    </row>
    <row r="85" spans="1:7" x14ac:dyDescent="0.2">
      <c r="A85" s="63"/>
      <c r="B85" s="19">
        <v>2212</v>
      </c>
      <c r="C85" s="63">
        <v>5311</v>
      </c>
      <c r="D85" s="65">
        <v>16</v>
      </c>
      <c r="E85" s="19" t="s">
        <v>41</v>
      </c>
      <c r="F85" s="236">
        <v>100</v>
      </c>
      <c r="G85" s="65"/>
    </row>
    <row r="86" spans="1:7" x14ac:dyDescent="0.2">
      <c r="A86" s="54" t="s">
        <v>120</v>
      </c>
      <c r="B86" s="19"/>
      <c r="C86" s="63"/>
      <c r="D86" s="65"/>
      <c r="E86" s="19"/>
      <c r="F86" s="235">
        <f>SUM(F87:F87)</f>
        <v>50</v>
      </c>
      <c r="G86" s="127"/>
    </row>
    <row r="87" spans="1:7" x14ac:dyDescent="0.2">
      <c r="A87" s="63"/>
      <c r="B87" s="19">
        <v>2324</v>
      </c>
      <c r="C87" s="63">
        <v>3613</v>
      </c>
      <c r="D87" s="65">
        <v>305</v>
      </c>
      <c r="E87" s="19" t="s">
        <v>266</v>
      </c>
      <c r="F87" s="236">
        <v>50</v>
      </c>
      <c r="G87" s="65"/>
    </row>
    <row r="88" spans="1:7" x14ac:dyDescent="0.2">
      <c r="A88" s="54" t="s">
        <v>119</v>
      </c>
      <c r="B88" s="19"/>
      <c r="C88" s="63"/>
      <c r="D88" s="65"/>
      <c r="E88" s="19"/>
      <c r="F88" s="235">
        <f>SUM(F89:F89)</f>
        <v>0</v>
      </c>
      <c r="G88" s="108"/>
    </row>
    <row r="89" spans="1:7" ht="13.5" thickBot="1" x14ac:dyDescent="0.25">
      <c r="A89" s="63"/>
      <c r="B89" s="19"/>
      <c r="C89" s="19"/>
      <c r="D89" s="65"/>
      <c r="E89" s="94"/>
      <c r="F89" s="133"/>
      <c r="G89" s="151"/>
    </row>
    <row r="90" spans="1:7" ht="16.5" thickBot="1" x14ac:dyDescent="0.3">
      <c r="A90" s="68" t="s">
        <v>42</v>
      </c>
      <c r="B90" s="71"/>
      <c r="C90" s="72"/>
      <c r="D90" s="148"/>
      <c r="E90" s="71"/>
      <c r="F90" s="237">
        <f>SUM(F40+F62+F73+F77+F86+F88)</f>
        <v>31040</v>
      </c>
      <c r="G90" s="112"/>
    </row>
    <row r="91" spans="1:7" x14ac:dyDescent="0.2">
      <c r="A91" s="64" t="s">
        <v>136</v>
      </c>
      <c r="B91" s="49"/>
      <c r="C91" s="64"/>
      <c r="D91" s="110"/>
      <c r="E91" s="64" t="s">
        <v>43</v>
      </c>
      <c r="F91" s="234"/>
      <c r="G91" s="110"/>
    </row>
    <row r="92" spans="1:7" x14ac:dyDescent="0.2">
      <c r="A92" s="54" t="s">
        <v>44</v>
      </c>
      <c r="B92" s="20"/>
      <c r="C92" s="54"/>
      <c r="D92" s="109"/>
      <c r="E92" s="20"/>
      <c r="F92" s="183"/>
      <c r="G92" s="109"/>
    </row>
    <row r="93" spans="1:7" s="163" customFormat="1" x14ac:dyDescent="0.2">
      <c r="A93" s="161"/>
      <c r="B93" s="21">
        <v>3201</v>
      </c>
      <c r="C93" s="161">
        <v>3522</v>
      </c>
      <c r="D93" s="162">
        <v>233</v>
      </c>
      <c r="E93" s="21" t="s">
        <v>335</v>
      </c>
      <c r="F93" s="238">
        <v>12337</v>
      </c>
      <c r="G93" s="162" t="s">
        <v>333</v>
      </c>
    </row>
    <row r="94" spans="1:7" x14ac:dyDescent="0.2">
      <c r="A94" s="63"/>
      <c r="B94" s="19">
        <v>3111</v>
      </c>
      <c r="C94" s="63">
        <v>2121</v>
      </c>
      <c r="D94" s="65">
        <v>20</v>
      </c>
      <c r="E94" s="19" t="s">
        <v>161</v>
      </c>
      <c r="F94" s="236">
        <v>100</v>
      </c>
      <c r="G94" s="65"/>
    </row>
    <row r="95" spans="1:7" x14ac:dyDescent="0.2">
      <c r="A95" s="63"/>
      <c r="B95" s="19">
        <v>3112</v>
      </c>
      <c r="C95" s="63">
        <v>3612</v>
      </c>
      <c r="D95" s="65">
        <v>45</v>
      </c>
      <c r="E95" s="19" t="s">
        <v>162</v>
      </c>
      <c r="F95" s="236">
        <f>1500+2080+2080</f>
        <v>5660</v>
      </c>
      <c r="G95" s="65"/>
    </row>
    <row r="96" spans="1:7" ht="13.5" thickBot="1" x14ac:dyDescent="0.25">
      <c r="A96" s="63"/>
      <c r="B96" s="19">
        <v>3112</v>
      </c>
      <c r="C96" s="63">
        <v>3612</v>
      </c>
      <c r="D96" s="65">
        <v>245</v>
      </c>
      <c r="E96" s="19" t="s">
        <v>163</v>
      </c>
      <c r="F96" s="236">
        <v>0</v>
      </c>
      <c r="G96" s="65" t="s">
        <v>303</v>
      </c>
    </row>
    <row r="97" spans="1:7" ht="15.75" customHeight="1" thickBot="1" x14ac:dyDescent="0.3">
      <c r="A97" s="68" t="s">
        <v>45</v>
      </c>
      <c r="B97" s="71"/>
      <c r="C97" s="72"/>
      <c r="D97" s="148"/>
      <c r="E97" s="71"/>
      <c r="F97" s="237">
        <f>SUM(F93:F96)</f>
        <v>18097</v>
      </c>
      <c r="G97" s="148"/>
    </row>
    <row r="98" spans="1:7" x14ac:dyDescent="0.2">
      <c r="A98" s="64" t="s">
        <v>46</v>
      </c>
      <c r="B98" s="50"/>
      <c r="C98" s="73"/>
      <c r="D98" s="113"/>
      <c r="E98" s="64" t="s">
        <v>47</v>
      </c>
      <c r="F98" s="239"/>
      <c r="G98" s="113"/>
    </row>
    <row r="99" spans="1:7" x14ac:dyDescent="0.2">
      <c r="A99" s="54" t="s">
        <v>48</v>
      </c>
      <c r="B99" s="20"/>
      <c r="C99" s="54" t="s">
        <v>238</v>
      </c>
      <c r="D99" s="109" t="s">
        <v>128</v>
      </c>
      <c r="E99" s="20"/>
      <c r="F99" s="183">
        <f>SUM(F100:F109)</f>
        <v>33800</v>
      </c>
      <c r="G99" s="114"/>
    </row>
    <row r="100" spans="1:7" x14ac:dyDescent="0.2">
      <c r="A100" s="63"/>
      <c r="B100" s="19">
        <v>4112</v>
      </c>
      <c r="C100" s="19"/>
      <c r="D100" s="65"/>
      <c r="E100" s="19" t="s">
        <v>164</v>
      </c>
      <c r="F100" s="236">
        <v>23162.400000000001</v>
      </c>
      <c r="G100" s="78"/>
    </row>
    <row r="101" spans="1:7" x14ac:dyDescent="0.2">
      <c r="A101" s="63"/>
      <c r="B101" s="19">
        <v>4116</v>
      </c>
      <c r="C101" s="19">
        <v>314</v>
      </c>
      <c r="D101" s="270" t="s">
        <v>387</v>
      </c>
      <c r="E101" s="136" t="s">
        <v>247</v>
      </c>
      <c r="F101" s="236">
        <v>3800</v>
      </c>
      <c r="G101" s="160"/>
    </row>
    <row r="102" spans="1:7" x14ac:dyDescent="0.2">
      <c r="A102" s="63"/>
      <c r="B102" s="19">
        <v>4116</v>
      </c>
      <c r="C102" s="19">
        <v>314</v>
      </c>
      <c r="D102" s="270" t="s">
        <v>262</v>
      </c>
      <c r="E102" s="136" t="s">
        <v>231</v>
      </c>
      <c r="F102" s="236">
        <v>603</v>
      </c>
      <c r="G102" s="78"/>
    </row>
    <row r="103" spans="1:7" x14ac:dyDescent="0.2">
      <c r="A103" s="63"/>
      <c r="B103" s="19">
        <v>4116</v>
      </c>
      <c r="C103" s="19">
        <v>15479</v>
      </c>
      <c r="D103" s="65"/>
      <c r="E103" s="94" t="s">
        <v>386</v>
      </c>
      <c r="F103" s="236">
        <v>294</v>
      </c>
      <c r="G103" s="78"/>
    </row>
    <row r="104" spans="1:7" x14ac:dyDescent="0.2">
      <c r="A104" s="63"/>
      <c r="B104" s="19">
        <v>4116</v>
      </c>
      <c r="C104" s="19">
        <v>103.102</v>
      </c>
      <c r="D104" s="65"/>
      <c r="E104" s="94" t="s">
        <v>248</v>
      </c>
      <c r="F104" s="236">
        <v>900</v>
      </c>
      <c r="G104" s="78"/>
    </row>
    <row r="105" spans="1:7" x14ac:dyDescent="0.2">
      <c r="A105" s="63"/>
      <c r="B105" s="19">
        <v>4121</v>
      </c>
      <c r="C105" s="19"/>
      <c r="D105" s="65" t="s">
        <v>221</v>
      </c>
      <c r="E105" s="94" t="s">
        <v>207</v>
      </c>
      <c r="F105" s="236">
        <v>599.6</v>
      </c>
      <c r="G105" s="78"/>
    </row>
    <row r="106" spans="1:7" x14ac:dyDescent="0.2">
      <c r="A106" s="63"/>
      <c r="B106" s="19">
        <v>4121</v>
      </c>
      <c r="C106" s="19">
        <v>321</v>
      </c>
      <c r="D106" s="65">
        <v>321</v>
      </c>
      <c r="E106" s="94" t="s">
        <v>166</v>
      </c>
      <c r="F106" s="236">
        <v>125</v>
      </c>
      <c r="G106" s="78" t="s">
        <v>0</v>
      </c>
    </row>
    <row r="107" spans="1:7" x14ac:dyDescent="0.2">
      <c r="A107" s="63"/>
      <c r="B107" s="19">
        <v>4121</v>
      </c>
      <c r="C107" s="19">
        <v>225</v>
      </c>
      <c r="D107" s="65"/>
      <c r="E107" s="94" t="s">
        <v>277</v>
      </c>
      <c r="F107" s="236">
        <v>661</v>
      </c>
      <c r="G107" s="78" t="s">
        <v>308</v>
      </c>
    </row>
    <row r="108" spans="1:7" x14ac:dyDescent="0.2">
      <c r="A108" s="63"/>
      <c r="B108" s="19">
        <v>4121</v>
      </c>
      <c r="C108" s="19">
        <v>227</v>
      </c>
      <c r="D108" s="65"/>
      <c r="E108" s="94" t="s">
        <v>278</v>
      </c>
      <c r="F108" s="236">
        <v>455</v>
      </c>
      <c r="G108" s="78"/>
    </row>
    <row r="109" spans="1:7" x14ac:dyDescent="0.2">
      <c r="A109" s="63"/>
      <c r="B109" s="19">
        <v>4122</v>
      </c>
      <c r="C109" s="19">
        <v>227</v>
      </c>
      <c r="D109" s="65">
        <v>13305</v>
      </c>
      <c r="E109" s="139" t="s">
        <v>239</v>
      </c>
      <c r="F109" s="236">
        <v>3200</v>
      </c>
      <c r="G109" s="78"/>
    </row>
    <row r="110" spans="1:7" ht="13.5" thickBot="1" x14ac:dyDescent="0.25">
      <c r="A110" s="54" t="s">
        <v>49</v>
      </c>
      <c r="B110" s="20"/>
      <c r="C110" s="54"/>
      <c r="D110" s="109"/>
      <c r="E110" s="20"/>
      <c r="F110" s="235">
        <v>0</v>
      </c>
      <c r="G110" s="65"/>
    </row>
    <row r="111" spans="1:7" ht="14.25" customHeight="1" thickBot="1" x14ac:dyDescent="0.3">
      <c r="A111" s="68" t="s">
        <v>50</v>
      </c>
      <c r="B111" s="71"/>
      <c r="C111" s="72"/>
      <c r="D111" s="148"/>
      <c r="E111" s="71"/>
      <c r="F111" s="240">
        <f>SUM(F99+F110)</f>
        <v>33800</v>
      </c>
      <c r="G111" s="74"/>
    </row>
    <row r="112" spans="1:7" ht="15.75" x14ac:dyDescent="0.25">
      <c r="A112" s="23" t="s">
        <v>8</v>
      </c>
      <c r="B112" s="24"/>
      <c r="C112" s="25"/>
      <c r="D112" s="271"/>
      <c r="E112" s="26"/>
      <c r="F112" s="241">
        <f>SUM(F37+F90+F97+F111)</f>
        <v>186382</v>
      </c>
      <c r="G112" s="115"/>
    </row>
    <row r="113" spans="1:7" ht="24" customHeight="1" thickBot="1" x14ac:dyDescent="0.25">
      <c r="A113" s="62"/>
      <c r="B113" s="14"/>
      <c r="C113" s="62"/>
      <c r="D113" s="105"/>
      <c r="E113" s="14"/>
      <c r="F113" s="231"/>
      <c r="G113" s="105"/>
    </row>
    <row r="114" spans="1:7" ht="13.5" thickBot="1" x14ac:dyDescent="0.25">
      <c r="A114" s="27"/>
      <c r="B114" s="28"/>
      <c r="C114" s="27"/>
      <c r="D114" s="272"/>
      <c r="E114" s="29"/>
      <c r="F114" s="242" t="s">
        <v>311</v>
      </c>
      <c r="G114" s="116"/>
    </row>
    <row r="115" spans="1:7" x14ac:dyDescent="0.2">
      <c r="A115" s="27" t="s">
        <v>51</v>
      </c>
      <c r="B115" s="14"/>
      <c r="C115" s="62"/>
      <c r="D115" s="105"/>
      <c r="E115" s="41" t="s">
        <v>52</v>
      </c>
      <c r="F115" s="243">
        <f>F37</f>
        <v>103445</v>
      </c>
      <c r="G115" s="117"/>
    </row>
    <row r="116" spans="1:7" x14ac:dyDescent="0.2">
      <c r="A116" s="62"/>
      <c r="B116" s="14"/>
      <c r="C116" s="62"/>
      <c r="D116" s="105"/>
      <c r="E116" s="41" t="s">
        <v>53</v>
      </c>
      <c r="F116" s="243">
        <f>F90</f>
        <v>31040</v>
      </c>
      <c r="G116" s="118"/>
    </row>
    <row r="117" spans="1:7" x14ac:dyDescent="0.2">
      <c r="A117" s="62"/>
      <c r="B117" s="14"/>
      <c r="C117" s="62"/>
      <c r="D117" s="105"/>
      <c r="E117" s="41" t="s">
        <v>54</v>
      </c>
      <c r="F117" s="244">
        <f>F99</f>
        <v>33800</v>
      </c>
      <c r="G117" s="126"/>
    </row>
    <row r="118" spans="1:7" x14ac:dyDescent="0.2">
      <c r="A118" s="62"/>
      <c r="B118" s="14"/>
      <c r="C118" s="62"/>
      <c r="D118" s="105"/>
      <c r="E118" s="75" t="s">
        <v>55</v>
      </c>
      <c r="F118" s="245">
        <f>SUM(F115:F117)</f>
        <v>168285</v>
      </c>
      <c r="G118" s="119"/>
    </row>
    <row r="119" spans="1:7" x14ac:dyDescent="0.2">
      <c r="A119" s="62"/>
      <c r="B119" s="14"/>
      <c r="C119" s="62"/>
      <c r="D119" s="105"/>
      <c r="E119" s="41" t="s">
        <v>56</v>
      </c>
      <c r="F119" s="246">
        <f>F97</f>
        <v>18097</v>
      </c>
      <c r="G119" s="117" t="s">
        <v>1</v>
      </c>
    </row>
    <row r="120" spans="1:7" x14ac:dyDescent="0.2">
      <c r="A120" s="62"/>
      <c r="B120" s="14"/>
      <c r="C120" s="62"/>
      <c r="D120" s="105"/>
      <c r="E120" s="41" t="s">
        <v>57</v>
      </c>
      <c r="F120" s="246">
        <f>F110</f>
        <v>0</v>
      </c>
      <c r="G120" s="117"/>
    </row>
    <row r="121" spans="1:7" ht="13.5" thickBot="1" x14ac:dyDescent="0.25">
      <c r="A121" s="76"/>
      <c r="B121" s="14"/>
      <c r="C121" s="62"/>
      <c r="D121" s="105"/>
      <c r="E121" s="77" t="s">
        <v>58</v>
      </c>
      <c r="F121" s="247">
        <f>SUM(F118:F120)</f>
        <v>186382</v>
      </c>
      <c r="G121" s="120"/>
    </row>
    <row r="122" spans="1:7" x14ac:dyDescent="0.2">
      <c r="E122" s="140"/>
    </row>
    <row r="123" spans="1:7" x14ac:dyDescent="0.2">
      <c r="E123" s="140"/>
    </row>
    <row r="124" spans="1:7" x14ac:dyDescent="0.2">
      <c r="E124" s="140"/>
    </row>
    <row r="125" spans="1:7" x14ac:dyDescent="0.2">
      <c r="E125" s="140"/>
    </row>
    <row r="126" spans="1:7" x14ac:dyDescent="0.2">
      <c r="E126" s="140"/>
    </row>
    <row r="127" spans="1:7" x14ac:dyDescent="0.2">
      <c r="E127" s="140"/>
    </row>
    <row r="128" spans="1:7" x14ac:dyDescent="0.2">
      <c r="E128" s="140"/>
    </row>
    <row r="129" spans="5:5" x14ac:dyDescent="0.2">
      <c r="E129" s="140"/>
    </row>
  </sheetData>
  <sortState ref="A112:AH113">
    <sortCondition ref="C112:C113"/>
  </sortState>
  <phoneticPr fontId="6" type="noConversion"/>
  <pageMargins left="0.39370078740157483" right="0.15748031496062992" top="0.78740157480314965" bottom="0.27559055118110237" header="0.19685039370078741" footer="0.15748031496062992"/>
  <pageSetup paperSize="9" scale="85" fitToHeight="0" orientation="landscape" r:id="rId1"/>
  <headerFooter alignWithMargins="0"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ER123"/>
  <sheetViews>
    <sheetView zoomScale="112" zoomScaleNormal="112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7.85546875" defaultRowHeight="12.75" x14ac:dyDescent="0.2"/>
  <cols>
    <col min="1" max="1" width="3.28515625" style="53" customWidth="1"/>
    <col min="2" max="2" width="4.85546875" style="56" customWidth="1"/>
    <col min="3" max="3" width="5.28515625" style="56" bestFit="1" customWidth="1"/>
    <col min="4" max="4" width="31.140625" style="102" customWidth="1"/>
    <col min="5" max="6" width="10.28515625" style="53" customWidth="1"/>
    <col min="7" max="7" width="10.28515625" style="70" customWidth="1"/>
    <col min="8" max="8" width="23.5703125" style="204" bestFit="1" customWidth="1"/>
    <col min="9" max="10" width="8.140625" style="56" customWidth="1"/>
    <col min="11" max="11" width="7.85546875" style="53" customWidth="1"/>
    <col min="12" max="12" width="7.85546875" style="53"/>
    <col min="13" max="13" width="8.28515625" style="53" bestFit="1" customWidth="1"/>
    <col min="14" max="16384" width="7.85546875" style="53"/>
  </cols>
  <sheetData>
    <row r="1" spans="1:10" ht="18.75" thickBot="1" x14ac:dyDescent="0.3">
      <c r="A1" s="61" t="s">
        <v>389</v>
      </c>
      <c r="B1" s="123"/>
      <c r="C1" s="123"/>
      <c r="D1" s="122"/>
      <c r="E1" s="122"/>
      <c r="F1" s="122"/>
      <c r="G1" s="123"/>
      <c r="H1" s="194"/>
      <c r="I1" s="14"/>
    </row>
    <row r="2" spans="1:10" x14ac:dyDescent="0.2">
      <c r="A2" s="82"/>
      <c r="B2" s="57"/>
      <c r="C2" s="57"/>
      <c r="D2" s="149"/>
      <c r="E2" s="190"/>
      <c r="F2" s="190" t="s">
        <v>311</v>
      </c>
      <c r="G2" s="190"/>
      <c r="H2" s="195"/>
      <c r="I2" s="137"/>
      <c r="J2" s="256"/>
    </row>
    <row r="3" spans="1:10" x14ac:dyDescent="0.2">
      <c r="A3" s="52"/>
      <c r="B3" s="20"/>
      <c r="C3" s="20"/>
      <c r="D3" s="228"/>
      <c r="E3" s="31">
        <v>2022</v>
      </c>
      <c r="F3" s="32">
        <v>2022</v>
      </c>
      <c r="G3" s="135">
        <v>2022</v>
      </c>
      <c r="H3" s="196"/>
      <c r="I3" s="276" t="s">
        <v>138</v>
      </c>
      <c r="J3" s="277" t="s">
        <v>146</v>
      </c>
    </row>
    <row r="4" spans="1:10" ht="13.5" thickBot="1" x14ac:dyDescent="0.25">
      <c r="A4" s="33" t="s">
        <v>59</v>
      </c>
      <c r="B4" s="17" t="s">
        <v>18</v>
      </c>
      <c r="C4" s="17" t="s">
        <v>19</v>
      </c>
      <c r="D4" s="229" t="s">
        <v>60</v>
      </c>
      <c r="E4" s="131" t="s">
        <v>61</v>
      </c>
      <c r="F4" s="17" t="s">
        <v>62</v>
      </c>
      <c r="G4" s="191" t="s">
        <v>63</v>
      </c>
      <c r="H4" s="197" t="s">
        <v>210</v>
      </c>
      <c r="I4" s="278" t="s">
        <v>137</v>
      </c>
      <c r="J4" s="279" t="s">
        <v>141</v>
      </c>
    </row>
    <row r="5" spans="1:10" x14ac:dyDescent="0.2">
      <c r="A5" s="83">
        <v>10</v>
      </c>
      <c r="B5" s="45"/>
      <c r="C5" s="45"/>
      <c r="D5" s="230" t="s">
        <v>64</v>
      </c>
      <c r="E5" s="34">
        <f>SUM(E6:E7)</f>
        <v>1283</v>
      </c>
      <c r="F5" s="35">
        <f>SUM(F6:F7)</f>
        <v>105</v>
      </c>
      <c r="G5" s="249">
        <f>SUM(G6:G7)</f>
        <v>1388</v>
      </c>
      <c r="H5" s="198"/>
      <c r="I5" s="36"/>
      <c r="J5" s="257"/>
    </row>
    <row r="6" spans="1:10" x14ac:dyDescent="0.2">
      <c r="A6" s="84"/>
      <c r="B6" s="176">
        <v>1031</v>
      </c>
      <c r="C6" s="176">
        <v>201</v>
      </c>
      <c r="D6" s="222" t="s">
        <v>170</v>
      </c>
      <c r="E6" s="30">
        <f>630+653</f>
        <v>1283</v>
      </c>
      <c r="F6" s="146">
        <v>105</v>
      </c>
      <c r="G6" s="250">
        <f>E6+F6</f>
        <v>1388</v>
      </c>
      <c r="H6" s="199"/>
      <c r="I6" s="30" t="s">
        <v>245</v>
      </c>
      <c r="J6" s="37" t="s">
        <v>65</v>
      </c>
    </row>
    <row r="7" spans="1:10" s="153" customFormat="1" x14ac:dyDescent="0.2">
      <c r="A7" s="86"/>
      <c r="B7" s="22">
        <v>1036</v>
      </c>
      <c r="C7" s="22">
        <v>109</v>
      </c>
      <c r="D7" s="224" t="s">
        <v>326</v>
      </c>
      <c r="E7" s="40"/>
      <c r="F7" s="273"/>
      <c r="G7" s="252"/>
      <c r="H7" s="201"/>
      <c r="I7" s="40"/>
      <c r="J7" s="42"/>
    </row>
    <row r="8" spans="1:10" x14ac:dyDescent="0.2">
      <c r="A8" s="52">
        <v>21</v>
      </c>
      <c r="B8" s="20"/>
      <c r="C8" s="20"/>
      <c r="D8" s="225" t="s">
        <v>205</v>
      </c>
      <c r="E8" s="36">
        <f t="shared" ref="E8:G8" si="0">SUM(E9:E13)</f>
        <v>1125</v>
      </c>
      <c r="F8" s="12">
        <f t="shared" si="0"/>
        <v>475</v>
      </c>
      <c r="G8" s="253">
        <f t="shared" si="0"/>
        <v>1600</v>
      </c>
      <c r="H8" s="202"/>
      <c r="I8" s="36"/>
      <c r="J8" s="257"/>
    </row>
    <row r="9" spans="1:10" x14ac:dyDescent="0.2">
      <c r="A9" s="41"/>
      <c r="B9" s="176">
        <v>2121</v>
      </c>
      <c r="C9" s="176">
        <v>20</v>
      </c>
      <c r="D9" s="222" t="s">
        <v>85</v>
      </c>
      <c r="E9" s="30"/>
      <c r="F9" s="10">
        <v>100</v>
      </c>
      <c r="G9" s="250">
        <f>E9+F9</f>
        <v>100</v>
      </c>
      <c r="H9" s="199"/>
      <c r="I9" s="30" t="s">
        <v>65</v>
      </c>
      <c r="J9" s="37" t="s">
        <v>107</v>
      </c>
    </row>
    <row r="10" spans="1:10" x14ac:dyDescent="0.2">
      <c r="A10" s="41"/>
      <c r="B10" s="176">
        <v>2121</v>
      </c>
      <c r="C10" s="176">
        <v>237</v>
      </c>
      <c r="D10" s="222" t="s">
        <v>153</v>
      </c>
      <c r="E10" s="30">
        <v>358</v>
      </c>
      <c r="F10" s="10"/>
      <c r="G10" s="250">
        <f>E10+F10</f>
        <v>358</v>
      </c>
      <c r="H10" s="199"/>
      <c r="I10" s="30" t="s">
        <v>65</v>
      </c>
      <c r="J10" s="37" t="s">
        <v>107</v>
      </c>
    </row>
    <row r="11" spans="1:10" x14ac:dyDescent="0.2">
      <c r="A11" s="41"/>
      <c r="B11" s="176">
        <v>2141</v>
      </c>
      <c r="C11" s="176">
        <v>101</v>
      </c>
      <c r="D11" s="222" t="s">
        <v>327</v>
      </c>
      <c r="E11" s="30">
        <v>80</v>
      </c>
      <c r="F11" s="10"/>
      <c r="G11" s="250">
        <f>E11+F11</f>
        <v>80</v>
      </c>
      <c r="H11" s="199"/>
      <c r="I11" s="30" t="s">
        <v>323</v>
      </c>
      <c r="J11" s="37" t="s">
        <v>107</v>
      </c>
    </row>
    <row r="12" spans="1:10" x14ac:dyDescent="0.2">
      <c r="A12" s="41"/>
      <c r="B12" s="176">
        <v>2144</v>
      </c>
      <c r="C12" s="176">
        <v>650</v>
      </c>
      <c r="D12" s="222" t="s">
        <v>149</v>
      </c>
      <c r="E12" s="30">
        <f>137+350</f>
        <v>487</v>
      </c>
      <c r="F12" s="10"/>
      <c r="G12" s="250">
        <f>E12+F12</f>
        <v>487</v>
      </c>
      <c r="H12" s="199" t="s">
        <v>352</v>
      </c>
      <c r="I12" s="30" t="s">
        <v>228</v>
      </c>
      <c r="J12" s="37" t="s">
        <v>319</v>
      </c>
    </row>
    <row r="13" spans="1:10" x14ac:dyDescent="0.2">
      <c r="A13" s="41"/>
      <c r="B13" s="176">
        <v>2199</v>
      </c>
      <c r="C13" s="176">
        <v>912</v>
      </c>
      <c r="D13" s="222" t="s">
        <v>89</v>
      </c>
      <c r="E13" s="30">
        <v>200</v>
      </c>
      <c r="F13" s="10">
        <v>375</v>
      </c>
      <c r="G13" s="250">
        <f>E13+F13</f>
        <v>575</v>
      </c>
      <c r="H13" s="199"/>
      <c r="I13" s="40" t="s">
        <v>295</v>
      </c>
      <c r="J13" s="42" t="s">
        <v>107</v>
      </c>
    </row>
    <row r="14" spans="1:10" x14ac:dyDescent="0.2">
      <c r="A14" s="85">
        <v>22</v>
      </c>
      <c r="B14" s="15"/>
      <c r="C14" s="15"/>
      <c r="D14" s="223" t="s">
        <v>67</v>
      </c>
      <c r="E14" s="38">
        <f>SUM(E15:E29)</f>
        <v>14445</v>
      </c>
      <c r="F14" s="39">
        <f>SUM(F15:F29)</f>
        <v>8767</v>
      </c>
      <c r="G14" s="251">
        <f>SUM(G15:G29)</f>
        <v>23212</v>
      </c>
      <c r="H14" s="200"/>
      <c r="I14" s="36"/>
      <c r="J14" s="257"/>
    </row>
    <row r="15" spans="1:10" x14ac:dyDescent="0.2">
      <c r="A15" s="84"/>
      <c r="B15" s="176">
        <v>2212</v>
      </c>
      <c r="C15" s="176">
        <v>203</v>
      </c>
      <c r="D15" s="222" t="s">
        <v>300</v>
      </c>
      <c r="E15" s="30">
        <v>200</v>
      </c>
      <c r="F15" s="10">
        <v>0</v>
      </c>
      <c r="G15" s="250">
        <f>E15+F15</f>
        <v>200</v>
      </c>
      <c r="H15" s="199"/>
      <c r="I15" s="30" t="s">
        <v>143</v>
      </c>
      <c r="J15" s="37" t="s">
        <v>107</v>
      </c>
    </row>
    <row r="16" spans="1:10" x14ac:dyDescent="0.2">
      <c r="A16" s="84"/>
      <c r="B16" s="176">
        <v>2212</v>
      </c>
      <c r="C16" s="176">
        <v>204</v>
      </c>
      <c r="D16" s="222" t="s">
        <v>112</v>
      </c>
      <c r="E16" s="10">
        <v>6200</v>
      </c>
      <c r="F16" s="10"/>
      <c r="G16" s="250">
        <f t="shared" ref="G16:G29" si="1">E16+F16</f>
        <v>6200</v>
      </c>
      <c r="H16" s="199"/>
      <c r="I16" s="30" t="s">
        <v>177</v>
      </c>
      <c r="J16" s="37" t="s">
        <v>107</v>
      </c>
    </row>
    <row r="17" spans="1:10" x14ac:dyDescent="0.2">
      <c r="A17" s="84"/>
      <c r="B17" s="176">
        <v>2212</v>
      </c>
      <c r="C17" s="176">
        <v>206</v>
      </c>
      <c r="D17" s="222" t="s">
        <v>244</v>
      </c>
      <c r="E17" s="30">
        <v>100</v>
      </c>
      <c r="F17" s="10"/>
      <c r="G17" s="250">
        <f t="shared" si="1"/>
        <v>100</v>
      </c>
      <c r="H17" s="199" t="s">
        <v>294</v>
      </c>
      <c r="I17" s="30" t="s">
        <v>295</v>
      </c>
      <c r="J17" s="37" t="s">
        <v>107</v>
      </c>
    </row>
    <row r="18" spans="1:10" x14ac:dyDescent="0.2">
      <c r="A18" s="84"/>
      <c r="B18" s="176">
        <v>2212</v>
      </c>
      <c r="C18" s="176">
        <v>217</v>
      </c>
      <c r="D18" s="222" t="s">
        <v>289</v>
      </c>
      <c r="E18" s="30">
        <v>150</v>
      </c>
      <c r="F18" s="10"/>
      <c r="G18" s="250">
        <f t="shared" si="1"/>
        <v>150</v>
      </c>
      <c r="H18" s="199" t="s">
        <v>353</v>
      </c>
      <c r="I18" s="30" t="s">
        <v>143</v>
      </c>
      <c r="J18" s="37" t="s">
        <v>107</v>
      </c>
    </row>
    <row r="19" spans="1:10" x14ac:dyDescent="0.2">
      <c r="A19" s="84"/>
      <c r="B19" s="176">
        <v>2212</v>
      </c>
      <c r="C19" s="176">
        <v>220</v>
      </c>
      <c r="D19" s="222" t="s">
        <v>282</v>
      </c>
      <c r="E19" s="30"/>
      <c r="F19" s="11">
        <v>600</v>
      </c>
      <c r="G19" s="250">
        <f t="shared" si="1"/>
        <v>600</v>
      </c>
      <c r="H19" s="199" t="s">
        <v>354</v>
      </c>
      <c r="I19" s="30" t="s">
        <v>143</v>
      </c>
      <c r="J19" s="37" t="s">
        <v>107</v>
      </c>
    </row>
    <row r="20" spans="1:10" s="153" customFormat="1" x14ac:dyDescent="0.2">
      <c r="A20" s="84"/>
      <c r="B20" s="176">
        <v>2212</v>
      </c>
      <c r="C20" s="176">
        <v>231</v>
      </c>
      <c r="D20" s="222" t="s">
        <v>337</v>
      </c>
      <c r="E20" s="30"/>
      <c r="F20" s="10">
        <v>250</v>
      </c>
      <c r="G20" s="250">
        <v>250</v>
      </c>
      <c r="H20" s="199"/>
      <c r="I20" s="30" t="s">
        <v>143</v>
      </c>
      <c r="J20" s="37" t="s">
        <v>107</v>
      </c>
    </row>
    <row r="21" spans="1:10" s="153" customFormat="1" x14ac:dyDescent="0.2">
      <c r="A21" s="84"/>
      <c r="B21" s="176">
        <v>2212</v>
      </c>
      <c r="C21" s="176">
        <v>51</v>
      </c>
      <c r="D21" s="222" t="s">
        <v>324</v>
      </c>
      <c r="E21" s="30">
        <f>5000+500</f>
        <v>5500</v>
      </c>
      <c r="F21" s="10">
        <f>2500+3000</f>
        <v>5500</v>
      </c>
      <c r="G21" s="250">
        <f t="shared" si="1"/>
        <v>11000</v>
      </c>
      <c r="H21" s="199" t="s">
        <v>355</v>
      </c>
      <c r="I21" s="30" t="s">
        <v>143</v>
      </c>
      <c r="J21" s="37" t="s">
        <v>107</v>
      </c>
    </row>
    <row r="22" spans="1:10" x14ac:dyDescent="0.2">
      <c r="A22" s="84"/>
      <c r="B22" s="176">
        <v>2219</v>
      </c>
      <c r="C22" s="176">
        <v>39</v>
      </c>
      <c r="D22" s="222" t="s">
        <v>306</v>
      </c>
      <c r="E22" s="30"/>
      <c r="F22" s="10">
        <v>700</v>
      </c>
      <c r="G22" s="250">
        <f t="shared" si="1"/>
        <v>700</v>
      </c>
      <c r="H22" s="199"/>
      <c r="I22" s="30" t="s">
        <v>295</v>
      </c>
      <c r="J22" s="37" t="s">
        <v>107</v>
      </c>
    </row>
    <row r="23" spans="1:10" x14ac:dyDescent="0.2">
      <c r="A23" s="84"/>
      <c r="B23" s="176">
        <v>2219</v>
      </c>
      <c r="C23" s="176">
        <v>43</v>
      </c>
      <c r="D23" s="222" t="s">
        <v>110</v>
      </c>
      <c r="E23" s="30">
        <v>32</v>
      </c>
      <c r="F23" s="10"/>
      <c r="G23" s="250">
        <f t="shared" si="1"/>
        <v>32</v>
      </c>
      <c r="H23" s="199"/>
      <c r="I23" s="30" t="s">
        <v>142</v>
      </c>
      <c r="J23" s="37" t="s">
        <v>228</v>
      </c>
    </row>
    <row r="24" spans="1:10" s="153" customFormat="1" x14ac:dyDescent="0.2">
      <c r="A24" s="84"/>
      <c r="B24" s="176">
        <v>2219</v>
      </c>
      <c r="C24" s="176">
        <v>46</v>
      </c>
      <c r="D24" s="222" t="s">
        <v>350</v>
      </c>
      <c r="E24" s="30"/>
      <c r="F24" s="10">
        <v>100</v>
      </c>
      <c r="G24" s="250">
        <f t="shared" si="1"/>
        <v>100</v>
      </c>
      <c r="H24" s="199"/>
      <c r="I24" s="30" t="s">
        <v>295</v>
      </c>
      <c r="J24" s="37" t="s">
        <v>107</v>
      </c>
    </row>
    <row r="25" spans="1:10" x14ac:dyDescent="0.2">
      <c r="A25" s="84"/>
      <c r="B25" s="176">
        <v>2219</v>
      </c>
      <c r="C25" s="176">
        <v>49</v>
      </c>
      <c r="D25" s="222" t="s">
        <v>290</v>
      </c>
      <c r="E25" s="30">
        <v>135</v>
      </c>
      <c r="F25" s="10"/>
      <c r="G25" s="250">
        <f t="shared" si="1"/>
        <v>135</v>
      </c>
      <c r="H25" s="199"/>
      <c r="I25" s="30" t="s">
        <v>295</v>
      </c>
      <c r="J25" s="37" t="s">
        <v>107</v>
      </c>
    </row>
    <row r="26" spans="1:10" s="153" customFormat="1" x14ac:dyDescent="0.2">
      <c r="A26" s="84"/>
      <c r="B26" s="176">
        <v>2219</v>
      </c>
      <c r="C26" s="176">
        <v>52</v>
      </c>
      <c r="D26" s="222" t="s">
        <v>338</v>
      </c>
      <c r="E26" s="30">
        <v>0</v>
      </c>
      <c r="F26" s="10">
        <v>200</v>
      </c>
      <c r="G26" s="250">
        <f t="shared" si="1"/>
        <v>200</v>
      </c>
      <c r="H26" s="199"/>
      <c r="I26" s="30" t="s">
        <v>295</v>
      </c>
      <c r="J26" s="37" t="s">
        <v>107</v>
      </c>
    </row>
    <row r="27" spans="1:10" s="153" customFormat="1" x14ac:dyDescent="0.2">
      <c r="A27" s="84"/>
      <c r="B27" s="176">
        <v>2223</v>
      </c>
      <c r="C27" s="176">
        <v>36</v>
      </c>
      <c r="D27" s="222" t="s">
        <v>330</v>
      </c>
      <c r="E27" s="30">
        <f>730+641+239</f>
        <v>1610</v>
      </c>
      <c r="F27" s="10">
        <f>766+405+246</f>
        <v>1417</v>
      </c>
      <c r="G27" s="250">
        <f t="shared" si="1"/>
        <v>3027</v>
      </c>
      <c r="H27" s="199"/>
      <c r="I27" s="30" t="s">
        <v>228</v>
      </c>
      <c r="J27" s="37" t="s">
        <v>343</v>
      </c>
    </row>
    <row r="28" spans="1:10" x14ac:dyDescent="0.2">
      <c r="A28" s="84"/>
      <c r="B28" s="176">
        <v>2292</v>
      </c>
      <c r="C28" s="176">
        <v>204</v>
      </c>
      <c r="D28" s="222" t="s">
        <v>108</v>
      </c>
      <c r="E28" s="30">
        <v>486</v>
      </c>
      <c r="F28" s="10"/>
      <c r="G28" s="250">
        <f t="shared" si="1"/>
        <v>486</v>
      </c>
      <c r="H28" s="199" t="s">
        <v>356</v>
      </c>
      <c r="I28" s="258" t="s">
        <v>178</v>
      </c>
      <c r="J28" s="37" t="s">
        <v>340</v>
      </c>
    </row>
    <row r="29" spans="1:10" s="144" customFormat="1" ht="12" x14ac:dyDescent="0.2">
      <c r="A29" s="142"/>
      <c r="B29" s="22">
        <v>2321</v>
      </c>
      <c r="C29" s="143">
        <v>5103</v>
      </c>
      <c r="D29" s="224" t="s">
        <v>242</v>
      </c>
      <c r="E29" s="40">
        <v>32</v>
      </c>
      <c r="F29" s="43"/>
      <c r="G29" s="252">
        <f t="shared" si="1"/>
        <v>32</v>
      </c>
      <c r="H29" s="201"/>
      <c r="I29" s="259" t="s">
        <v>178</v>
      </c>
      <c r="J29" s="42" t="s">
        <v>340</v>
      </c>
    </row>
    <row r="30" spans="1:10" x14ac:dyDescent="0.2">
      <c r="A30" s="52">
        <v>31</v>
      </c>
      <c r="B30" s="20">
        <v>3100</v>
      </c>
      <c r="C30" s="20"/>
      <c r="D30" s="225" t="s">
        <v>298</v>
      </c>
      <c r="E30" s="36">
        <f>SUM(E31:E42)</f>
        <v>19429</v>
      </c>
      <c r="F30" s="12">
        <f>SUM(F31:F42)</f>
        <v>135</v>
      </c>
      <c r="G30" s="253">
        <f>SUM(G31:G42)</f>
        <v>19564</v>
      </c>
      <c r="H30" s="202"/>
      <c r="I30" s="124"/>
      <c r="J30" s="257"/>
    </row>
    <row r="31" spans="1:10" ht="12" customHeight="1" x14ac:dyDescent="0.2">
      <c r="A31" s="84"/>
      <c r="B31" s="176">
        <v>3111</v>
      </c>
      <c r="C31" s="176">
        <v>301</v>
      </c>
      <c r="D31" s="222" t="s">
        <v>186</v>
      </c>
      <c r="E31" s="30">
        <v>1462</v>
      </c>
      <c r="F31" s="10"/>
      <c r="G31" s="250">
        <f t="shared" ref="G31:G42" si="2">E31+F31</f>
        <v>1462</v>
      </c>
      <c r="H31" s="199"/>
      <c r="I31" s="41" t="s">
        <v>179</v>
      </c>
      <c r="J31" s="37" t="s">
        <v>340</v>
      </c>
    </row>
    <row r="32" spans="1:10" ht="12" customHeight="1" x14ac:dyDescent="0.2">
      <c r="A32" s="84"/>
      <c r="B32" s="176">
        <v>3111</v>
      </c>
      <c r="C32" s="176">
        <v>301</v>
      </c>
      <c r="D32" s="222" t="s">
        <v>199</v>
      </c>
      <c r="E32" s="30">
        <v>338</v>
      </c>
      <c r="F32" s="10"/>
      <c r="G32" s="250">
        <f t="shared" si="2"/>
        <v>338</v>
      </c>
      <c r="H32" s="199"/>
      <c r="I32" s="41" t="s">
        <v>179</v>
      </c>
      <c r="J32" s="37" t="s">
        <v>340</v>
      </c>
    </row>
    <row r="33" spans="1:10" ht="12" customHeight="1" x14ac:dyDescent="0.2">
      <c r="A33" s="84"/>
      <c r="B33" s="176">
        <v>3111</v>
      </c>
      <c r="C33" s="176" t="s">
        <v>274</v>
      </c>
      <c r="D33" s="222" t="s">
        <v>267</v>
      </c>
      <c r="E33" s="30">
        <v>7650</v>
      </c>
      <c r="F33" s="10"/>
      <c r="G33" s="250">
        <f t="shared" si="2"/>
        <v>7650</v>
      </c>
      <c r="H33" s="199" t="s">
        <v>357</v>
      </c>
      <c r="I33" s="30" t="s">
        <v>143</v>
      </c>
      <c r="J33" s="37" t="s">
        <v>107</v>
      </c>
    </row>
    <row r="34" spans="1:10" x14ac:dyDescent="0.2">
      <c r="A34" s="84"/>
      <c r="B34" s="176">
        <v>3113</v>
      </c>
      <c r="C34" s="176">
        <v>300</v>
      </c>
      <c r="D34" s="222" t="s">
        <v>180</v>
      </c>
      <c r="E34" s="30">
        <v>2600</v>
      </c>
      <c r="F34" s="10"/>
      <c r="G34" s="250">
        <f t="shared" si="2"/>
        <v>2600</v>
      </c>
      <c r="H34" s="199" t="s">
        <v>302</v>
      </c>
      <c r="I34" s="30" t="s">
        <v>143</v>
      </c>
      <c r="J34" s="37" t="s">
        <v>107</v>
      </c>
    </row>
    <row r="35" spans="1:10" ht="12.75" customHeight="1" x14ac:dyDescent="0.2">
      <c r="A35" s="84"/>
      <c r="B35" s="176">
        <v>3113</v>
      </c>
      <c r="C35" s="176">
        <v>303</v>
      </c>
      <c r="D35" s="222" t="s">
        <v>187</v>
      </c>
      <c r="E35" s="30">
        <v>2098</v>
      </c>
      <c r="F35" s="10"/>
      <c r="G35" s="250">
        <f t="shared" si="2"/>
        <v>2098</v>
      </c>
      <c r="H35" s="199" t="s">
        <v>283</v>
      </c>
      <c r="I35" s="41" t="s">
        <v>179</v>
      </c>
      <c r="J35" s="37" t="s">
        <v>340</v>
      </c>
    </row>
    <row r="36" spans="1:10" x14ac:dyDescent="0.2">
      <c r="A36" s="84"/>
      <c r="B36" s="176">
        <v>3113</v>
      </c>
      <c r="C36" s="176">
        <v>303.30399999999997</v>
      </c>
      <c r="D36" s="222" t="s">
        <v>200</v>
      </c>
      <c r="E36" s="10">
        <f>888+660</f>
        <v>1548</v>
      </c>
      <c r="F36" s="10"/>
      <c r="G36" s="250">
        <f t="shared" si="2"/>
        <v>1548</v>
      </c>
      <c r="H36" s="199"/>
      <c r="I36" s="41" t="s">
        <v>179</v>
      </c>
      <c r="J36" s="37" t="s">
        <v>340</v>
      </c>
    </row>
    <row r="37" spans="1:10" x14ac:dyDescent="0.2">
      <c r="A37" s="84"/>
      <c r="B37" s="176">
        <v>3113</v>
      </c>
      <c r="C37" s="176">
        <v>304</v>
      </c>
      <c r="D37" s="222" t="s">
        <v>188</v>
      </c>
      <c r="E37" s="30">
        <v>1403</v>
      </c>
      <c r="F37" s="10"/>
      <c r="G37" s="250">
        <f t="shared" si="2"/>
        <v>1403</v>
      </c>
      <c r="H37" s="199" t="s">
        <v>382</v>
      </c>
      <c r="I37" s="41" t="s">
        <v>179</v>
      </c>
      <c r="J37" s="37" t="s">
        <v>340</v>
      </c>
    </row>
    <row r="38" spans="1:10" x14ac:dyDescent="0.2">
      <c r="A38" s="84"/>
      <c r="B38" s="176">
        <v>3113</v>
      </c>
      <c r="C38" s="176">
        <v>4169</v>
      </c>
      <c r="D38" s="222" t="s">
        <v>255</v>
      </c>
      <c r="E38" s="30">
        <v>3</v>
      </c>
      <c r="F38" s="10"/>
      <c r="G38" s="250">
        <f t="shared" si="2"/>
        <v>3</v>
      </c>
      <c r="H38" s="199" t="s">
        <v>358</v>
      </c>
      <c r="I38" s="30" t="s">
        <v>295</v>
      </c>
      <c r="J38" s="37" t="s">
        <v>107</v>
      </c>
    </row>
    <row r="39" spans="1:10" x14ac:dyDescent="0.2">
      <c r="A39" s="84"/>
      <c r="B39" s="176">
        <v>3119</v>
      </c>
      <c r="C39" s="176">
        <v>1112</v>
      </c>
      <c r="D39" s="222" t="s">
        <v>211</v>
      </c>
      <c r="E39" s="30">
        <v>160</v>
      </c>
      <c r="F39" s="10"/>
      <c r="G39" s="250">
        <f t="shared" si="2"/>
        <v>160</v>
      </c>
      <c r="H39" s="199" t="s">
        <v>314</v>
      </c>
      <c r="I39" s="41" t="s">
        <v>179</v>
      </c>
      <c r="J39" s="37" t="s">
        <v>340</v>
      </c>
    </row>
    <row r="40" spans="1:10" x14ac:dyDescent="0.2">
      <c r="A40" s="84"/>
      <c r="B40" s="176">
        <v>3141</v>
      </c>
      <c r="C40" s="176">
        <v>309</v>
      </c>
      <c r="D40" s="222" t="s">
        <v>218</v>
      </c>
      <c r="E40" s="30">
        <v>1847</v>
      </c>
      <c r="F40" s="10">
        <v>135</v>
      </c>
      <c r="G40" s="250">
        <f t="shared" si="2"/>
        <v>1982</v>
      </c>
      <c r="H40" s="199"/>
      <c r="I40" s="41" t="s">
        <v>179</v>
      </c>
      <c r="J40" s="222" t="s">
        <v>234</v>
      </c>
    </row>
    <row r="41" spans="1:10" x14ac:dyDescent="0.2">
      <c r="A41" s="84"/>
      <c r="B41" s="176">
        <v>3231</v>
      </c>
      <c r="C41" s="176">
        <v>310</v>
      </c>
      <c r="D41" s="222" t="s">
        <v>253</v>
      </c>
      <c r="E41" s="30">
        <v>254</v>
      </c>
      <c r="F41" s="10"/>
      <c r="G41" s="250">
        <f t="shared" si="2"/>
        <v>254</v>
      </c>
      <c r="H41" s="199"/>
      <c r="I41" s="41" t="s">
        <v>179</v>
      </c>
      <c r="J41" s="37" t="s">
        <v>340</v>
      </c>
    </row>
    <row r="42" spans="1:10" x14ac:dyDescent="0.2">
      <c r="A42" s="86"/>
      <c r="B42" s="22">
        <v>3231</v>
      </c>
      <c r="C42" s="22">
        <v>310</v>
      </c>
      <c r="D42" s="224" t="s">
        <v>201</v>
      </c>
      <c r="E42" s="40">
        <v>66</v>
      </c>
      <c r="F42" s="43"/>
      <c r="G42" s="252">
        <f t="shared" si="2"/>
        <v>66</v>
      </c>
      <c r="H42" s="201"/>
      <c r="I42" s="259" t="s">
        <v>179</v>
      </c>
      <c r="J42" s="42" t="s">
        <v>340</v>
      </c>
    </row>
    <row r="43" spans="1:10" x14ac:dyDescent="0.2">
      <c r="A43" s="52">
        <v>33</v>
      </c>
      <c r="B43" s="20">
        <v>3300</v>
      </c>
      <c r="C43" s="20"/>
      <c r="D43" s="225" t="s">
        <v>68</v>
      </c>
      <c r="E43" s="36">
        <f>SUM(E44:E55)</f>
        <v>13735</v>
      </c>
      <c r="F43" s="12">
        <f>SUM(F44:F55)</f>
        <v>0</v>
      </c>
      <c r="G43" s="253">
        <f>SUM(G44:G55)</f>
        <v>13735</v>
      </c>
      <c r="H43" s="202"/>
      <c r="I43" s="124"/>
      <c r="J43" s="257"/>
    </row>
    <row r="44" spans="1:10" x14ac:dyDescent="0.2">
      <c r="A44" s="84"/>
      <c r="B44" s="176">
        <v>3314</v>
      </c>
      <c r="C44" s="176">
        <v>504</v>
      </c>
      <c r="D44" s="222" t="s">
        <v>106</v>
      </c>
      <c r="E44" s="30">
        <v>0</v>
      </c>
      <c r="F44" s="10"/>
      <c r="G44" s="250">
        <f>E44+F44</f>
        <v>0</v>
      </c>
      <c r="H44" s="199" t="s">
        <v>331</v>
      </c>
      <c r="I44" s="41" t="s">
        <v>220</v>
      </c>
      <c r="J44" s="37" t="s">
        <v>117</v>
      </c>
    </row>
    <row r="45" spans="1:10" x14ac:dyDescent="0.2">
      <c r="A45" s="84"/>
      <c r="B45" s="176">
        <v>3315</v>
      </c>
      <c r="C45" s="176">
        <v>505</v>
      </c>
      <c r="D45" s="222" t="s">
        <v>209</v>
      </c>
      <c r="E45" s="30">
        <v>1285</v>
      </c>
      <c r="F45" s="10"/>
      <c r="G45" s="250">
        <f t="shared" ref="G45:G54" si="3">E45+F45</f>
        <v>1285</v>
      </c>
      <c r="H45" s="199" t="s">
        <v>291</v>
      </c>
      <c r="I45" s="41" t="s">
        <v>179</v>
      </c>
      <c r="J45" s="37" t="s">
        <v>340</v>
      </c>
    </row>
    <row r="46" spans="1:10" ht="12.75" customHeight="1" x14ac:dyDescent="0.2">
      <c r="A46" s="84"/>
      <c r="B46" s="176">
        <v>3319</v>
      </c>
      <c r="C46" s="176">
        <v>5110</v>
      </c>
      <c r="D46" s="222" t="s">
        <v>271</v>
      </c>
      <c r="E46" s="30">
        <v>40</v>
      </c>
      <c r="F46" s="10"/>
      <c r="G46" s="250">
        <f t="shared" si="3"/>
        <v>40</v>
      </c>
      <c r="H46" s="199" t="s">
        <v>284</v>
      </c>
      <c r="I46" s="41" t="s">
        <v>179</v>
      </c>
      <c r="J46" s="37" t="s">
        <v>340</v>
      </c>
    </row>
    <row r="47" spans="1:10" ht="12.75" customHeight="1" x14ac:dyDescent="0.2">
      <c r="A47" s="84"/>
      <c r="B47" s="176">
        <v>3319</v>
      </c>
      <c r="C47" s="176">
        <v>112</v>
      </c>
      <c r="D47" s="222" t="s">
        <v>270</v>
      </c>
      <c r="E47" s="30">
        <v>248</v>
      </c>
      <c r="F47" s="10"/>
      <c r="G47" s="250">
        <f t="shared" si="3"/>
        <v>248</v>
      </c>
      <c r="H47" s="199" t="s">
        <v>332</v>
      </c>
      <c r="I47" s="41" t="s">
        <v>268</v>
      </c>
      <c r="J47" s="37" t="s">
        <v>340</v>
      </c>
    </row>
    <row r="48" spans="1:10" x14ac:dyDescent="0.2">
      <c r="A48" s="84"/>
      <c r="B48" s="176">
        <v>3322.3326000000002</v>
      </c>
      <c r="C48" s="176" t="s">
        <v>204</v>
      </c>
      <c r="D48" s="222" t="s">
        <v>129</v>
      </c>
      <c r="E48" s="30">
        <v>3038</v>
      </c>
      <c r="F48" s="10"/>
      <c r="G48" s="250">
        <f t="shared" si="3"/>
        <v>3038</v>
      </c>
      <c r="H48" s="199"/>
      <c r="I48" s="41" t="s">
        <v>257</v>
      </c>
      <c r="J48" s="37" t="s">
        <v>107</v>
      </c>
    </row>
    <row r="49" spans="1:148" x14ac:dyDescent="0.2">
      <c r="A49" s="84"/>
      <c r="B49" s="176">
        <v>3326</v>
      </c>
      <c r="C49" s="176">
        <v>103</v>
      </c>
      <c r="D49" s="222" t="s">
        <v>191</v>
      </c>
      <c r="E49" s="30">
        <v>50</v>
      </c>
      <c r="F49" s="10"/>
      <c r="G49" s="250">
        <f t="shared" si="3"/>
        <v>50</v>
      </c>
      <c r="H49" s="199"/>
      <c r="I49" s="41" t="s">
        <v>257</v>
      </c>
      <c r="J49" s="37" t="s">
        <v>107</v>
      </c>
    </row>
    <row r="50" spans="1:148" x14ac:dyDescent="0.2">
      <c r="A50" s="84"/>
      <c r="B50" s="176">
        <v>3349</v>
      </c>
      <c r="C50" s="176">
        <v>42</v>
      </c>
      <c r="D50" s="222" t="s">
        <v>69</v>
      </c>
      <c r="E50" s="30">
        <f>323+50+25</f>
        <v>398</v>
      </c>
      <c r="F50" s="10"/>
      <c r="G50" s="250">
        <f t="shared" si="3"/>
        <v>398</v>
      </c>
      <c r="H50" s="199"/>
      <c r="I50" s="260" t="s">
        <v>219</v>
      </c>
      <c r="J50" s="261" t="s">
        <v>66</v>
      </c>
      <c r="ER50" s="66">
        <f>SUM(E50:EQ50)</f>
        <v>796</v>
      </c>
    </row>
    <row r="51" spans="1:148" x14ac:dyDescent="0.2">
      <c r="A51" s="84"/>
      <c r="B51" s="176">
        <v>3392</v>
      </c>
      <c r="C51" s="176">
        <v>312</v>
      </c>
      <c r="D51" s="222" t="s">
        <v>208</v>
      </c>
      <c r="E51" s="10">
        <f>2275+3659</f>
        <v>5934</v>
      </c>
      <c r="F51" s="10"/>
      <c r="G51" s="250">
        <f t="shared" si="3"/>
        <v>5934</v>
      </c>
      <c r="H51" s="199" t="s">
        <v>359</v>
      </c>
      <c r="I51" s="41" t="s">
        <v>179</v>
      </c>
      <c r="J51" s="37" t="s">
        <v>340</v>
      </c>
    </row>
    <row r="52" spans="1:148" ht="13.5" customHeight="1" x14ac:dyDescent="0.2">
      <c r="A52" s="84"/>
      <c r="B52" s="176">
        <v>3392</v>
      </c>
      <c r="C52" s="176" t="s">
        <v>203</v>
      </c>
      <c r="D52" s="222" t="s">
        <v>202</v>
      </c>
      <c r="E52" s="30">
        <v>655</v>
      </c>
      <c r="F52" s="10"/>
      <c r="G52" s="250">
        <f t="shared" si="3"/>
        <v>655</v>
      </c>
      <c r="H52" s="199"/>
      <c r="I52" s="41" t="s">
        <v>179</v>
      </c>
      <c r="J52" s="37" t="s">
        <v>340</v>
      </c>
    </row>
    <row r="53" spans="1:148" s="153" customFormat="1" x14ac:dyDescent="0.2">
      <c r="A53" s="84"/>
      <c r="B53" s="176">
        <v>3392</v>
      </c>
      <c r="C53" s="176">
        <v>312</v>
      </c>
      <c r="D53" s="222" t="s">
        <v>336</v>
      </c>
      <c r="E53" s="30">
        <v>1100</v>
      </c>
      <c r="F53" s="10"/>
      <c r="G53" s="250">
        <f t="shared" si="3"/>
        <v>1100</v>
      </c>
      <c r="H53" s="199"/>
      <c r="I53" s="41" t="s">
        <v>179</v>
      </c>
      <c r="J53" s="37" t="s">
        <v>340</v>
      </c>
    </row>
    <row r="54" spans="1:148" s="153" customFormat="1" x14ac:dyDescent="0.2">
      <c r="A54" s="84"/>
      <c r="B54" s="176">
        <v>3392</v>
      </c>
      <c r="C54" s="176">
        <v>312</v>
      </c>
      <c r="D54" s="222" t="s">
        <v>384</v>
      </c>
      <c r="E54" s="30">
        <f>935-88</f>
        <v>847</v>
      </c>
      <c r="F54" s="10"/>
      <c r="G54" s="250">
        <f t="shared" si="3"/>
        <v>847</v>
      </c>
      <c r="H54" s="199"/>
      <c r="I54" s="41" t="s">
        <v>179</v>
      </c>
      <c r="J54" s="37" t="s">
        <v>340</v>
      </c>
    </row>
    <row r="55" spans="1:148" x14ac:dyDescent="0.2">
      <c r="A55" s="84"/>
      <c r="B55" s="176">
        <v>3399</v>
      </c>
      <c r="C55" s="176">
        <v>313</v>
      </c>
      <c r="D55" s="222" t="s">
        <v>92</v>
      </c>
      <c r="E55" s="30">
        <f>125+15</f>
        <v>140</v>
      </c>
      <c r="F55" s="10"/>
      <c r="G55" s="250">
        <f>E55+F55</f>
        <v>140</v>
      </c>
      <c r="H55" s="199" t="s">
        <v>227</v>
      </c>
      <c r="I55" s="260" t="s">
        <v>219</v>
      </c>
      <c r="J55" s="42" t="s">
        <v>319</v>
      </c>
    </row>
    <row r="56" spans="1:148" x14ac:dyDescent="0.2">
      <c r="A56" s="85">
        <v>34</v>
      </c>
      <c r="B56" s="15">
        <v>3400</v>
      </c>
      <c r="C56" s="15"/>
      <c r="D56" s="223" t="s">
        <v>70</v>
      </c>
      <c r="E56" s="38">
        <f>SUM(E57:E63)</f>
        <v>6452</v>
      </c>
      <c r="F56" s="39">
        <f>SUM(F57:F63)</f>
        <v>6700</v>
      </c>
      <c r="G56" s="251">
        <f>SUM(G57:G63)</f>
        <v>13152</v>
      </c>
      <c r="H56" s="200"/>
      <c r="I56" s="124"/>
      <c r="J56" s="257"/>
    </row>
    <row r="57" spans="1:148" ht="13.5" customHeight="1" x14ac:dyDescent="0.2">
      <c r="A57" s="84"/>
      <c r="B57" s="176">
        <v>3412</v>
      </c>
      <c r="C57" s="176">
        <v>506</v>
      </c>
      <c r="D57" s="222" t="s">
        <v>254</v>
      </c>
      <c r="E57" s="30">
        <v>5230</v>
      </c>
      <c r="F57" s="10"/>
      <c r="G57" s="250">
        <f t="shared" ref="G57:G63" si="4">E57+F57</f>
        <v>5230</v>
      </c>
      <c r="H57" s="199" t="s">
        <v>256</v>
      </c>
      <c r="I57" s="41" t="s">
        <v>179</v>
      </c>
      <c r="J57" s="37" t="s">
        <v>340</v>
      </c>
    </row>
    <row r="58" spans="1:148" ht="13.5" customHeight="1" x14ac:dyDescent="0.2">
      <c r="A58" s="84"/>
      <c r="B58" s="176">
        <v>3412</v>
      </c>
      <c r="C58" s="176">
        <v>506</v>
      </c>
      <c r="D58" s="222" t="s">
        <v>385</v>
      </c>
      <c r="E58" s="30"/>
      <c r="F58" s="10">
        <v>6300</v>
      </c>
      <c r="G58" s="250">
        <f t="shared" si="4"/>
        <v>6300</v>
      </c>
      <c r="H58" s="199" t="s">
        <v>315</v>
      </c>
      <c r="I58" s="41" t="s">
        <v>179</v>
      </c>
      <c r="J58" s="37" t="s">
        <v>340</v>
      </c>
    </row>
    <row r="59" spans="1:148" ht="13.5" customHeight="1" x14ac:dyDescent="0.2">
      <c r="A59" s="84"/>
      <c r="B59" s="176">
        <v>3412</v>
      </c>
      <c r="C59" s="176">
        <v>216</v>
      </c>
      <c r="D59" s="222" t="s">
        <v>259</v>
      </c>
      <c r="E59" s="30">
        <v>197</v>
      </c>
      <c r="F59" s="10"/>
      <c r="G59" s="250">
        <f t="shared" si="4"/>
        <v>197</v>
      </c>
      <c r="H59" s="199"/>
      <c r="I59" s="192" t="s">
        <v>243</v>
      </c>
      <c r="J59" s="37" t="s">
        <v>65</v>
      </c>
    </row>
    <row r="60" spans="1:148" s="179" customFormat="1" ht="13.5" customHeight="1" x14ac:dyDescent="0.2">
      <c r="A60" s="84"/>
      <c r="B60" s="176">
        <v>3412</v>
      </c>
      <c r="C60" s="176">
        <v>215</v>
      </c>
      <c r="D60" s="222" t="s">
        <v>348</v>
      </c>
      <c r="E60" s="30"/>
      <c r="F60" s="10">
        <v>400</v>
      </c>
      <c r="G60" s="250">
        <f t="shared" si="4"/>
        <v>400</v>
      </c>
      <c r="H60" s="199"/>
      <c r="I60" s="30" t="s">
        <v>295</v>
      </c>
      <c r="J60" s="262" t="s">
        <v>107</v>
      </c>
    </row>
    <row r="61" spans="1:148" ht="13.5" customHeight="1" x14ac:dyDescent="0.2">
      <c r="A61" s="84"/>
      <c r="B61" s="176">
        <v>3419</v>
      </c>
      <c r="C61" s="176">
        <v>105</v>
      </c>
      <c r="D61" s="222" t="s">
        <v>272</v>
      </c>
      <c r="E61" s="30">
        <v>45</v>
      </c>
      <c r="F61" s="10"/>
      <c r="G61" s="250">
        <f t="shared" si="4"/>
        <v>45</v>
      </c>
      <c r="H61" s="199" t="s">
        <v>360</v>
      </c>
      <c r="I61" s="41" t="s">
        <v>268</v>
      </c>
      <c r="J61" s="37" t="s">
        <v>340</v>
      </c>
    </row>
    <row r="62" spans="1:148" ht="13.5" customHeight="1" x14ac:dyDescent="0.2">
      <c r="A62" s="84"/>
      <c r="B62" s="176">
        <v>3419</v>
      </c>
      <c r="C62" s="176">
        <v>104</v>
      </c>
      <c r="D62" s="222" t="s">
        <v>265</v>
      </c>
      <c r="E62" s="30">
        <f>50+30+20</f>
        <v>100</v>
      </c>
      <c r="F62" s="10"/>
      <c r="G62" s="250">
        <f t="shared" si="4"/>
        <v>100</v>
      </c>
      <c r="H62" s="199"/>
      <c r="I62" s="41" t="s">
        <v>268</v>
      </c>
      <c r="J62" s="37" t="s">
        <v>340</v>
      </c>
    </row>
    <row r="63" spans="1:148" ht="12.75" customHeight="1" x14ac:dyDescent="0.2">
      <c r="A63" s="84"/>
      <c r="B63" s="176">
        <v>3421</v>
      </c>
      <c r="C63" s="176">
        <v>105</v>
      </c>
      <c r="D63" s="222" t="s">
        <v>264</v>
      </c>
      <c r="E63" s="10">
        <f>290+400+190</f>
        <v>880</v>
      </c>
      <c r="F63" s="10"/>
      <c r="G63" s="250">
        <f t="shared" si="4"/>
        <v>880</v>
      </c>
      <c r="H63" s="199" t="s">
        <v>332</v>
      </c>
      <c r="I63" s="41" t="s">
        <v>268</v>
      </c>
      <c r="J63" s="37" t="s">
        <v>340</v>
      </c>
    </row>
    <row r="64" spans="1:148" x14ac:dyDescent="0.2">
      <c r="A64" s="85">
        <v>35</v>
      </c>
      <c r="B64" s="15">
        <v>3500</v>
      </c>
      <c r="C64" s="15"/>
      <c r="D64" s="223" t="s">
        <v>104</v>
      </c>
      <c r="E64" s="38">
        <f t="shared" ref="E64:G64" si="5">SUM(E65:E65)</f>
        <v>0</v>
      </c>
      <c r="F64" s="39">
        <f t="shared" si="5"/>
        <v>13309</v>
      </c>
      <c r="G64" s="251">
        <f t="shared" si="5"/>
        <v>13309</v>
      </c>
      <c r="H64" s="200"/>
      <c r="I64" s="38"/>
      <c r="J64" s="263"/>
    </row>
    <row r="65" spans="1:13" s="153" customFormat="1" x14ac:dyDescent="0.2">
      <c r="A65" s="52"/>
      <c r="B65" s="20">
        <v>3522</v>
      </c>
      <c r="C65" s="20">
        <v>233</v>
      </c>
      <c r="D65" s="222" t="s">
        <v>241</v>
      </c>
      <c r="E65" s="30"/>
      <c r="F65" s="10">
        <v>13309</v>
      </c>
      <c r="G65" s="250">
        <f>E65+F65</f>
        <v>13309</v>
      </c>
      <c r="H65" s="199"/>
      <c r="I65" s="41" t="s">
        <v>179</v>
      </c>
      <c r="J65" s="37" t="s">
        <v>340</v>
      </c>
    </row>
    <row r="66" spans="1:13" x14ac:dyDescent="0.2">
      <c r="A66" s="85">
        <v>36</v>
      </c>
      <c r="B66" s="15">
        <v>3600</v>
      </c>
      <c r="C66" s="15"/>
      <c r="D66" s="223" t="s">
        <v>71</v>
      </c>
      <c r="E66" s="38">
        <f>SUM(E67:E85)</f>
        <v>15278</v>
      </c>
      <c r="F66" s="39">
        <f>SUM(F67:F85)</f>
        <v>9650</v>
      </c>
      <c r="G66" s="251">
        <f>SUM(G67:G85)</f>
        <v>24928</v>
      </c>
      <c r="H66" s="200"/>
      <c r="I66" s="38"/>
      <c r="J66" s="263"/>
    </row>
    <row r="67" spans="1:13" ht="12" customHeight="1" x14ac:dyDescent="0.2">
      <c r="A67" s="84"/>
      <c r="B67" s="176">
        <v>3612</v>
      </c>
      <c r="C67" s="176" t="s">
        <v>230</v>
      </c>
      <c r="D67" s="222" t="s">
        <v>113</v>
      </c>
      <c r="E67" s="30">
        <f>7175</f>
        <v>7175</v>
      </c>
      <c r="F67" s="10"/>
      <c r="G67" s="250">
        <f t="shared" ref="G67:G85" si="6">E67+F67</f>
        <v>7175</v>
      </c>
      <c r="H67" s="199" t="s">
        <v>363</v>
      </c>
      <c r="I67" s="30" t="s">
        <v>258</v>
      </c>
      <c r="J67" s="257" t="s">
        <v>229</v>
      </c>
    </row>
    <row r="68" spans="1:13" x14ac:dyDescent="0.2">
      <c r="A68" s="84"/>
      <c r="B68" s="176">
        <v>3612</v>
      </c>
      <c r="C68" s="176" t="s">
        <v>230</v>
      </c>
      <c r="D68" s="222" t="s">
        <v>114</v>
      </c>
      <c r="E68" s="30">
        <v>1950</v>
      </c>
      <c r="F68" s="10"/>
      <c r="G68" s="250">
        <f t="shared" si="6"/>
        <v>1950</v>
      </c>
      <c r="H68" s="199" t="s">
        <v>235</v>
      </c>
      <c r="I68" s="30" t="s">
        <v>258</v>
      </c>
      <c r="J68" s="257" t="s">
        <v>229</v>
      </c>
    </row>
    <row r="69" spans="1:13" x14ac:dyDescent="0.2">
      <c r="A69" s="84"/>
      <c r="B69" s="176">
        <v>3612</v>
      </c>
      <c r="C69" s="176">
        <v>326</v>
      </c>
      <c r="D69" s="222" t="s">
        <v>269</v>
      </c>
      <c r="E69" s="30"/>
      <c r="F69" s="10">
        <v>4000</v>
      </c>
      <c r="G69" s="250">
        <f t="shared" si="6"/>
        <v>4000</v>
      </c>
      <c r="H69" s="199" t="s">
        <v>316</v>
      </c>
      <c r="I69" s="30" t="s">
        <v>295</v>
      </c>
      <c r="J69" s="37" t="s">
        <v>107</v>
      </c>
    </row>
    <row r="70" spans="1:13" x14ac:dyDescent="0.2">
      <c r="A70" s="84"/>
      <c r="B70" s="176">
        <v>3612</v>
      </c>
      <c r="C70" s="176">
        <v>327</v>
      </c>
      <c r="D70" s="222" t="s">
        <v>293</v>
      </c>
      <c r="E70" s="30"/>
      <c r="F70" s="10">
        <v>350</v>
      </c>
      <c r="G70" s="250">
        <f t="shared" si="6"/>
        <v>350</v>
      </c>
      <c r="H70" s="199"/>
      <c r="I70" s="30" t="s">
        <v>295</v>
      </c>
      <c r="J70" s="37" t="s">
        <v>107</v>
      </c>
    </row>
    <row r="71" spans="1:13" x14ac:dyDescent="0.2">
      <c r="A71" s="84"/>
      <c r="B71" s="176">
        <v>3613</v>
      </c>
      <c r="C71" s="176">
        <v>305</v>
      </c>
      <c r="D71" s="222" t="s">
        <v>307</v>
      </c>
      <c r="E71" s="164">
        <f>171+146+54+250</f>
        <v>621</v>
      </c>
      <c r="F71" s="10"/>
      <c r="G71" s="250">
        <f t="shared" si="6"/>
        <v>621</v>
      </c>
      <c r="H71" s="199" t="s">
        <v>379</v>
      </c>
      <c r="I71" s="30" t="s">
        <v>243</v>
      </c>
      <c r="J71" s="37" t="s">
        <v>107</v>
      </c>
    </row>
    <row r="72" spans="1:13" x14ac:dyDescent="0.2">
      <c r="A72" s="84"/>
      <c r="B72" s="176">
        <v>3613</v>
      </c>
      <c r="C72" s="176">
        <v>316</v>
      </c>
      <c r="D72" s="222" t="s">
        <v>349</v>
      </c>
      <c r="E72" s="30">
        <f>291+200</f>
        <v>491</v>
      </c>
      <c r="F72" s="10"/>
      <c r="G72" s="250">
        <f t="shared" si="6"/>
        <v>491</v>
      </c>
      <c r="H72" s="199"/>
      <c r="I72" s="30" t="s">
        <v>323</v>
      </c>
      <c r="J72" s="37" t="s">
        <v>65</v>
      </c>
    </row>
    <row r="73" spans="1:13" x14ac:dyDescent="0.2">
      <c r="A73" s="84"/>
      <c r="B73" s="176">
        <v>3613</v>
      </c>
      <c r="C73" s="176">
        <v>317</v>
      </c>
      <c r="D73" s="222" t="s">
        <v>181</v>
      </c>
      <c r="E73" s="30">
        <f>102</f>
        <v>102</v>
      </c>
      <c r="F73" s="10"/>
      <c r="G73" s="250">
        <f t="shared" si="6"/>
        <v>102</v>
      </c>
      <c r="H73" s="199"/>
      <c r="I73" s="30" t="s">
        <v>323</v>
      </c>
      <c r="J73" s="37" t="s">
        <v>65</v>
      </c>
    </row>
    <row r="74" spans="1:13" ht="13.5" customHeight="1" x14ac:dyDescent="0.2">
      <c r="A74" s="84"/>
      <c r="B74" s="176">
        <v>3613</v>
      </c>
      <c r="C74" s="176">
        <v>703</v>
      </c>
      <c r="D74" s="222" t="s">
        <v>115</v>
      </c>
      <c r="E74" s="30">
        <v>380</v>
      </c>
      <c r="F74" s="10"/>
      <c r="G74" s="250">
        <f t="shared" si="6"/>
        <v>380</v>
      </c>
      <c r="H74" s="199" t="s">
        <v>364</v>
      </c>
      <c r="I74" s="30" t="s">
        <v>258</v>
      </c>
      <c r="J74" s="257" t="s">
        <v>229</v>
      </c>
    </row>
    <row r="75" spans="1:13" x14ac:dyDescent="0.2">
      <c r="A75" s="84"/>
      <c r="B75" s="176">
        <v>3613</v>
      </c>
      <c r="C75" s="176">
        <v>703</v>
      </c>
      <c r="D75" s="222" t="s">
        <v>116</v>
      </c>
      <c r="E75" s="30">
        <v>200</v>
      </c>
      <c r="F75" s="10"/>
      <c r="G75" s="250">
        <f t="shared" si="6"/>
        <v>200</v>
      </c>
      <c r="H75" s="199" t="s">
        <v>235</v>
      </c>
      <c r="I75" s="30" t="s">
        <v>258</v>
      </c>
      <c r="J75" s="257" t="s">
        <v>229</v>
      </c>
    </row>
    <row r="76" spans="1:13" x14ac:dyDescent="0.2">
      <c r="A76" s="84"/>
      <c r="B76" s="176">
        <v>3631</v>
      </c>
      <c r="C76" s="176">
        <v>107</v>
      </c>
      <c r="D76" s="222" t="s">
        <v>72</v>
      </c>
      <c r="E76" s="10">
        <f>1760+340</f>
        <v>2100</v>
      </c>
      <c r="F76" s="10"/>
      <c r="G76" s="250">
        <f t="shared" si="6"/>
        <v>2100</v>
      </c>
      <c r="H76" s="199" t="s">
        <v>361</v>
      </c>
      <c r="I76" s="30" t="s">
        <v>177</v>
      </c>
      <c r="J76" s="37" t="s">
        <v>107</v>
      </c>
      <c r="M76" s="166"/>
    </row>
    <row r="77" spans="1:13" x14ac:dyDescent="0.2">
      <c r="A77" s="84"/>
      <c r="B77" s="176">
        <v>3632</v>
      </c>
      <c r="C77" s="176">
        <v>232</v>
      </c>
      <c r="D77" s="222" t="s">
        <v>292</v>
      </c>
      <c r="E77" s="30">
        <v>80</v>
      </c>
      <c r="F77" s="10">
        <v>5300</v>
      </c>
      <c r="G77" s="250">
        <f t="shared" si="6"/>
        <v>5380</v>
      </c>
      <c r="H77" s="199"/>
      <c r="I77" s="30" t="s">
        <v>295</v>
      </c>
      <c r="J77" s="37" t="s">
        <v>107</v>
      </c>
    </row>
    <row r="78" spans="1:13" x14ac:dyDescent="0.2">
      <c r="A78" s="84"/>
      <c r="B78" s="176">
        <v>3632</v>
      </c>
      <c r="C78" s="176">
        <v>238</v>
      </c>
      <c r="D78" s="222" t="s">
        <v>35</v>
      </c>
      <c r="E78" s="30">
        <v>359</v>
      </c>
      <c r="F78" s="10"/>
      <c r="G78" s="250">
        <f t="shared" si="6"/>
        <v>359</v>
      </c>
      <c r="H78" s="199"/>
      <c r="I78" s="30" t="s">
        <v>323</v>
      </c>
      <c r="J78" s="37" t="s">
        <v>65</v>
      </c>
    </row>
    <row r="79" spans="1:13" x14ac:dyDescent="0.2">
      <c r="A79" s="84"/>
      <c r="B79" s="176">
        <v>3635</v>
      </c>
      <c r="C79" s="176">
        <v>248</v>
      </c>
      <c r="D79" s="222" t="s">
        <v>184</v>
      </c>
      <c r="E79" s="30">
        <v>90</v>
      </c>
      <c r="F79" s="10"/>
      <c r="G79" s="250">
        <f t="shared" si="6"/>
        <v>90</v>
      </c>
      <c r="H79" s="199" t="s">
        <v>317</v>
      </c>
      <c r="I79" s="30" t="s">
        <v>183</v>
      </c>
      <c r="J79" s="37" t="s">
        <v>182</v>
      </c>
    </row>
    <row r="80" spans="1:13" x14ac:dyDescent="0.2">
      <c r="A80" s="84"/>
      <c r="B80" s="176">
        <v>3636</v>
      </c>
      <c r="C80" s="176">
        <v>249</v>
      </c>
      <c r="D80" s="222" t="s">
        <v>206</v>
      </c>
      <c r="E80" s="30">
        <v>100</v>
      </c>
      <c r="F80" s="10"/>
      <c r="G80" s="250">
        <f t="shared" si="6"/>
        <v>100</v>
      </c>
      <c r="H80" s="199"/>
      <c r="I80" s="30" t="s">
        <v>341</v>
      </c>
      <c r="J80" s="37" t="s">
        <v>107</v>
      </c>
    </row>
    <row r="81" spans="1:10" x14ac:dyDescent="0.2">
      <c r="A81" s="84"/>
      <c r="B81" s="176">
        <v>3639</v>
      </c>
      <c r="C81" s="176">
        <v>108</v>
      </c>
      <c r="D81" s="222" t="s">
        <v>88</v>
      </c>
      <c r="E81" s="30">
        <v>341</v>
      </c>
      <c r="F81" s="10"/>
      <c r="G81" s="250">
        <f t="shared" si="6"/>
        <v>341</v>
      </c>
      <c r="H81" s="199"/>
      <c r="I81" s="30" t="s">
        <v>143</v>
      </c>
      <c r="J81" s="37" t="s">
        <v>65</v>
      </c>
    </row>
    <row r="82" spans="1:10" x14ac:dyDescent="0.2">
      <c r="A82" s="84"/>
      <c r="B82" s="176">
        <v>3639</v>
      </c>
      <c r="C82" s="176">
        <v>239</v>
      </c>
      <c r="D82" s="222" t="s">
        <v>167</v>
      </c>
      <c r="E82" s="30">
        <v>441</v>
      </c>
      <c r="F82" s="10"/>
      <c r="G82" s="250">
        <f t="shared" si="6"/>
        <v>441</v>
      </c>
      <c r="H82" s="199"/>
      <c r="I82" s="30" t="s">
        <v>177</v>
      </c>
      <c r="J82" s="37" t="s">
        <v>107</v>
      </c>
    </row>
    <row r="83" spans="1:10" x14ac:dyDescent="0.2">
      <c r="A83" s="84"/>
      <c r="B83" s="176">
        <v>3639</v>
      </c>
      <c r="C83" s="176">
        <v>243</v>
      </c>
      <c r="D83" s="222" t="s">
        <v>139</v>
      </c>
      <c r="E83" s="30">
        <f>73+442</f>
        <v>515</v>
      </c>
      <c r="F83" s="10"/>
      <c r="G83" s="250">
        <f t="shared" si="6"/>
        <v>515</v>
      </c>
      <c r="H83" s="199"/>
      <c r="I83" s="41" t="s">
        <v>65</v>
      </c>
      <c r="J83" s="37" t="s">
        <v>237</v>
      </c>
    </row>
    <row r="84" spans="1:10" x14ac:dyDescent="0.2">
      <c r="A84" s="84"/>
      <c r="B84" s="176">
        <v>3639</v>
      </c>
      <c r="C84" s="176">
        <v>319</v>
      </c>
      <c r="D84" s="222" t="s">
        <v>216</v>
      </c>
      <c r="E84" s="30">
        <v>227</v>
      </c>
      <c r="F84" s="10"/>
      <c r="G84" s="250">
        <f t="shared" si="6"/>
        <v>227</v>
      </c>
      <c r="H84" s="199" t="s">
        <v>362</v>
      </c>
      <c r="I84" s="30" t="s">
        <v>323</v>
      </c>
      <c r="J84" s="37" t="s">
        <v>65</v>
      </c>
    </row>
    <row r="85" spans="1:10" x14ac:dyDescent="0.2">
      <c r="A85" s="86"/>
      <c r="B85" s="22">
        <v>3639</v>
      </c>
      <c r="C85" s="22">
        <v>319.20999999999998</v>
      </c>
      <c r="D85" s="224" t="s">
        <v>214</v>
      </c>
      <c r="E85" s="178">
        <f>10+96</f>
        <v>106</v>
      </c>
      <c r="F85" s="10"/>
      <c r="G85" s="250">
        <f t="shared" si="6"/>
        <v>106</v>
      </c>
      <c r="H85" s="201" t="s">
        <v>279</v>
      </c>
      <c r="I85" s="40" t="s">
        <v>323</v>
      </c>
      <c r="J85" s="42" t="s">
        <v>65</v>
      </c>
    </row>
    <row r="86" spans="1:10" x14ac:dyDescent="0.2">
      <c r="A86" s="85">
        <v>37</v>
      </c>
      <c r="B86" s="15"/>
      <c r="C86" s="15"/>
      <c r="D86" s="223" t="s">
        <v>105</v>
      </c>
      <c r="E86" s="38">
        <f>SUM(E87:E93)</f>
        <v>13890</v>
      </c>
      <c r="F86" s="39">
        <f>SUM(F87:F93)</f>
        <v>1830</v>
      </c>
      <c r="G86" s="251">
        <f>SUM(G87:G93)</f>
        <v>15720</v>
      </c>
      <c r="H86" s="200"/>
      <c r="I86" s="36"/>
      <c r="J86" s="257"/>
    </row>
    <row r="87" spans="1:10" x14ac:dyDescent="0.2">
      <c r="A87" s="84"/>
      <c r="B87" s="176">
        <v>3722</v>
      </c>
      <c r="C87" s="176">
        <v>240</v>
      </c>
      <c r="D87" s="222" t="s">
        <v>73</v>
      </c>
      <c r="E87" s="10">
        <f>7459</f>
        <v>7459</v>
      </c>
      <c r="F87" s="10"/>
      <c r="G87" s="250">
        <f>E87+F87</f>
        <v>7459</v>
      </c>
      <c r="H87" s="199" t="s">
        <v>365</v>
      </c>
      <c r="I87" s="30" t="s">
        <v>243</v>
      </c>
      <c r="J87" s="37" t="s">
        <v>177</v>
      </c>
    </row>
    <row r="88" spans="1:10" x14ac:dyDescent="0.2">
      <c r="A88" s="84"/>
      <c r="B88" s="176">
        <v>3722</v>
      </c>
      <c r="C88" s="176">
        <v>5110</v>
      </c>
      <c r="D88" s="222" t="s">
        <v>223</v>
      </c>
      <c r="E88" s="30">
        <v>361</v>
      </c>
      <c r="F88" s="10"/>
      <c r="G88" s="250">
        <f t="shared" ref="G88:G92" si="7">E88+F88</f>
        <v>361</v>
      </c>
      <c r="H88" s="199"/>
      <c r="I88" s="30" t="s">
        <v>243</v>
      </c>
      <c r="J88" s="37" t="s">
        <v>177</v>
      </c>
    </row>
    <row r="89" spans="1:10" s="153" customFormat="1" x14ac:dyDescent="0.2">
      <c r="A89" s="84"/>
      <c r="B89" s="176">
        <v>3722</v>
      </c>
      <c r="C89" s="176" t="s">
        <v>320</v>
      </c>
      <c r="D89" s="222" t="s">
        <v>305</v>
      </c>
      <c r="E89" s="10"/>
      <c r="F89" s="10">
        <f>915+915</f>
        <v>1830</v>
      </c>
      <c r="G89" s="250">
        <f t="shared" si="7"/>
        <v>1830</v>
      </c>
      <c r="H89" s="199" t="s">
        <v>380</v>
      </c>
      <c r="I89" s="30" t="s">
        <v>243</v>
      </c>
      <c r="J89" s="37" t="s">
        <v>107</v>
      </c>
    </row>
    <row r="90" spans="1:10" x14ac:dyDescent="0.2">
      <c r="A90" s="84"/>
      <c r="B90" s="176">
        <v>3745</v>
      </c>
      <c r="C90" s="176">
        <v>241</v>
      </c>
      <c r="D90" s="222" t="s">
        <v>74</v>
      </c>
      <c r="E90" s="30">
        <f>1736+2317+300+300</f>
        <v>4653</v>
      </c>
      <c r="F90" s="10"/>
      <c r="G90" s="250">
        <f t="shared" si="7"/>
        <v>4653</v>
      </c>
      <c r="H90" s="199"/>
      <c r="I90" s="30" t="s">
        <v>225</v>
      </c>
      <c r="J90" s="37" t="s">
        <v>177</v>
      </c>
    </row>
    <row r="91" spans="1:10" x14ac:dyDescent="0.2">
      <c r="A91" s="84"/>
      <c r="B91" s="176">
        <v>3745</v>
      </c>
      <c r="C91" s="176">
        <v>242</v>
      </c>
      <c r="D91" s="222" t="s">
        <v>194</v>
      </c>
      <c r="E91" s="30">
        <f>417</f>
        <v>417</v>
      </c>
      <c r="F91" s="10"/>
      <c r="G91" s="250">
        <f t="shared" si="7"/>
        <v>417</v>
      </c>
      <c r="H91" s="199"/>
      <c r="I91" s="30" t="s">
        <v>225</v>
      </c>
      <c r="J91" s="37" t="s">
        <v>177</v>
      </c>
    </row>
    <row r="92" spans="1:10" s="179" customFormat="1" x14ac:dyDescent="0.2">
      <c r="A92" s="84"/>
      <c r="B92" s="176">
        <v>3745</v>
      </c>
      <c r="C92" s="176">
        <v>212</v>
      </c>
      <c r="D92" s="222" t="s">
        <v>370</v>
      </c>
      <c r="E92" s="30">
        <v>800</v>
      </c>
      <c r="F92" s="10"/>
      <c r="G92" s="250">
        <f t="shared" si="7"/>
        <v>800</v>
      </c>
      <c r="H92" s="199"/>
      <c r="I92" s="30" t="s">
        <v>295</v>
      </c>
      <c r="J92" s="37" t="s">
        <v>107</v>
      </c>
    </row>
    <row r="93" spans="1:10" x14ac:dyDescent="0.2">
      <c r="A93" s="86"/>
      <c r="B93" s="22">
        <v>3745</v>
      </c>
      <c r="C93" s="22">
        <v>246</v>
      </c>
      <c r="D93" s="224" t="s">
        <v>342</v>
      </c>
      <c r="E93" s="40">
        <v>200</v>
      </c>
      <c r="F93" s="43"/>
      <c r="G93" s="252">
        <f>E93+F93</f>
        <v>200</v>
      </c>
      <c r="H93" s="201"/>
      <c r="I93" s="44" t="s">
        <v>257</v>
      </c>
      <c r="J93" s="42" t="s">
        <v>107</v>
      </c>
    </row>
    <row r="94" spans="1:10" x14ac:dyDescent="0.2">
      <c r="A94" s="52">
        <v>43</v>
      </c>
      <c r="B94" s="20">
        <v>4300</v>
      </c>
      <c r="C94" s="20"/>
      <c r="D94" s="225" t="s">
        <v>75</v>
      </c>
      <c r="E94" s="36">
        <f>SUM(E95:E99)</f>
        <v>9745</v>
      </c>
      <c r="F94" s="12">
        <f>SUM(F95:F99)</f>
        <v>710</v>
      </c>
      <c r="G94" s="253">
        <f>SUM(G95:G99)</f>
        <v>10455</v>
      </c>
      <c r="H94" s="202"/>
      <c r="I94" s="36"/>
      <c r="J94" s="257"/>
    </row>
    <row r="95" spans="1:10" x14ac:dyDescent="0.2">
      <c r="A95" s="84"/>
      <c r="B95" s="176">
        <v>4349</v>
      </c>
      <c r="C95" s="176">
        <v>225</v>
      </c>
      <c r="D95" s="222" t="s">
        <v>275</v>
      </c>
      <c r="E95" s="30">
        <v>1967</v>
      </c>
      <c r="F95" s="10"/>
      <c r="G95" s="250">
        <f t="shared" ref="G95:G99" si="8">E95+F95</f>
        <v>1967</v>
      </c>
      <c r="H95" s="199" t="s">
        <v>318</v>
      </c>
      <c r="I95" s="41" t="s">
        <v>224</v>
      </c>
      <c r="J95" s="37" t="s">
        <v>232</v>
      </c>
    </row>
    <row r="96" spans="1:10" x14ac:dyDescent="0.2">
      <c r="A96" s="84"/>
      <c r="B96" s="176">
        <v>4349</v>
      </c>
      <c r="C96" s="176">
        <v>228</v>
      </c>
      <c r="D96" s="222" t="s">
        <v>185</v>
      </c>
      <c r="E96" s="30">
        <v>44</v>
      </c>
      <c r="F96" s="10"/>
      <c r="G96" s="250">
        <f t="shared" si="8"/>
        <v>44</v>
      </c>
      <c r="H96" s="199"/>
      <c r="I96" s="41" t="s">
        <v>224</v>
      </c>
      <c r="J96" s="37" t="s">
        <v>232</v>
      </c>
    </row>
    <row r="97" spans="1:10" x14ac:dyDescent="0.2">
      <c r="A97" s="84"/>
      <c r="B97" s="176">
        <v>4349</v>
      </c>
      <c r="C97" s="176">
        <v>254</v>
      </c>
      <c r="D97" s="222" t="s">
        <v>286</v>
      </c>
      <c r="E97" s="30">
        <v>100</v>
      </c>
      <c r="F97" s="10"/>
      <c r="G97" s="250">
        <f t="shared" si="8"/>
        <v>100</v>
      </c>
      <c r="H97" s="199" t="s">
        <v>296</v>
      </c>
      <c r="I97" s="41" t="s">
        <v>224</v>
      </c>
      <c r="J97" s="37" t="s">
        <v>232</v>
      </c>
    </row>
    <row r="98" spans="1:10" x14ac:dyDescent="0.2">
      <c r="A98" s="84"/>
      <c r="B98" s="176">
        <v>4351</v>
      </c>
      <c r="C98" s="176" t="s">
        <v>344</v>
      </c>
      <c r="D98" s="222" t="s">
        <v>36</v>
      </c>
      <c r="E98" s="10">
        <f>5733+591</f>
        <v>6324</v>
      </c>
      <c r="F98" s="10">
        <v>710</v>
      </c>
      <c r="G98" s="250">
        <f t="shared" si="8"/>
        <v>7034</v>
      </c>
      <c r="H98" s="199"/>
      <c r="I98" s="258" t="s">
        <v>345</v>
      </c>
      <c r="J98" s="37" t="s">
        <v>297</v>
      </c>
    </row>
    <row r="99" spans="1:10" x14ac:dyDescent="0.2">
      <c r="A99" s="86"/>
      <c r="B99" s="22">
        <v>4355</v>
      </c>
      <c r="C99" s="22">
        <v>307</v>
      </c>
      <c r="D99" s="224" t="s">
        <v>195</v>
      </c>
      <c r="E99" s="40">
        <f>933+377</f>
        <v>1310</v>
      </c>
      <c r="F99" s="43"/>
      <c r="G99" s="252">
        <f t="shared" si="8"/>
        <v>1310</v>
      </c>
      <c r="H99" s="201" t="s">
        <v>285</v>
      </c>
      <c r="I99" s="44" t="s">
        <v>179</v>
      </c>
      <c r="J99" s="42" t="s">
        <v>340</v>
      </c>
    </row>
    <row r="100" spans="1:10" x14ac:dyDescent="0.2">
      <c r="A100" s="52">
        <v>53</v>
      </c>
      <c r="B100" s="20">
        <v>5300</v>
      </c>
      <c r="C100" s="20"/>
      <c r="D100" s="225" t="s">
        <v>94</v>
      </c>
      <c r="E100" s="36">
        <f>SUM(E101:E103)</f>
        <v>3300</v>
      </c>
      <c r="F100" s="12">
        <f>SUM(F101:F103)</f>
        <v>0</v>
      </c>
      <c r="G100" s="253">
        <f>SUM(G101:G103)</f>
        <v>3300</v>
      </c>
      <c r="H100" s="202"/>
      <c r="I100" s="36"/>
      <c r="J100" s="257"/>
    </row>
    <row r="101" spans="1:10" x14ac:dyDescent="0.2">
      <c r="A101" s="52"/>
      <c r="B101" s="176" t="s">
        <v>329</v>
      </c>
      <c r="C101" s="21">
        <v>320</v>
      </c>
      <c r="D101" s="222" t="s">
        <v>127</v>
      </c>
      <c r="E101" s="10">
        <f>250+203</f>
        <v>453</v>
      </c>
      <c r="F101" s="10"/>
      <c r="G101" s="250">
        <f>E101+F101</f>
        <v>453</v>
      </c>
      <c r="H101" s="218"/>
      <c r="I101" s="30" t="s">
        <v>341</v>
      </c>
      <c r="J101" s="37" t="s">
        <v>319</v>
      </c>
    </row>
    <row r="102" spans="1:10" ht="13.5" customHeight="1" x14ac:dyDescent="0.2">
      <c r="A102" s="84"/>
      <c r="B102" s="176">
        <v>5311</v>
      </c>
      <c r="C102" s="176">
        <v>321</v>
      </c>
      <c r="D102" s="222" t="s">
        <v>76</v>
      </c>
      <c r="E102" s="30">
        <f>448+1979</f>
        <v>2427</v>
      </c>
      <c r="F102" s="10"/>
      <c r="G102" s="250">
        <f>E102+F102</f>
        <v>2427</v>
      </c>
      <c r="H102" s="199"/>
      <c r="I102" s="30" t="s">
        <v>142</v>
      </c>
      <c r="J102" s="37" t="s">
        <v>228</v>
      </c>
    </row>
    <row r="103" spans="1:10" x14ac:dyDescent="0.2">
      <c r="A103" s="84"/>
      <c r="B103" s="176">
        <v>5512</v>
      </c>
      <c r="C103" s="176">
        <v>223</v>
      </c>
      <c r="D103" s="222" t="s">
        <v>171</v>
      </c>
      <c r="E103" s="30">
        <f>402+18</f>
        <v>420</v>
      </c>
      <c r="F103" s="10"/>
      <c r="G103" s="250">
        <f>E103+F103</f>
        <v>420</v>
      </c>
      <c r="H103" s="199"/>
      <c r="I103" s="44" t="s">
        <v>144</v>
      </c>
      <c r="J103" s="42" t="s">
        <v>228</v>
      </c>
    </row>
    <row r="104" spans="1:10" x14ac:dyDescent="0.2">
      <c r="A104" s="85">
        <v>61</v>
      </c>
      <c r="B104" s="15">
        <v>6100</v>
      </c>
      <c r="C104" s="15"/>
      <c r="D104" s="223" t="s">
        <v>77</v>
      </c>
      <c r="E104" s="38">
        <f>SUM(E105:E108)</f>
        <v>63814</v>
      </c>
      <c r="F104" s="39">
        <f>SUM(F105:F108)</f>
        <v>645</v>
      </c>
      <c r="G104" s="251">
        <f>SUM(G105:G108)</f>
        <v>64459</v>
      </c>
      <c r="H104" s="200"/>
      <c r="I104" s="124"/>
      <c r="J104" s="257"/>
    </row>
    <row r="105" spans="1:10" x14ac:dyDescent="0.2">
      <c r="A105" s="84"/>
      <c r="B105" s="176">
        <v>6112</v>
      </c>
      <c r="C105" s="176">
        <v>314</v>
      </c>
      <c r="D105" s="222" t="s">
        <v>78</v>
      </c>
      <c r="E105" s="30">
        <f>3233+60</f>
        <v>3293</v>
      </c>
      <c r="F105" s="10"/>
      <c r="G105" s="250">
        <f>E105+F105</f>
        <v>3293</v>
      </c>
      <c r="H105" s="199"/>
      <c r="I105" s="30" t="s">
        <v>228</v>
      </c>
      <c r="J105" s="37" t="s">
        <v>319</v>
      </c>
    </row>
    <row r="106" spans="1:10" x14ac:dyDescent="0.2">
      <c r="A106" s="84"/>
      <c r="B106" s="176">
        <v>6171</v>
      </c>
      <c r="C106" s="176">
        <v>314</v>
      </c>
      <c r="D106" s="222" t="s">
        <v>90</v>
      </c>
      <c r="E106" s="30">
        <v>59217</v>
      </c>
      <c r="F106" s="10">
        <v>645</v>
      </c>
      <c r="G106" s="250">
        <f t="shared" ref="G106" si="9">E106+F106</f>
        <v>59862</v>
      </c>
      <c r="H106" s="199" t="s">
        <v>366</v>
      </c>
      <c r="I106" s="30"/>
      <c r="J106" s="257"/>
    </row>
    <row r="107" spans="1:10" x14ac:dyDescent="0.2">
      <c r="A107" s="84"/>
      <c r="B107" s="176">
        <v>6171</v>
      </c>
      <c r="C107" s="176">
        <v>15479</v>
      </c>
      <c r="D107" s="222" t="s">
        <v>276</v>
      </c>
      <c r="E107" s="30">
        <v>662</v>
      </c>
      <c r="F107" s="10"/>
      <c r="G107" s="250">
        <f t="shared" ref="G107" si="10">E107+F107</f>
        <v>662</v>
      </c>
      <c r="H107" s="203" t="s">
        <v>367</v>
      </c>
      <c r="I107" s="41" t="s">
        <v>224</v>
      </c>
      <c r="J107" s="37" t="s">
        <v>232</v>
      </c>
    </row>
    <row r="108" spans="1:10" x14ac:dyDescent="0.2">
      <c r="A108" s="84"/>
      <c r="B108" s="176">
        <v>6171</v>
      </c>
      <c r="C108" s="176">
        <v>318</v>
      </c>
      <c r="D108" s="222" t="s">
        <v>192</v>
      </c>
      <c r="E108" s="10">
        <f>412+230</f>
        <v>642</v>
      </c>
      <c r="F108" s="10"/>
      <c r="G108" s="250">
        <f>E108+F108</f>
        <v>642</v>
      </c>
      <c r="H108" s="199"/>
      <c r="I108" s="40" t="s">
        <v>143</v>
      </c>
      <c r="J108" s="42" t="s">
        <v>107</v>
      </c>
    </row>
    <row r="109" spans="1:10" x14ac:dyDescent="0.2">
      <c r="A109" s="85" t="s">
        <v>79</v>
      </c>
      <c r="B109" s="15">
        <v>6300</v>
      </c>
      <c r="C109" s="15"/>
      <c r="D109" s="223" t="s">
        <v>80</v>
      </c>
      <c r="E109" s="38">
        <f t="shared" ref="E109:G109" si="11">SUM(E110:E117)</f>
        <v>12273</v>
      </c>
      <c r="F109" s="39">
        <f t="shared" si="11"/>
        <v>0</v>
      </c>
      <c r="G109" s="251">
        <f t="shared" si="11"/>
        <v>12273</v>
      </c>
      <c r="H109" s="200"/>
      <c r="I109" s="124"/>
      <c r="J109" s="257"/>
    </row>
    <row r="110" spans="1:10" x14ac:dyDescent="0.2">
      <c r="A110" s="84"/>
      <c r="B110" s="176">
        <v>6320</v>
      </c>
      <c r="C110" s="176">
        <v>314</v>
      </c>
      <c r="D110" s="222" t="s">
        <v>172</v>
      </c>
      <c r="E110" s="30">
        <v>160</v>
      </c>
      <c r="F110" s="10"/>
      <c r="G110" s="250">
        <f t="shared" ref="G110:G116" si="12">E110+F110</f>
        <v>160</v>
      </c>
      <c r="H110" s="199"/>
      <c r="I110" s="30" t="s">
        <v>323</v>
      </c>
      <c r="J110" s="37" t="s">
        <v>65</v>
      </c>
    </row>
    <row r="111" spans="1:10" x14ac:dyDescent="0.2">
      <c r="A111" s="84"/>
      <c r="B111" s="176">
        <v>6399</v>
      </c>
      <c r="C111" s="176">
        <v>314</v>
      </c>
      <c r="D111" s="222" t="s">
        <v>193</v>
      </c>
      <c r="E111" s="30">
        <v>70</v>
      </c>
      <c r="F111" s="10"/>
      <c r="G111" s="250">
        <f t="shared" si="12"/>
        <v>70</v>
      </c>
      <c r="H111" s="199"/>
      <c r="I111" s="30" t="s">
        <v>340</v>
      </c>
      <c r="J111" s="37" t="s">
        <v>319</v>
      </c>
    </row>
    <row r="112" spans="1:10" x14ac:dyDescent="0.2">
      <c r="A112" s="84"/>
      <c r="B112" s="176">
        <v>6399</v>
      </c>
      <c r="C112" s="176">
        <v>315</v>
      </c>
      <c r="D112" s="222" t="s">
        <v>81</v>
      </c>
      <c r="E112" s="30">
        <v>7680</v>
      </c>
      <c r="F112" s="10"/>
      <c r="G112" s="250">
        <f t="shared" si="12"/>
        <v>7680</v>
      </c>
      <c r="H112" s="199" t="s">
        <v>173</v>
      </c>
      <c r="I112" s="41" t="s">
        <v>179</v>
      </c>
      <c r="J112" s="37" t="s">
        <v>340</v>
      </c>
    </row>
    <row r="113" spans="1:10" x14ac:dyDescent="0.2">
      <c r="A113" s="84"/>
      <c r="B113" s="176">
        <v>6399</v>
      </c>
      <c r="C113" s="176">
        <v>665</v>
      </c>
      <c r="D113" s="222" t="s">
        <v>196</v>
      </c>
      <c r="E113" s="30">
        <v>750</v>
      </c>
      <c r="F113" s="10"/>
      <c r="G113" s="250">
        <f t="shared" si="12"/>
        <v>750</v>
      </c>
      <c r="H113" s="199"/>
      <c r="I113" s="41" t="s">
        <v>179</v>
      </c>
      <c r="J113" s="37" t="s">
        <v>340</v>
      </c>
    </row>
    <row r="114" spans="1:10" x14ac:dyDescent="0.2">
      <c r="A114" s="84"/>
      <c r="B114" s="176">
        <v>6402</v>
      </c>
      <c r="C114" s="176"/>
      <c r="D114" s="222" t="s">
        <v>246</v>
      </c>
      <c r="E114" s="30">
        <v>31</v>
      </c>
      <c r="F114" s="10"/>
      <c r="G114" s="250">
        <f t="shared" si="12"/>
        <v>31</v>
      </c>
      <c r="H114" s="199" t="s">
        <v>368</v>
      </c>
      <c r="I114" s="41" t="s">
        <v>179</v>
      </c>
      <c r="J114" s="37" t="s">
        <v>340</v>
      </c>
    </row>
    <row r="115" spans="1:10" x14ac:dyDescent="0.2">
      <c r="A115" s="84"/>
      <c r="B115" s="176">
        <v>6409</v>
      </c>
      <c r="C115" s="176">
        <v>100</v>
      </c>
      <c r="D115" s="222" t="s">
        <v>145</v>
      </c>
      <c r="E115" s="30">
        <v>534</v>
      </c>
      <c r="F115" s="10"/>
      <c r="G115" s="250">
        <f t="shared" si="12"/>
        <v>534</v>
      </c>
      <c r="H115" s="199"/>
      <c r="I115" s="41" t="s">
        <v>179</v>
      </c>
      <c r="J115" s="37" t="s">
        <v>228</v>
      </c>
    </row>
    <row r="116" spans="1:10" s="153" customFormat="1" x14ac:dyDescent="0.2">
      <c r="A116" s="84"/>
      <c r="B116" s="176">
        <v>6409</v>
      </c>
      <c r="C116" s="176"/>
      <c r="D116" s="222" t="s">
        <v>309</v>
      </c>
      <c r="E116" s="30">
        <v>1098</v>
      </c>
      <c r="F116" s="10"/>
      <c r="G116" s="250">
        <f t="shared" si="12"/>
        <v>1098</v>
      </c>
      <c r="H116" s="266" t="s">
        <v>369</v>
      </c>
      <c r="I116" s="41" t="s">
        <v>340</v>
      </c>
      <c r="J116" s="262" t="s">
        <v>233</v>
      </c>
    </row>
    <row r="117" spans="1:10" x14ac:dyDescent="0.2">
      <c r="A117" s="84"/>
      <c r="B117" s="176">
        <v>6409</v>
      </c>
      <c r="C117" s="176"/>
      <c r="D117" s="226" t="s">
        <v>130</v>
      </c>
      <c r="E117" s="30">
        <f>400+1550</f>
        <v>1950</v>
      </c>
      <c r="F117" s="30"/>
      <c r="G117" s="250">
        <f t="shared" ref="G117" si="13">E117+F117</f>
        <v>1950</v>
      </c>
      <c r="H117" s="199"/>
      <c r="I117" s="44" t="s">
        <v>340</v>
      </c>
      <c r="J117" s="37" t="s">
        <v>233</v>
      </c>
    </row>
    <row r="118" spans="1:10" ht="13.5" thickBot="1" x14ac:dyDescent="0.25">
      <c r="A118" s="87"/>
      <c r="B118" s="58"/>
      <c r="C118" s="58"/>
      <c r="D118" s="227" t="s">
        <v>82</v>
      </c>
      <c r="E118" s="93">
        <f>SUM(E5+E8+E14+E30+E43+E56+E64+E66+E86+E94+E100+E104+E109)</f>
        <v>174769</v>
      </c>
      <c r="F118" s="130">
        <f>SUM(F5+F8+F14+F30+F43+F56+F64+F66+F86+F94+F100+F104+F109)</f>
        <v>42326</v>
      </c>
      <c r="G118" s="254">
        <f>SUM(G5+G8+G14+G30+G43+G56+G64+G66+G86+G94+G100+G104+G109)</f>
        <v>217095</v>
      </c>
      <c r="H118" s="205"/>
      <c r="I118" s="93"/>
      <c r="J118" s="264"/>
    </row>
    <row r="119" spans="1:10" ht="13.5" thickBot="1" x14ac:dyDescent="0.25">
      <c r="A119" s="29"/>
      <c r="B119" s="71"/>
      <c r="C119" s="71"/>
      <c r="D119" s="71"/>
      <c r="E119" s="219" t="s">
        <v>83</v>
      </c>
      <c r="F119" s="220"/>
      <c r="G119" s="255">
        <f>SUM(E118:F118)</f>
        <v>217095</v>
      </c>
      <c r="H119" s="221"/>
      <c r="I119" s="138"/>
      <c r="J119" s="265"/>
    </row>
    <row r="120" spans="1:10" x14ac:dyDescent="0.2">
      <c r="A120" s="28"/>
      <c r="B120" s="14"/>
      <c r="C120" s="14"/>
      <c r="D120" s="145"/>
      <c r="E120" s="14"/>
      <c r="F120" s="14"/>
      <c r="G120" s="88"/>
      <c r="H120" s="206"/>
      <c r="I120" s="14"/>
    </row>
    <row r="121" spans="1:10" s="153" customFormat="1" x14ac:dyDescent="0.2">
      <c r="A121" s="28"/>
      <c r="B121" s="14"/>
      <c r="C121" s="14"/>
      <c r="D121" s="157"/>
      <c r="E121" s="14"/>
      <c r="F121" s="14"/>
      <c r="G121" s="88"/>
      <c r="H121" s="206"/>
      <c r="I121" s="14"/>
      <c r="J121" s="56"/>
    </row>
    <row r="122" spans="1:10" x14ac:dyDescent="0.2">
      <c r="D122" s="103"/>
    </row>
    <row r="123" spans="1:10" x14ac:dyDescent="0.2">
      <c r="D123" s="103"/>
    </row>
  </sheetData>
  <sortState ref="A14:GH24">
    <sortCondition ref="B14:B24"/>
    <sortCondition ref="C14:C24"/>
  </sortState>
  <phoneticPr fontId="6" type="noConversion"/>
  <pageMargins left="0.15748031496062992" right="0.19685039370078741" top="0.59055118110236227" bottom="0.39370078740157483" header="0.15748031496062992" footer="0.23622047244094491"/>
  <pageSetup paperSize="9" scale="75" fitToHeight="0" orientation="landscape" r:id="rId1"/>
  <headerFooter alignWithMargins="0">
    <oddHeader xml:space="preserve">&amp;R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showGridLines="0" workbookViewId="0"/>
  </sheetViews>
  <sheetFormatPr defaultRowHeight="12.75" x14ac:dyDescent="0.2"/>
  <cols>
    <col min="1" max="1" width="5.140625" style="175" customWidth="1"/>
    <col min="2" max="2" width="5.42578125" style="175" customWidth="1"/>
    <col min="3" max="3" width="56.5703125" style="175" bestFit="1" customWidth="1"/>
    <col min="4" max="4" width="12.42578125" style="175" customWidth="1"/>
    <col min="5" max="16384" width="9.140625" style="175"/>
  </cols>
  <sheetData>
    <row r="1" spans="2:4" ht="27.75" customHeight="1" x14ac:dyDescent="0.25">
      <c r="C1" s="282" t="s">
        <v>398</v>
      </c>
    </row>
    <row r="2" spans="2:4" s="193" customFormat="1" ht="18" x14ac:dyDescent="0.25">
      <c r="B2" s="207" t="s">
        <v>378</v>
      </c>
      <c r="C2" s="208" t="s">
        <v>377</v>
      </c>
      <c r="D2" s="217" t="s">
        <v>383</v>
      </c>
    </row>
    <row r="3" spans="2:4" ht="17.25" customHeight="1" x14ac:dyDescent="0.2">
      <c r="B3" s="209"/>
      <c r="C3" s="210" t="s">
        <v>375</v>
      </c>
      <c r="D3" s="209"/>
    </row>
    <row r="4" spans="2:4" ht="17.25" customHeight="1" x14ac:dyDescent="0.2">
      <c r="B4" s="209"/>
      <c r="C4" s="80" t="s">
        <v>4</v>
      </c>
      <c r="D4" s="211">
        <f>sumář!D11</f>
        <v>103445</v>
      </c>
    </row>
    <row r="5" spans="2:4" ht="17.25" customHeight="1" x14ac:dyDescent="0.2">
      <c r="B5" s="209"/>
      <c r="C5" s="80" t="s">
        <v>5</v>
      </c>
      <c r="D5" s="211">
        <f>sumář!D12</f>
        <v>31040</v>
      </c>
    </row>
    <row r="6" spans="2:4" ht="17.25" customHeight="1" x14ac:dyDescent="0.2">
      <c r="B6" s="209"/>
      <c r="C6" s="80" t="s">
        <v>6</v>
      </c>
      <c r="D6" s="211">
        <f>sumář!D13</f>
        <v>18097</v>
      </c>
    </row>
    <row r="7" spans="2:4" ht="17.25" customHeight="1" x14ac:dyDescent="0.2">
      <c r="B7" s="209"/>
      <c r="C7" s="80" t="s">
        <v>7</v>
      </c>
      <c r="D7" s="211">
        <f>sumář!D14</f>
        <v>33800</v>
      </c>
    </row>
    <row r="8" spans="2:4" ht="17.25" customHeight="1" x14ac:dyDescent="0.2">
      <c r="B8" s="209"/>
      <c r="C8" s="9" t="s">
        <v>8</v>
      </c>
      <c r="D8" s="212">
        <f>SUM(D4:D7)</f>
        <v>186382</v>
      </c>
    </row>
    <row r="9" spans="2:4" ht="17.25" customHeight="1" x14ac:dyDescent="0.2">
      <c r="B9" s="209"/>
      <c r="C9" s="209"/>
      <c r="D9" s="209"/>
    </row>
    <row r="10" spans="2:4" ht="17.25" customHeight="1" x14ac:dyDescent="0.2">
      <c r="B10" s="209" t="s">
        <v>374</v>
      </c>
      <c r="C10" s="210" t="s">
        <v>373</v>
      </c>
      <c r="D10" s="209"/>
    </row>
    <row r="11" spans="2:4" ht="17.25" customHeight="1" x14ac:dyDescent="0.2">
      <c r="B11" s="209">
        <v>10</v>
      </c>
      <c r="C11" s="213" t="s">
        <v>64</v>
      </c>
      <c r="D11" s="214">
        <f>výdaje!G5</f>
        <v>1388</v>
      </c>
    </row>
    <row r="12" spans="2:4" ht="17.25" customHeight="1" x14ac:dyDescent="0.2">
      <c r="B12" s="209">
        <v>21</v>
      </c>
      <c r="C12" s="213" t="s">
        <v>205</v>
      </c>
      <c r="D12" s="214">
        <f>výdaje!G8</f>
        <v>1600</v>
      </c>
    </row>
    <row r="13" spans="2:4" ht="17.25" customHeight="1" x14ac:dyDescent="0.2">
      <c r="B13" s="209">
        <v>22</v>
      </c>
      <c r="C13" s="213" t="s">
        <v>67</v>
      </c>
      <c r="D13" s="214">
        <f>výdaje!G14</f>
        <v>23212</v>
      </c>
    </row>
    <row r="14" spans="2:4" ht="17.25" customHeight="1" x14ac:dyDescent="0.2">
      <c r="B14" s="215">
        <v>31</v>
      </c>
      <c r="C14" s="213" t="s">
        <v>298</v>
      </c>
      <c r="D14" s="214">
        <f>výdaje!G30</f>
        <v>19564</v>
      </c>
    </row>
    <row r="15" spans="2:4" ht="17.25" customHeight="1" x14ac:dyDescent="0.2">
      <c r="B15" s="215">
        <v>33</v>
      </c>
      <c r="C15" s="213" t="s">
        <v>68</v>
      </c>
      <c r="D15" s="214">
        <f>výdaje!G43</f>
        <v>13735</v>
      </c>
    </row>
    <row r="16" spans="2:4" ht="17.25" customHeight="1" x14ac:dyDescent="0.2">
      <c r="B16" s="215">
        <v>34</v>
      </c>
      <c r="C16" s="213" t="s">
        <v>70</v>
      </c>
      <c r="D16" s="214">
        <f>výdaje!G56</f>
        <v>13152</v>
      </c>
    </row>
    <row r="17" spans="2:4" ht="17.25" customHeight="1" x14ac:dyDescent="0.2">
      <c r="B17" s="215">
        <v>35</v>
      </c>
      <c r="C17" s="213" t="s">
        <v>104</v>
      </c>
      <c r="D17" s="214">
        <f>výdaje!G64</f>
        <v>13309</v>
      </c>
    </row>
    <row r="18" spans="2:4" ht="17.25" customHeight="1" x14ac:dyDescent="0.2">
      <c r="B18" s="215">
        <v>36</v>
      </c>
      <c r="C18" s="213" t="s">
        <v>71</v>
      </c>
      <c r="D18" s="214">
        <f>výdaje!G66</f>
        <v>24928</v>
      </c>
    </row>
    <row r="19" spans="2:4" ht="17.25" customHeight="1" x14ac:dyDescent="0.2">
      <c r="B19" s="215">
        <v>37</v>
      </c>
      <c r="C19" s="213" t="s">
        <v>105</v>
      </c>
      <c r="D19" s="214">
        <f>výdaje!G86</f>
        <v>15720</v>
      </c>
    </row>
    <row r="20" spans="2:4" ht="17.25" customHeight="1" x14ac:dyDescent="0.2">
      <c r="B20" s="215">
        <v>43</v>
      </c>
      <c r="C20" s="213" t="s">
        <v>75</v>
      </c>
      <c r="D20" s="214">
        <f>výdaje!G94</f>
        <v>10455</v>
      </c>
    </row>
    <row r="21" spans="2:4" ht="17.25" customHeight="1" x14ac:dyDescent="0.2">
      <c r="B21" s="215">
        <v>53</v>
      </c>
      <c r="C21" s="213" t="s">
        <v>94</v>
      </c>
      <c r="D21" s="214">
        <f>výdaje!G100</f>
        <v>3300</v>
      </c>
    </row>
    <row r="22" spans="2:4" ht="17.25" customHeight="1" x14ac:dyDescent="0.2">
      <c r="B22" s="215">
        <v>61</v>
      </c>
      <c r="C22" s="213" t="s">
        <v>77</v>
      </c>
      <c r="D22" s="214">
        <f>výdaje!G104</f>
        <v>64459</v>
      </c>
    </row>
    <row r="23" spans="2:4" ht="17.25" customHeight="1" x14ac:dyDescent="0.2">
      <c r="B23" s="215">
        <v>63</v>
      </c>
      <c r="C23" s="213" t="s">
        <v>80</v>
      </c>
      <c r="D23" s="214">
        <f>výdaje!G109</f>
        <v>12273</v>
      </c>
    </row>
    <row r="24" spans="2:4" ht="17.25" customHeight="1" x14ac:dyDescent="0.2">
      <c r="B24" s="209"/>
      <c r="C24" s="216" t="s">
        <v>82</v>
      </c>
      <c r="D24" s="212">
        <f>SUM(D11:D23)</f>
        <v>217095</v>
      </c>
    </row>
    <row r="25" spans="2:4" ht="17.25" customHeight="1" x14ac:dyDescent="0.2">
      <c r="B25" s="209"/>
      <c r="C25" s="210" t="s">
        <v>372</v>
      </c>
      <c r="D25" s="212">
        <f>D8-D24</f>
        <v>-30713</v>
      </c>
    </row>
    <row r="26" spans="2:4" ht="17.25" customHeight="1" x14ac:dyDescent="0.2">
      <c r="B26" s="209"/>
      <c r="C26" s="209"/>
      <c r="D26" s="211"/>
    </row>
    <row r="27" spans="2:4" ht="17.25" customHeight="1" x14ac:dyDescent="0.2">
      <c r="B27" s="209"/>
      <c r="C27" s="210" t="s">
        <v>371</v>
      </c>
      <c r="D27" s="209"/>
    </row>
    <row r="28" spans="2:4" ht="17.25" customHeight="1" x14ac:dyDescent="0.2">
      <c r="B28" s="209"/>
      <c r="C28" s="80" t="s">
        <v>261</v>
      </c>
      <c r="D28" s="211">
        <f>sumář!D23</f>
        <v>-4291</v>
      </c>
    </row>
    <row r="29" spans="2:4" ht="17.25" customHeight="1" x14ac:dyDescent="0.2">
      <c r="B29" s="209"/>
      <c r="C29" s="80" t="s">
        <v>273</v>
      </c>
      <c r="D29" s="211">
        <v>0</v>
      </c>
    </row>
    <row r="30" spans="2:4" ht="17.25" customHeight="1" x14ac:dyDescent="0.2">
      <c r="B30" s="209"/>
      <c r="C30" s="80" t="s">
        <v>376</v>
      </c>
      <c r="D30" s="211">
        <f>sumář!D20</f>
        <v>-30713</v>
      </c>
    </row>
    <row r="31" spans="2:4" ht="17.25" customHeight="1" x14ac:dyDescent="0.2">
      <c r="B31" s="209"/>
      <c r="C31" s="210" t="s">
        <v>15</v>
      </c>
      <c r="D31" s="212">
        <f>SUM(D28:D30)</f>
        <v>-35004</v>
      </c>
    </row>
  </sheetData>
  <pageMargins left="0.78740157480314965" right="0.7086614173228347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sumář</vt:lpstr>
      <vt:lpstr>příjmy</vt:lpstr>
      <vt:lpstr>výdaje</vt:lpstr>
      <vt:lpstr>Závazné ukazatele</vt:lpstr>
      <vt:lpstr>příjmy!Názvy_tisku</vt:lpstr>
      <vt:lpstr>výdaje!Názvy_tisku</vt:lpstr>
      <vt:lpstr>příjmy!Oblast_tisku</vt:lpstr>
      <vt:lpstr>sumář!Oblast_tisku</vt:lpstr>
      <vt:lpstr>výdaje!Oblast_tisku</vt:lpstr>
    </vt:vector>
  </TitlesOfParts>
  <Company>Jilemnice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Jilemnice</dc:creator>
  <cp:lastModifiedBy>Trojanová Hana, Ing.</cp:lastModifiedBy>
  <cp:lastPrinted>2022-03-07T10:43:27Z</cp:lastPrinted>
  <dcterms:created xsi:type="dcterms:W3CDTF">1999-02-03T10:11:29Z</dcterms:created>
  <dcterms:modified xsi:type="dcterms:W3CDTF">2022-03-07T10:44:05Z</dcterms:modified>
</cp:coreProperties>
</file>