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ojanova\Documents\___Rok 2022\Rozpočet 2022\Rozpočtový výhled\"/>
    </mc:Choice>
  </mc:AlternateContent>
  <bookViews>
    <workbookView xWindow="0" yWindow="0" windowWidth="38400" windowHeight="17700"/>
  </bookViews>
  <sheets>
    <sheet name="2023-2026 výhled ZM"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2" l="1"/>
  <c r="L8" i="2"/>
  <c r="L7" i="2"/>
  <c r="K7" i="2"/>
  <c r="R9" i="2" l="1"/>
  <c r="P9" i="2"/>
  <c r="N9" i="2"/>
  <c r="L9" i="2"/>
  <c r="J21" i="2"/>
  <c r="J22" i="2" s="1"/>
  <c r="L22" i="2" l="1"/>
  <c r="J38" i="2"/>
  <c r="V62" i="2" l="1"/>
  <c r="W62" i="2"/>
  <c r="X62" i="2"/>
  <c r="Y62" i="2"/>
  <c r="W55" i="2" l="1"/>
  <c r="Y50" i="2"/>
  <c r="W50" i="2"/>
  <c r="W47" i="2"/>
  <c r="V47" i="2"/>
  <c r="V46" i="2"/>
  <c r="Y45" i="2"/>
  <c r="V42" i="2"/>
  <c r="X39" i="2"/>
  <c r="Y34" i="2"/>
  <c r="X34" i="2"/>
  <c r="X23" i="2" s="1"/>
  <c r="P23" i="2"/>
  <c r="Y23" i="2"/>
  <c r="W23" i="2"/>
  <c r="V23" i="2"/>
  <c r="D30" i="2"/>
  <c r="J26" i="2"/>
  <c r="J27" i="2" s="1"/>
  <c r="H26" i="2"/>
  <c r="H27" i="2" s="1"/>
  <c r="F26" i="2"/>
  <c r="F27" i="2" s="1"/>
  <c r="D26" i="2"/>
  <c r="D27" i="2" s="1"/>
  <c r="S25" i="2"/>
  <c r="H24" i="2"/>
  <c r="H25" i="2" s="1"/>
  <c r="F24" i="2"/>
  <c r="F25" i="2" s="1"/>
  <c r="D24" i="2"/>
  <c r="D25" i="2" s="1"/>
  <c r="H21" i="2"/>
  <c r="F21" i="2"/>
  <c r="D21" i="2"/>
  <c r="H20" i="2"/>
  <c r="F20" i="2"/>
  <c r="D20" i="2"/>
  <c r="R13" i="2"/>
  <c r="P13" i="2"/>
  <c r="Y6" i="2"/>
  <c r="X6" i="2"/>
  <c r="W6" i="2"/>
  <c r="V6" i="2"/>
  <c r="H15" i="2"/>
  <c r="F15" i="2"/>
  <c r="D15" i="2"/>
  <c r="N13" i="2"/>
  <c r="L13" i="2"/>
  <c r="J13" i="2"/>
  <c r="J25" i="2" s="1"/>
  <c r="K25" i="2" s="1"/>
  <c r="D13" i="2"/>
  <c r="H12" i="2"/>
  <c r="H14" i="2" s="1"/>
  <c r="N14" i="2" s="1"/>
  <c r="P14" i="2" s="1"/>
  <c r="R14" i="2" s="1"/>
  <c r="F12" i="2"/>
  <c r="D12" i="2"/>
  <c r="D19" i="2" s="1"/>
  <c r="I9" i="2"/>
  <c r="G9" i="2"/>
  <c r="N8" i="2"/>
  <c r="P8" i="2" s="1"/>
  <c r="R8" i="2" s="1"/>
  <c r="K8" i="2"/>
  <c r="I8" i="2"/>
  <c r="G8" i="2"/>
  <c r="I7" i="2"/>
  <c r="G7" i="2"/>
  <c r="K9" i="2"/>
  <c r="X22" i="2" l="1"/>
  <c r="J39" i="2"/>
  <c r="J41" i="2" s="1"/>
  <c r="J42" i="2" s="1"/>
  <c r="Y39" i="2"/>
  <c r="Y22" i="2" s="1"/>
  <c r="H29" i="2"/>
  <c r="H36" i="2" s="1"/>
  <c r="D29" i="2"/>
  <c r="D22" i="2"/>
  <c r="D39" i="2" s="1"/>
  <c r="D41" i="2" s="1"/>
  <c r="H19" i="2"/>
  <c r="H22" i="2" s="1"/>
  <c r="V39" i="2"/>
  <c r="V22" i="2" s="1"/>
  <c r="L10" i="2"/>
  <c r="L15" i="2" s="1"/>
  <c r="F29" i="2"/>
  <c r="F36" i="2" s="1"/>
  <c r="F30" i="2" s="1"/>
  <c r="I25" i="2"/>
  <c r="W39" i="2"/>
  <c r="W22" i="2" s="1"/>
  <c r="N23" i="2"/>
  <c r="R10" i="2"/>
  <c r="F19" i="2"/>
  <c r="F22" i="2" s="1"/>
  <c r="F14" i="2"/>
  <c r="P10" i="2"/>
  <c r="G25" i="2"/>
  <c r="O25" i="2"/>
  <c r="L38" i="2"/>
  <c r="N7" i="2"/>
  <c r="N10" i="2"/>
  <c r="R23" i="2"/>
  <c r="Q25" i="2"/>
  <c r="D14" i="2"/>
  <c r="D38" i="2" s="1"/>
  <c r="J15" i="2"/>
  <c r="J29" i="2" s="1"/>
  <c r="J36" i="2" s="1"/>
  <c r="J30" i="2" s="1"/>
  <c r="H38" i="2"/>
  <c r="H39" i="2" l="1"/>
  <c r="H41" i="2" s="1"/>
  <c r="H42" i="2" s="1"/>
  <c r="K22" i="2"/>
  <c r="H30" i="2"/>
  <c r="L35" i="2"/>
  <c r="D42" i="2"/>
  <c r="J40" i="2"/>
  <c r="L39" i="2"/>
  <c r="L41" i="2" s="1"/>
  <c r="L42" i="2" s="1"/>
  <c r="F38" i="2"/>
  <c r="G14" i="2"/>
  <c r="F39" i="2"/>
  <c r="F41" i="2" s="1"/>
  <c r="G22" i="2"/>
  <c r="N38" i="2"/>
  <c r="N15" i="2"/>
  <c r="P7" i="2"/>
  <c r="D40" i="2"/>
  <c r="I22" i="2"/>
  <c r="H40" i="2"/>
  <c r="I14" i="2"/>
  <c r="M25" i="2"/>
  <c r="L23" i="2"/>
  <c r="F42" i="2" l="1"/>
  <c r="L18" i="2"/>
  <c r="L26" i="2" s="1"/>
  <c r="L29" i="2" s="1"/>
  <c r="L36" i="2" s="1"/>
  <c r="L30" i="2" s="1"/>
  <c r="N22" i="2"/>
  <c r="N39" i="2" s="1"/>
  <c r="N41" i="2" s="1"/>
  <c r="N42" i="2" s="1"/>
  <c r="R7" i="2"/>
  <c r="P15" i="2"/>
  <c r="P38" i="2"/>
  <c r="L40" i="2"/>
  <c r="F40" i="2"/>
  <c r="N18" i="2" l="1"/>
  <c r="N26" i="2" s="1"/>
  <c r="N27" i="2" s="1"/>
  <c r="P22" i="2"/>
  <c r="R22" i="2" s="1"/>
  <c r="L27" i="2"/>
  <c r="N40" i="2"/>
  <c r="R38" i="2"/>
  <c r="R15" i="2"/>
  <c r="N29" i="2" l="1"/>
  <c r="N36" i="2" s="1"/>
  <c r="N30" i="2" s="1"/>
  <c r="P18" i="2"/>
  <c r="P26" i="2" s="1"/>
  <c r="P27" i="2" s="1"/>
  <c r="P39" i="2"/>
  <c r="P40" i="2" s="1"/>
  <c r="R18" i="2"/>
  <c r="R26" i="2" s="1"/>
  <c r="R27" i="2" s="1"/>
  <c r="R39" i="2"/>
  <c r="P41" i="2" l="1"/>
  <c r="P42" i="2" s="1"/>
  <c r="P29" i="2"/>
  <c r="P36" i="2" s="1"/>
  <c r="P30" i="2" s="1"/>
  <c r="R41" i="2"/>
  <c r="R42" i="2" s="1"/>
  <c r="R29" i="2"/>
  <c r="R36" i="2" s="1"/>
  <c r="R30" i="2" s="1"/>
  <c r="R40" i="2"/>
</calcChain>
</file>

<file path=xl/comments1.xml><?xml version="1.0" encoding="utf-8"?>
<comments xmlns="http://schemas.openxmlformats.org/spreadsheetml/2006/main">
  <authors>
    <author>Trojanová Hana, Ing.</author>
    <author>Kynčlová Miroslava, Ing.</author>
    <author>Město Jilemnice</author>
  </authors>
  <commentList>
    <comment ref="J7" authorId="0" shapeId="0">
      <text>
        <r>
          <rPr>
            <b/>
            <sz val="9"/>
            <color indexed="81"/>
            <rFont val="Tahoma"/>
            <charset val="1"/>
          </rPr>
          <t>Trojanová Hana, Ing.:</t>
        </r>
        <r>
          <rPr>
            <sz val="9"/>
            <color indexed="81"/>
            <rFont val="Tahoma"/>
            <charset val="1"/>
          </rPr>
          <t xml:space="preserve">
příjem DPPO mimořádně o 4,5 mil vyšší prodej akcií
</t>
        </r>
      </text>
    </comment>
    <comment ref="K7" authorId="0" shapeId="0">
      <text>
        <r>
          <rPr>
            <b/>
            <sz val="9"/>
            <color indexed="81"/>
            <rFont val="Tahoma"/>
            <charset val="1"/>
          </rPr>
          <t>Trojanová Hana, Ing.:</t>
        </r>
        <r>
          <rPr>
            <sz val="9"/>
            <color indexed="81"/>
            <rFont val="Tahoma"/>
            <charset val="1"/>
          </rPr>
          <t xml:space="preserve">
pro výpočet % snížen R22 o 4,5 mil vyšší prodej akcií</t>
        </r>
      </text>
    </comment>
    <comment ref="L7" authorId="0" shapeId="0">
      <text>
        <r>
          <rPr>
            <b/>
            <sz val="9"/>
            <color indexed="81"/>
            <rFont val="Tahoma"/>
            <charset val="1"/>
          </rPr>
          <t>Trojanová Hana, Ing.:</t>
        </r>
        <r>
          <rPr>
            <sz val="9"/>
            <color indexed="81"/>
            <rFont val="Tahoma"/>
            <charset val="1"/>
          </rPr>
          <t xml:space="preserve">
základ - rozpočet 2022 očištěn od nárůstu DPPO 2022</t>
        </r>
      </text>
    </comment>
    <comment ref="M7" authorId="0" shapeId="0">
      <text>
        <r>
          <rPr>
            <b/>
            <sz val="9"/>
            <color indexed="81"/>
            <rFont val="Tahoma"/>
            <charset val="1"/>
          </rPr>
          <t>Trojanová Hana, Ing.:</t>
        </r>
        <r>
          <rPr>
            <sz val="9"/>
            <color indexed="81"/>
            <rFont val="Tahoma"/>
            <charset val="1"/>
          </rPr>
          <t xml:space="preserve">
základ - rozpočet 2022 očištěn od nárůstu DPPO 2022
</t>
        </r>
      </text>
    </comment>
    <comment ref="H9" authorId="1" shapeId="0">
      <text>
        <r>
          <rPr>
            <b/>
            <sz val="9"/>
            <color indexed="81"/>
            <rFont val="Tahoma"/>
            <family val="2"/>
            <charset val="238"/>
          </rPr>
          <t>Trojanová Hana</t>
        </r>
        <r>
          <rPr>
            <sz val="9"/>
            <color indexed="81"/>
            <rFont val="Tahoma"/>
            <family val="2"/>
            <charset val="238"/>
          </rPr>
          <t xml:space="preserve">
12338 splátka za akcie MMN od LK
</t>
        </r>
      </text>
    </comment>
    <comment ref="J9" authorId="1" shapeId="0">
      <text>
        <r>
          <rPr>
            <b/>
            <sz val="9"/>
            <color indexed="81"/>
            <rFont val="Tahoma"/>
            <family val="2"/>
            <charset val="238"/>
          </rPr>
          <t>Trojanová Hana</t>
        </r>
        <r>
          <rPr>
            <sz val="9"/>
            <color indexed="81"/>
            <rFont val="Tahoma"/>
            <family val="2"/>
            <charset val="238"/>
          </rPr>
          <t xml:space="preserve">
12338 splátka za akcie MMN od LK
</t>
        </r>
      </text>
    </comment>
    <comment ref="L9" authorId="1" shapeId="0">
      <text>
        <r>
          <rPr>
            <b/>
            <sz val="9"/>
            <color indexed="81"/>
            <rFont val="Tahoma"/>
            <family val="2"/>
            <charset val="238"/>
          </rPr>
          <t>Trojanová Hana</t>
        </r>
        <r>
          <rPr>
            <sz val="9"/>
            <color indexed="81"/>
            <rFont val="Tahoma"/>
            <family val="2"/>
            <charset val="238"/>
          </rPr>
          <t xml:space="preserve">
12338 splátka za akcie MMN od LK
</t>
        </r>
      </text>
    </comment>
    <comment ref="N9" authorId="1" shapeId="0">
      <text>
        <r>
          <rPr>
            <b/>
            <sz val="9"/>
            <color indexed="81"/>
            <rFont val="Tahoma"/>
            <family val="2"/>
            <charset val="238"/>
          </rPr>
          <t>Trojanová Hana</t>
        </r>
        <r>
          <rPr>
            <sz val="9"/>
            <color indexed="81"/>
            <rFont val="Tahoma"/>
            <family val="2"/>
            <charset val="238"/>
          </rPr>
          <t xml:space="preserve">
12338 splátka za akcie MMN od LK
</t>
        </r>
      </text>
    </comment>
    <comment ref="P9" authorId="1" shapeId="0">
      <text>
        <r>
          <rPr>
            <b/>
            <sz val="9"/>
            <color indexed="81"/>
            <rFont val="Tahoma"/>
            <family val="2"/>
            <charset val="238"/>
          </rPr>
          <t>Trojanová Hana</t>
        </r>
        <r>
          <rPr>
            <sz val="9"/>
            <color indexed="81"/>
            <rFont val="Tahoma"/>
            <family val="2"/>
            <charset val="238"/>
          </rPr>
          <t xml:space="preserve">
12338 splátka za akcie MMN od LK
</t>
        </r>
      </text>
    </comment>
    <comment ref="R9" authorId="1" shapeId="0">
      <text>
        <r>
          <rPr>
            <b/>
            <sz val="9"/>
            <color indexed="81"/>
            <rFont val="Tahoma"/>
            <family val="2"/>
            <charset val="238"/>
          </rPr>
          <t>Trojanová Hana</t>
        </r>
        <r>
          <rPr>
            <sz val="9"/>
            <color indexed="81"/>
            <rFont val="Tahoma"/>
            <family val="2"/>
            <charset val="238"/>
          </rPr>
          <t xml:space="preserve">
12338 splátka za akcie MMN od LK
</t>
        </r>
      </text>
    </comment>
    <comment ref="D13" authorId="1" shapeId="0">
      <text>
        <r>
          <rPr>
            <b/>
            <sz val="9"/>
            <color indexed="81"/>
            <rFont val="Tahoma"/>
            <family val="2"/>
            <charset val="238"/>
          </rPr>
          <t>Kynčlová Miroslava, Ing.:</t>
        </r>
        <r>
          <rPr>
            <sz val="9"/>
            <color indexed="81"/>
            <rFont val="Tahoma"/>
            <family val="2"/>
            <charset val="238"/>
          </rPr>
          <t xml:space="preserve">
600 dotace na nákladní vozidlo
1340 dotace na projekt multimediální učebny 
15461 dotace na Chodník Čsl. legií</t>
        </r>
      </text>
    </comment>
    <comment ref="F13" authorId="1" shapeId="0">
      <text>
        <r>
          <rPr>
            <b/>
            <sz val="9"/>
            <color indexed="81"/>
            <rFont val="Tahoma"/>
            <family val="2"/>
            <charset val="238"/>
          </rPr>
          <t>Trojanová Hana:</t>
        </r>
        <r>
          <rPr>
            <sz val="9"/>
            <color indexed="81"/>
            <rFont val="Tahoma"/>
            <family val="2"/>
            <charset val="238"/>
          </rPr>
          <t xml:space="preserve">
46 dotaec pro knihovnu
5079 dotace na Reko čp. 64 sociální služby</t>
        </r>
      </text>
    </comment>
    <comment ref="H13" authorId="1" shapeId="0">
      <text>
        <r>
          <rPr>
            <b/>
            <sz val="9"/>
            <color indexed="81"/>
            <rFont val="Tahoma"/>
            <family val="2"/>
            <charset val="238"/>
          </rPr>
          <t>Trojanová Hana:</t>
        </r>
        <r>
          <rPr>
            <sz val="9"/>
            <color indexed="81"/>
            <rFont val="Tahoma"/>
            <family val="2"/>
            <charset val="238"/>
          </rPr>
          <t xml:space="preserve">
11170 ZŠ Harracha projekt IROP
3713 sociální byty
2500 dotace na nákup pozemku pro HTS LK
663 Obnova retenční nádrže nad školou
152 modernizace zařízení na sběr odpad
112 dotace na cyklostezku Martinice-Jilemnice
</t>
        </r>
      </text>
    </comment>
    <comment ref="V18" authorId="1" shapeId="0">
      <text>
        <r>
          <rPr>
            <b/>
            <sz val="9"/>
            <color indexed="81"/>
            <rFont val="Tahoma"/>
            <family val="2"/>
            <charset val="238"/>
          </rPr>
          <t>Trojanová Hana, Ing.:</t>
        </r>
        <r>
          <rPr>
            <sz val="9"/>
            <color indexed="81"/>
            <rFont val="Tahoma"/>
            <family val="2"/>
            <charset val="238"/>
          </rPr>
          <t xml:space="preserve">
600 nákladní vozidlo</t>
        </r>
      </text>
    </comment>
    <comment ref="X18" authorId="1" shapeId="0">
      <text>
        <r>
          <rPr>
            <b/>
            <sz val="9"/>
            <color indexed="81"/>
            <rFont val="Tahoma"/>
            <family val="2"/>
            <charset val="238"/>
          </rPr>
          <t>Trojanová Hana:</t>
        </r>
        <r>
          <rPr>
            <sz val="9"/>
            <color indexed="81"/>
            <rFont val="Tahoma"/>
            <family val="2"/>
            <charset val="238"/>
          </rPr>
          <t xml:space="preserve">
152  modernizace pro sběr komunálních odpadů</t>
        </r>
      </text>
    </comment>
    <comment ref="D20" authorId="1" shapeId="0">
      <text>
        <r>
          <rPr>
            <b/>
            <sz val="9"/>
            <color indexed="81"/>
            <rFont val="Tahoma"/>
            <family val="2"/>
            <charset val="238"/>
          </rPr>
          <t>Kynčlová Miroslava, Ing.:</t>
        </r>
        <r>
          <rPr>
            <sz val="9"/>
            <color indexed="81"/>
            <rFont val="Tahoma"/>
            <family val="2"/>
            <charset val="238"/>
          </rPr>
          <t xml:space="preserve">
94 IROP ZŠ Harracha
484 energetický management
242 předcházení vzniku odpadů
405 reko čp. 64 sociální služby
379 podpora soc. práce a MA21</t>
        </r>
      </text>
    </comment>
    <comment ref="F20" authorId="1" shapeId="0">
      <text>
        <r>
          <rPr>
            <b/>
            <sz val="9"/>
            <color indexed="81"/>
            <rFont val="Tahoma"/>
            <family val="2"/>
            <charset val="238"/>
          </rPr>
          <t>Trojanová Hana.:</t>
        </r>
        <r>
          <rPr>
            <sz val="9"/>
            <color indexed="81"/>
            <rFont val="Tahoma"/>
            <family val="2"/>
            <charset val="238"/>
          </rPr>
          <t xml:space="preserve">
4050 ZŠ Harracha - IROP
1502 GP sociální služby
128 komunitní plánování
141 MAS sociální práce</t>
        </r>
      </text>
    </comment>
    <comment ref="H20" authorId="1" shapeId="0">
      <text>
        <r>
          <rPr>
            <b/>
            <sz val="9"/>
            <color indexed="81"/>
            <rFont val="Tahoma"/>
            <family val="2"/>
            <charset val="238"/>
          </rPr>
          <t xml:space="preserve">Kynčlová Miroslava, Ing.:
</t>
        </r>
        <r>
          <rPr>
            <sz val="9"/>
            <color indexed="81"/>
            <rFont val="Tahoma"/>
            <family val="2"/>
            <charset val="238"/>
          </rPr>
          <t xml:space="preserve">2 735 ZŠ Harr IROP
317 MAS Sociální práce v Jilemnici
217 modernizace odpad.zařízení
300 dotace památky - vyýměna krytiny škola
1137 GP sociální služby
36 Evropský týden mobility
82 komunitní plánování
41 dotace pro pož.ochranu
42 dotace krizové řízení
</t>
        </r>
      </text>
    </comment>
    <comment ref="D21" authorId="2" shapeId="0">
      <text>
        <r>
          <rPr>
            <b/>
            <sz val="9"/>
            <color indexed="81"/>
            <rFont val="Tahoma"/>
            <family val="2"/>
            <charset val="238"/>
          </rPr>
          <t>Město Jilemnice:</t>
        </r>
        <r>
          <rPr>
            <sz val="9"/>
            <color indexed="81"/>
            <rFont val="Tahoma"/>
            <family val="2"/>
            <charset val="238"/>
          </rPr>
          <t xml:space="preserve">
500 komunikace 
3150 střecha Scolarest
1500 památky
1200 starý hřbitov
2800 byty
</t>
        </r>
      </text>
    </comment>
    <comment ref="F21" authorId="0" shapeId="0">
      <text>
        <r>
          <rPr>
            <b/>
            <sz val="9"/>
            <color indexed="81"/>
            <rFont val="Tahoma"/>
            <family val="2"/>
            <charset val="238"/>
          </rPr>
          <t>Trojanová Hana, Ing.:</t>
        </r>
        <r>
          <rPr>
            <sz val="9"/>
            <color indexed="81"/>
            <rFont val="Tahoma"/>
            <family val="2"/>
            <charset val="238"/>
          </rPr>
          <t xml:space="preserve">
2887 spořilov kanalizace
2967 střecha čp.103,101
4050 ZŠ Harracha IROP
</t>
        </r>
      </text>
    </comment>
    <comment ref="H21" authorId="0" shapeId="0">
      <text>
        <r>
          <rPr>
            <b/>
            <sz val="9"/>
            <color indexed="81"/>
            <rFont val="Tahoma"/>
            <family val="2"/>
            <charset val="238"/>
          </rPr>
          <t>Trojanová Hana, Ing.:</t>
        </r>
        <r>
          <rPr>
            <sz val="9"/>
            <color indexed="81"/>
            <rFont val="Tahoma"/>
            <family val="2"/>
            <charset val="238"/>
          </rPr>
          <t xml:space="preserve">
2213 most ul. J.Weisse
122 Spořilov kanalizace
2100 obnova památek</t>
        </r>
      </text>
    </comment>
    <comment ref="J21" authorId="0" shapeId="0">
      <text>
        <r>
          <rPr>
            <b/>
            <sz val="9"/>
            <color indexed="81"/>
            <rFont val="Tahoma"/>
            <family val="2"/>
            <charset val="238"/>
          </rPr>
          <t>Trojanová Hana, Ing.:</t>
        </r>
        <r>
          <rPr>
            <sz val="9"/>
            <color indexed="81"/>
            <rFont val="Tahoma"/>
            <family val="2"/>
            <charset val="238"/>
          </rPr>
          <t xml:space="preserve">
5500 komunikace Hanče a Vrbaty
2600 střechy čp.101,103
3000 obnova památek
7650 rekonstrukce MŠ zámecká
5300 oprava byty stoupačky
</t>
        </r>
      </text>
    </comment>
    <comment ref="L21" authorId="0" shapeId="0">
      <text>
        <r>
          <rPr>
            <b/>
            <sz val="9"/>
            <color indexed="81"/>
            <rFont val="Tahoma"/>
            <family val="2"/>
            <charset val="238"/>
          </rPr>
          <t>Trojanová Hana, Ing.:</t>
        </r>
        <r>
          <rPr>
            <sz val="9"/>
            <color indexed="81"/>
            <rFont val="Tahoma"/>
            <family val="2"/>
            <charset val="238"/>
          </rPr>
          <t xml:space="preserve">
MŠ Zámecká II. etapa, oprava památek
</t>
        </r>
      </text>
    </comment>
    <comment ref="J22" authorId="0" shapeId="0">
      <text>
        <r>
          <rPr>
            <b/>
            <sz val="9"/>
            <color indexed="81"/>
            <rFont val="Tahoma"/>
            <charset val="1"/>
          </rPr>
          <t>Trojanová Hana, Ing.:</t>
        </r>
        <r>
          <rPr>
            <sz val="9"/>
            <color indexed="81"/>
            <rFont val="Tahoma"/>
            <charset val="1"/>
          </rPr>
          <t xml:space="preserve">
výdaj na DPPO mimořádně o 4,5 mil vyšší prodej akcií</t>
        </r>
      </text>
    </comment>
    <comment ref="K22" authorId="0" shapeId="0">
      <text>
        <r>
          <rPr>
            <b/>
            <sz val="9"/>
            <color indexed="81"/>
            <rFont val="Tahoma"/>
            <charset val="1"/>
          </rPr>
          <t>Trojanová Hana, Ing.:</t>
        </r>
        <r>
          <rPr>
            <sz val="9"/>
            <color indexed="81"/>
            <rFont val="Tahoma"/>
            <charset val="1"/>
          </rPr>
          <t xml:space="preserve">
pro výpočet % snížen R22 o 4,5 mil vyšší prodej akcií
</t>
        </r>
      </text>
    </comment>
    <comment ref="L22" authorId="0" shapeId="0">
      <text>
        <r>
          <rPr>
            <b/>
            <sz val="9"/>
            <color indexed="81"/>
            <rFont val="Tahoma"/>
            <charset val="1"/>
          </rPr>
          <t>Trojanová Hana, Ing.:</t>
        </r>
        <r>
          <rPr>
            <sz val="9"/>
            <color indexed="81"/>
            <rFont val="Tahoma"/>
            <charset val="1"/>
          </rPr>
          <t xml:space="preserve">
základ - rozpočet 2022 očištěn od nárůstu DPPO 2022</t>
        </r>
      </text>
    </comment>
    <comment ref="M22" authorId="0" shapeId="0">
      <text>
        <r>
          <rPr>
            <b/>
            <sz val="9"/>
            <color indexed="81"/>
            <rFont val="Tahoma"/>
            <charset val="1"/>
          </rPr>
          <t>Trojanová Hana, Ing.:</t>
        </r>
        <r>
          <rPr>
            <sz val="9"/>
            <color indexed="81"/>
            <rFont val="Tahoma"/>
            <charset val="1"/>
          </rPr>
          <t xml:space="preserve">
základ - rozpočet 2022 očištěn od nárůstu DPPO 2022</t>
        </r>
      </text>
    </comment>
    <comment ref="J23" authorId="0" shapeId="0">
      <text>
        <r>
          <rPr>
            <b/>
            <sz val="9"/>
            <color indexed="81"/>
            <rFont val="Tahoma"/>
            <family val="2"/>
            <charset val="238"/>
          </rPr>
          <t>Trojanová Hana, Ing.:</t>
        </r>
        <r>
          <rPr>
            <sz val="9"/>
            <color indexed="81"/>
            <rFont val="Tahoma"/>
            <family val="2"/>
            <charset val="238"/>
          </rPr>
          <t xml:space="preserve">
z toho 13308 příplatek mimo z.k. pro MMN</t>
        </r>
      </text>
    </comment>
    <comment ref="D24" authorId="1" shapeId="0">
      <text>
        <r>
          <rPr>
            <b/>
            <sz val="9"/>
            <color indexed="81"/>
            <rFont val="Tahoma"/>
            <family val="2"/>
            <charset val="238"/>
          </rPr>
          <t>Kynčlová Miroslava, Ing.:</t>
        </r>
        <r>
          <rPr>
            <sz val="9"/>
            <color indexed="81"/>
            <rFont val="Tahoma"/>
            <family val="2"/>
            <charset val="238"/>
          </rPr>
          <t xml:space="preserve">
232 doplatek chodník Čsl. Legií
1340 dotace na multimediální učebnu ZŠ I
4791 ZŠ Harracha projekt IROP
3057 obnova zahradního domku
147 sociální byty
1798 nákladní vozidlo komunální služby
6605 reko čp. 64 sociální služby
</t>
        </r>
      </text>
    </comment>
    <comment ref="F24" authorId="1" shapeId="0">
      <text>
        <r>
          <rPr>
            <b/>
            <sz val="9"/>
            <color indexed="81"/>
            <rFont val="Tahoma"/>
            <family val="2"/>
            <charset val="238"/>
          </rPr>
          <t>Trojanová Hana:</t>
        </r>
        <r>
          <rPr>
            <sz val="9"/>
            <color indexed="81"/>
            <rFont val="Tahoma"/>
            <family val="2"/>
            <charset val="238"/>
          </rPr>
          <t xml:space="preserve">
74 obnova retenční nádrže nad školou
116 rybník U Polesí
9765 ZŠ Harracha IROP
3628 sociální byty</t>
        </r>
      </text>
    </comment>
    <comment ref="H24" authorId="1" shapeId="0">
      <text>
        <r>
          <rPr>
            <b/>
            <sz val="9"/>
            <color indexed="81"/>
            <rFont val="Tahoma"/>
            <family val="2"/>
            <charset val="238"/>
          </rPr>
          <t xml:space="preserve">Trojanová Hana:
</t>
        </r>
        <r>
          <rPr>
            <sz val="9"/>
            <color indexed="81"/>
            <rFont val="Tahoma"/>
            <family val="2"/>
            <charset val="238"/>
          </rPr>
          <t>887 obnova retenční nádrže nad školou
753 cyklostezky projekce
927 sociální byty
393 modernizace zařízení pro komunální odpady
2500 pozemek pro HTS LK</t>
        </r>
      </text>
    </comment>
    <comment ref="J24" authorId="0" shapeId="0">
      <text>
        <r>
          <rPr>
            <b/>
            <sz val="9"/>
            <color indexed="81"/>
            <rFont val="Tahoma"/>
            <family val="2"/>
            <charset val="238"/>
          </rPr>
          <t>Trojanová Hana, Ing.:</t>
        </r>
        <r>
          <rPr>
            <sz val="9"/>
            <color indexed="81"/>
            <rFont val="Tahoma"/>
            <family val="2"/>
            <charset val="238"/>
          </rPr>
          <t xml:space="preserve">
příplatek mimo základní kapitál pro MMN a.s.
</t>
        </r>
      </text>
    </comment>
    <comment ref="L24" authorId="0" shapeId="0">
      <text>
        <r>
          <rPr>
            <b/>
            <sz val="9"/>
            <color indexed="81"/>
            <rFont val="Tahoma"/>
            <family val="2"/>
            <charset val="238"/>
          </rPr>
          <t>Trojanová Hana, Ing.:</t>
        </r>
        <r>
          <rPr>
            <sz val="9"/>
            <color indexed="81"/>
            <rFont val="Tahoma"/>
            <family val="2"/>
            <charset val="238"/>
          </rPr>
          <t xml:space="preserve">
příplatek mimo základní kapitál pro MMN a.s.
</t>
        </r>
      </text>
    </comment>
    <comment ref="N24" authorId="0" shapeId="0">
      <text>
        <r>
          <rPr>
            <b/>
            <sz val="9"/>
            <color indexed="81"/>
            <rFont val="Tahoma"/>
            <family val="2"/>
            <charset val="238"/>
          </rPr>
          <t>Trojanová Hana, Ing.:</t>
        </r>
        <r>
          <rPr>
            <sz val="9"/>
            <color indexed="81"/>
            <rFont val="Tahoma"/>
            <family val="2"/>
            <charset val="238"/>
          </rPr>
          <t xml:space="preserve">
příplatek mimo základní kapitál pro MMN a.s.
</t>
        </r>
      </text>
    </comment>
    <comment ref="P24" authorId="0" shapeId="0">
      <text>
        <r>
          <rPr>
            <b/>
            <sz val="9"/>
            <color indexed="81"/>
            <rFont val="Tahoma"/>
            <family val="2"/>
            <charset val="238"/>
          </rPr>
          <t>Trojanová Hana, Ing.:</t>
        </r>
        <r>
          <rPr>
            <sz val="9"/>
            <color indexed="81"/>
            <rFont val="Tahoma"/>
            <family val="2"/>
            <charset val="238"/>
          </rPr>
          <t xml:space="preserve">
příplatek mimo základní kapitál pro MMN a.s.
</t>
        </r>
      </text>
    </comment>
    <comment ref="R24" authorId="0" shapeId="0">
      <text>
        <r>
          <rPr>
            <b/>
            <sz val="9"/>
            <color indexed="81"/>
            <rFont val="Tahoma"/>
            <family val="2"/>
            <charset val="238"/>
          </rPr>
          <t>Trojanová Hana, Ing.:</t>
        </r>
        <r>
          <rPr>
            <sz val="9"/>
            <color indexed="81"/>
            <rFont val="Tahoma"/>
            <family val="2"/>
            <charset val="238"/>
          </rPr>
          <t xml:space="preserve">
příplatek mimo základní kapitál pro MMN a.s.
</t>
        </r>
      </text>
    </comment>
    <comment ref="L35" authorId="0" shapeId="0">
      <text>
        <r>
          <rPr>
            <b/>
            <sz val="9"/>
            <color indexed="81"/>
            <rFont val="Tahoma"/>
            <family val="2"/>
            <charset val="238"/>
          </rPr>
          <t>Trojanová Hana, Ing.:</t>
        </r>
        <r>
          <rPr>
            <sz val="9"/>
            <color indexed="81"/>
            <rFont val="Tahoma"/>
            <family val="2"/>
            <charset val="238"/>
          </rPr>
          <t xml:space="preserve">
zůstatek přebytku z roku 2021</t>
        </r>
      </text>
    </comment>
    <comment ref="V38" authorId="1" shapeId="0">
      <text>
        <r>
          <rPr>
            <b/>
            <sz val="9"/>
            <color indexed="81"/>
            <rFont val="Tahoma"/>
            <family val="2"/>
            <charset val="238"/>
          </rPr>
          <t>Hana Trojanová, Ing.:</t>
        </r>
        <r>
          <rPr>
            <sz val="9"/>
            <color indexed="81"/>
            <rFont val="Tahoma"/>
            <family val="2"/>
            <charset val="238"/>
          </rPr>
          <t xml:space="preserve">
1798 nákladní vozidlo
</t>
        </r>
      </text>
    </comment>
    <comment ref="W38" authorId="0" shapeId="0">
      <text>
        <r>
          <rPr>
            <b/>
            <sz val="9"/>
            <color indexed="81"/>
            <rFont val="Tahoma"/>
            <family val="2"/>
            <charset val="238"/>
          </rPr>
          <t>Trojanová Hana, Ing.:</t>
        </r>
        <r>
          <rPr>
            <sz val="9"/>
            <color indexed="81"/>
            <rFont val="Tahoma"/>
            <family val="2"/>
            <charset val="238"/>
          </rPr>
          <t xml:space="preserve">
116 rybník u Polesí
</t>
        </r>
      </text>
    </comment>
    <comment ref="X38" authorId="1" shapeId="0">
      <text>
        <r>
          <rPr>
            <b/>
            <sz val="9"/>
            <color indexed="81"/>
            <rFont val="Tahoma"/>
            <family val="2"/>
            <charset val="238"/>
          </rPr>
          <t>Kynčlová Miroslava, Ing.:</t>
        </r>
        <r>
          <rPr>
            <sz val="9"/>
            <color indexed="81"/>
            <rFont val="Tahoma"/>
            <family val="2"/>
            <charset val="238"/>
          </rPr>
          <t xml:space="preserve">
300 modernizace pro sběr komunálních odpadů</t>
        </r>
      </text>
    </comment>
    <comment ref="Y38" authorId="0" shapeId="0">
      <text>
        <r>
          <rPr>
            <b/>
            <sz val="9"/>
            <color indexed="81"/>
            <rFont val="Tahoma"/>
            <family val="2"/>
            <charset val="238"/>
          </rPr>
          <t>Trojanová Hana, Ing.:</t>
        </r>
        <r>
          <rPr>
            <sz val="9"/>
            <color indexed="81"/>
            <rFont val="Tahoma"/>
            <family val="2"/>
            <charset val="238"/>
          </rPr>
          <t xml:space="preserve">
710 elektromobil PS
</t>
        </r>
      </text>
    </comment>
    <comment ref="Y45" authorId="0" shapeId="0">
      <text>
        <r>
          <rPr>
            <b/>
            <sz val="9"/>
            <color indexed="81"/>
            <rFont val="Tahoma"/>
            <family val="2"/>
            <charset val="238"/>
          </rPr>
          <t>Trojanová Hana, Ing.:</t>
        </r>
        <r>
          <rPr>
            <sz val="9"/>
            <color indexed="81"/>
            <rFont val="Tahoma"/>
            <family val="2"/>
            <charset val="238"/>
          </rPr>
          <t xml:space="preserve">
450 osobní automobil
195 webové stránky
</t>
        </r>
      </text>
    </comment>
    <comment ref="X48" authorId="0" shapeId="0">
      <text>
        <r>
          <rPr>
            <b/>
            <sz val="9"/>
            <color indexed="81"/>
            <rFont val="Tahoma"/>
            <family val="2"/>
            <charset val="238"/>
          </rPr>
          <t>Trojanová Hana, Ing.:</t>
        </r>
        <r>
          <rPr>
            <sz val="9"/>
            <color indexed="81"/>
            <rFont val="Tahoma"/>
            <family val="2"/>
            <charset val="238"/>
          </rPr>
          <t xml:space="preserve">
nákup pozemku pro HTS LK a následný prodej HZS</t>
        </r>
      </text>
    </comment>
    <comment ref="Y51" authorId="0" shapeId="0">
      <text>
        <r>
          <rPr>
            <b/>
            <sz val="9"/>
            <color indexed="81"/>
            <rFont val="Tahoma"/>
            <family val="2"/>
            <charset val="238"/>
          </rPr>
          <t>Trojanová Hana, Ing.:</t>
        </r>
        <r>
          <rPr>
            <sz val="9"/>
            <color indexed="81"/>
            <rFont val="Tahoma"/>
            <family val="2"/>
            <charset val="238"/>
          </rPr>
          <t xml:space="preserve">
+2500 neinvestiční část</t>
        </r>
      </text>
    </comment>
    <comment ref="U56" authorId="0" shapeId="0">
      <text>
        <r>
          <rPr>
            <b/>
            <sz val="9"/>
            <color indexed="81"/>
            <rFont val="Tahoma"/>
            <family val="2"/>
            <charset val="238"/>
          </rPr>
          <t>Trojanová Hana, Ing.:</t>
        </r>
        <r>
          <rPr>
            <sz val="9"/>
            <color indexed="81"/>
            <rFont val="Tahoma"/>
            <family val="2"/>
            <charset val="238"/>
          </rPr>
          <t xml:space="preserve">
prodej akcií LK roční splátky městu Jilemnice ve výši 12337tis Kč, smlouva o dobrovolném příplatku MMN 13309</t>
        </r>
      </text>
    </comment>
    <comment ref="V62" authorId="1" shapeId="0">
      <text>
        <r>
          <rPr>
            <sz val="9"/>
            <color indexed="81"/>
            <rFont val="Tahoma"/>
            <family val="2"/>
            <charset val="238"/>
          </rPr>
          <t xml:space="preserve">
401 vozidlo městské lesy
162 parkovací automat
265 investiční dotace spolku
162 požární ochrana
249 VO
</t>
        </r>
      </text>
    </comment>
    <comment ref="W62" authorId="1" shapeId="0">
      <text>
        <r>
          <rPr>
            <sz val="9"/>
            <color indexed="81"/>
            <rFont val="Tahoma"/>
            <family val="2"/>
            <charset val="238"/>
          </rPr>
          <t xml:space="preserve">
216 požární ochrana
67 knihovna
50 pohřebnictví
231
</t>
        </r>
      </text>
    </comment>
    <comment ref="X62" authorId="1" shapeId="0">
      <text>
        <r>
          <rPr>
            <sz val="9"/>
            <color indexed="81"/>
            <rFont val="Tahoma"/>
            <family val="2"/>
            <charset val="238"/>
          </rPr>
          <t xml:space="preserve">
58 rybník nerealizuje se
88 obnova památek
400 rekonstrukce kiosek
175 kompostárna
97 DHM kopírka</t>
        </r>
      </text>
    </comment>
    <comment ref="Y62" authorId="0" shapeId="0">
      <text>
        <r>
          <rPr>
            <b/>
            <sz val="9"/>
            <color indexed="81"/>
            <rFont val="Tahoma"/>
            <family val="2"/>
            <charset val="238"/>
          </rPr>
          <t>Trojanová Hana, Ing.:</t>
        </r>
        <r>
          <rPr>
            <sz val="9"/>
            <color indexed="81"/>
            <rFont val="Tahoma"/>
            <family val="2"/>
            <charset val="238"/>
          </rPr>
          <t xml:space="preserve">
105 lesní hospodářství
1417 radarový systém
135 Scolarest studie
250 výsuvné zábrany
</t>
        </r>
      </text>
    </comment>
  </commentList>
</comments>
</file>

<file path=xl/sharedStrings.xml><?xml version="1.0" encoding="utf-8"?>
<sst xmlns="http://schemas.openxmlformats.org/spreadsheetml/2006/main" count="175" uniqueCount="149">
  <si>
    <t>2019</t>
  </si>
  <si>
    <t>2020</t>
  </si>
  <si>
    <t>2021</t>
  </si>
  <si>
    <t>R 2022</t>
  </si>
  <si>
    <t>skutečnost</t>
  </si>
  <si>
    <t>POLOŽKA</t>
  </si>
  <si>
    <t>skutečnost 19</t>
  </si>
  <si>
    <t>%19/18</t>
  </si>
  <si>
    <t>skutečnost 20</t>
  </si>
  <si>
    <t>%20/19</t>
  </si>
  <si>
    <t>skutečnost 21</t>
  </si>
  <si>
    <t>%21/20</t>
  </si>
  <si>
    <t>%22/21</t>
  </si>
  <si>
    <t>výhled 23</t>
  </si>
  <si>
    <t>výhled 24</t>
  </si>
  <si>
    <t>% 24/23</t>
  </si>
  <si>
    <t>výhled 25</t>
  </si>
  <si>
    <t>% 25/24</t>
  </si>
  <si>
    <t>výhled 2026</t>
  </si>
  <si>
    <t>%26/25</t>
  </si>
  <si>
    <t>celkem</t>
  </si>
  <si>
    <t>Příjmy</t>
  </si>
  <si>
    <t>Chodník Čsl. Legií</t>
  </si>
  <si>
    <t>ZŠ I multimediální učebna</t>
  </si>
  <si>
    <t>Daňové příjmy</t>
  </si>
  <si>
    <t>Rekonstrukce čp. 64 sociální služby</t>
  </si>
  <si>
    <t>Nedaňové příjmy</t>
  </si>
  <si>
    <t>ZŠ Harracha IROP</t>
  </si>
  <si>
    <t>Kapitálové příjmy</t>
  </si>
  <si>
    <t>Sociální byty</t>
  </si>
  <si>
    <t>Přijaté dotace celkem</t>
  </si>
  <si>
    <t>Nákup pozemku pro HTS LK</t>
  </si>
  <si>
    <t xml:space="preserve">z toho: </t>
  </si>
  <si>
    <t>Cyklostezka</t>
  </si>
  <si>
    <t>Obnova retenční nádrže nad školou</t>
  </si>
  <si>
    <t xml:space="preserve">           kapitálové dotace</t>
  </si>
  <si>
    <t>Veřejné osvětlení - projekt úspory el.energie</t>
  </si>
  <si>
    <t xml:space="preserve">           ostatní dotace</t>
  </si>
  <si>
    <t>Vzduchotechnika + fotovoltaika - školka, Scolarest</t>
  </si>
  <si>
    <t>Příjmy celkem</t>
  </si>
  <si>
    <t>Výdaje</t>
  </si>
  <si>
    <t>Ostatní</t>
  </si>
  <si>
    <t>Běžné výdaje</t>
  </si>
  <si>
    <t>Kap. výdaje z dotací a vlastních zdrojů</t>
  </si>
  <si>
    <t>z toho:      dotace pro třetí subjekty</t>
  </si>
  <si>
    <t>neinv. projekty z dotací</t>
  </si>
  <si>
    <t>výdaje na velké opravy</t>
  </si>
  <si>
    <t>Kapitálové výdaje</t>
  </si>
  <si>
    <t>Obnova zahradního domku</t>
  </si>
  <si>
    <t xml:space="preserve">        z vlastních zdrojů </t>
  </si>
  <si>
    <t>Výdaje celkem</t>
  </si>
  <si>
    <t>SALDO (Příjmy-Výdaje)</t>
  </si>
  <si>
    <t>Finacování salda</t>
  </si>
  <si>
    <t>přijaté úvěry</t>
  </si>
  <si>
    <t>splátky dlouh. závazků (EPC)</t>
  </si>
  <si>
    <t>Workoutové hřiště Hraběnka</t>
  </si>
  <si>
    <t>splátky úvěrů a půjček</t>
  </si>
  <si>
    <t>Cyklostezky</t>
  </si>
  <si>
    <t>příjem z FRR/ vratka do FRR</t>
  </si>
  <si>
    <t>zapojení kumul. přebytku z min. roku</t>
  </si>
  <si>
    <t>přebytek(-), ztráta (+)</t>
  </si>
  <si>
    <t>běžné příjmy bez dotací pro 3. osoby</t>
  </si>
  <si>
    <t>běžné výdaje</t>
  </si>
  <si>
    <t>Ulice Žižkova - rekonstrukce</t>
  </si>
  <si>
    <t>% provoz. salda z běžných příjmů</t>
  </si>
  <si>
    <t>Příplatek MZK Sportovní centrum</t>
  </si>
  <si>
    <t xml:space="preserve"> </t>
  </si>
  <si>
    <r>
      <t xml:space="preserve">běžné výdaje </t>
    </r>
    <r>
      <rPr>
        <sz val="9"/>
        <rFont val="Calibri"/>
        <family val="2"/>
        <charset val="238"/>
        <scheme val="minor"/>
      </rPr>
      <t>minus</t>
    </r>
    <r>
      <rPr>
        <sz val="11"/>
        <rFont val="Calibri"/>
        <family val="2"/>
        <charset val="238"/>
        <scheme val="minor"/>
      </rPr>
      <t xml:space="preserve"> velké opravy</t>
    </r>
  </si>
  <si>
    <t>Příprava území k bytové výstavbě - Nouzov</t>
  </si>
  <si>
    <t>Nová parkoviště</t>
  </si>
  <si>
    <t>Místní správa</t>
  </si>
  <si>
    <t>Komunikace, přechod Krkonošská</t>
  </si>
  <si>
    <t>Projekty</t>
  </si>
  <si>
    <t>Pozemky</t>
  </si>
  <si>
    <t>Jilemnicko - svazek investiční příspěvek na překladiště, kompostárna</t>
  </si>
  <si>
    <t>Příprava území k bytové výstavbě - Buben</t>
  </si>
  <si>
    <t xml:space="preserve">MMN,a.s. - příplatek mimo zákl. kapitál </t>
  </si>
  <si>
    <t>Smuteční síň</t>
  </si>
  <si>
    <t>Financování:</t>
  </si>
  <si>
    <t>Kap. výdaje z vlastních zdrojů</t>
  </si>
  <si>
    <r>
      <rPr>
        <b/>
        <sz val="10"/>
        <color theme="4" tint="-0.249977111117893"/>
        <rFont val="Arial CE"/>
        <charset val="238"/>
      </rPr>
      <t xml:space="preserve">Dotace </t>
    </r>
    <r>
      <rPr>
        <b/>
        <sz val="10"/>
        <rFont val="Arial CE"/>
        <charset val="238"/>
      </rPr>
      <t>- na projekty financ. částečně z dotací</t>
    </r>
  </si>
  <si>
    <t>Scolarest - rekonstrukce stravovadla</t>
  </si>
  <si>
    <t>Chodník Roztocká</t>
  </si>
  <si>
    <t>Most u Jarmary (kraj)</t>
  </si>
  <si>
    <t>Kap. výdaje částečně z dotací ROP</t>
  </si>
  <si>
    <t>Rekonstrukce budovy čp. 85, Stravovadlo, horolezecká stěna</t>
  </si>
  <si>
    <t>Rekonstrukce komunikace a kanalizace - Spořilov</t>
  </si>
  <si>
    <t>Rekonstrukce komunikace a kanalizace - Hanče a Vrbaty</t>
  </si>
  <si>
    <t>Rekonstrukce komunikace a kanalizace - Na Drahách</t>
  </si>
  <si>
    <t>Rekonstrukce komunikace a kanalizace - Za Lázněmi</t>
  </si>
  <si>
    <t>ZŠ Komenského - rekonstrukce učeben</t>
  </si>
  <si>
    <t>Podíl kapitálov. výdajů na celkových výdajích</t>
  </si>
  <si>
    <t>1.</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</si>
  <si>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</si>
  <si>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</si>
  <si>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</si>
  <si>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</si>
  <si>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</si>
  <si>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</si>
  <si>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</si>
  <si>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</si>
  <si>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</si>
  <si>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</si>
  <si>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</si>
  <si>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</si>
  <si>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</si>
  <si>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</si>
  <si>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</si>
  <si>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</si>
  <si>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</si>
  <si>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</si>
  <si>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</si>
  <si>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</si>
  <si>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</si>
  <si>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</si>
  <si>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</si>
  <si>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</si>
  <si>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</si>
  <si>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</si>
  <si>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</si>
  <si>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</si>
  <si>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</si>
  <si>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</si>
  <si>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</si>
  <si>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</si>
  <si>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</si>
  <si>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</si>
  <si>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</si>
  <si>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</si>
  <si>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č.ř.</t>
  </si>
  <si>
    <t>Nádž na zachycení dešť.vody Za Lázněmi</t>
  </si>
  <si>
    <t>V předloženém výhledu se zatím nepočítá s přijetím úvěru k financování investičních akcí (ř.27).</t>
  </si>
  <si>
    <t>Splátka projekt EPC, který byl dokončen v roce 2018 splátka úvěru bude probíhat do r. 2026 (ř.28).</t>
  </si>
  <si>
    <t xml:space="preserve">           dotace pro třetí subjekty</t>
  </si>
  <si>
    <t xml:space="preserve">výdaje na provoz        </t>
  </si>
  <si>
    <t>% provoz.salda z běž. příjmů bez velkých oprav</t>
  </si>
  <si>
    <t>z toho: z dotací a projekty ROP/příplatek mimo ZK</t>
  </si>
  <si>
    <t>Důležitý ukazatel hospodaření města je podíl provozního salda na běžných příjmech (ř.36). Obecně je doporučováno, aby neklesl pod 10%. Pro lepší porovnání v jednotlivých letech je doplněn propočet bez zahrnutí velkých oprav do výdajů při výpočtu podílu (ř.38).</t>
  </si>
  <si>
    <t>%23/22</t>
  </si>
  <si>
    <t>Podíl kapitálových výdajů na celkových výdajích se pohyboval v letech 2019 -2021 kolem doporučených 25% (ř.23). Pro výhled 2024-2026 v souvislosti s inflačním vývojem je procento nižší.</t>
  </si>
  <si>
    <t>Kapitálové výdaje z vlastních zdrojů a kapitálové výdaje a příjmy z dotací v letech 2019-2021 a v rámci rozpočtu 2022:</t>
  </si>
  <si>
    <t>Komentář ke střednědobému výhledu rozpočtu:</t>
  </si>
  <si>
    <t>NÁVRH STŘEDNĚDOBÉHO VÝHLEDU ROZPOČTU NA OBDOBÍ 2023-2026</t>
  </si>
  <si>
    <t>Návrh rozpočtového výhledu vychází  z porovnání skutečností z předchozích let 2019-2021, schváleného rozpočtu na rok 2022 a predikce příjmů a výdajů v základním členění. Dále z makroekonomické predikce MFČR (predikce duben 2022).</t>
  </si>
  <si>
    <t>Návrh výhledu kapitálových příjmů zahrnuje v letech 2023-2026 splátku z prodeje akcií MMN na LK (Liberecký kraj) 12.337 tis Kč ročně, výhled kapitálových výdajů pak příplatek mimo základní kapitál od města do MMN a.s. 13.309 tis. Kč ročně. Další kapitálové příjmy města se předpokládájí z prodeje bytů, budov či pozemků.</t>
  </si>
  <si>
    <t>Střednědobý výhled na rok 2023 vychází z rozpočtu na rok 2022 v uvedeném procent. zvýšení. U daňových příjmů a provozních výdajů zvýšení o 4,4 % (bez zahrnutí mimořádné daně DPPO v roce 2022 jak u příjmů, tak u výdajů), u nedaňových příjmů v souvislosti s inflací navýšení o 10%. Ve výhledu na rok 2024  je predikce u daňových příjmů a provozních výdajů zvýšení o 2 %, u nedaňových příjmů o 5 %, stejně tak u ostatních dotací, kde je zohledněn předpoklad navýšení souhrnné neinvestiční dotace na státní správu.  Výhledy na roky  2025, 2026 vychází vždy z výhledu předchozího roku s mírným procentním navýšením.</t>
  </si>
  <si>
    <t>Splátka úvěru k předfinancování projektu IROP (ZŠ Harracha) splaceno v roce 2022 (ř.29).</t>
  </si>
  <si>
    <t>V elektronické podobě vyvěšeno od: 3. 5. 2022</t>
  </si>
  <si>
    <t>V rámci investičních projektů při zapojení výdajů ve výši cca 16 mil ročně a případném navýšení o přebytky hospodaření minulých let bude pokračovat rekonstrukce komunikací a kanalizací v ulicích Na Drahách, Za Lázněmi, výstavba cyklostezek, vnitřní rekonstrukce stravovadla. Projekčně se připravuje dotační projekt IROP na ZŠ Komenského, pracuje se na přípravě území k bytové výstavbě - Buben, projektu úspory el.energie u veřejného osvětlení, projektech vzduchotechniky a fotovoltaiky na budovách škol apod. (ř.21).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</si>
</sst>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charset val="238"/>
      <scheme val="minor"/>
    </font>
    <font>
      <sz val="11"/>
      <color theme="1"/>
      <name val="Calibri"/>
      <family val="2"/>
      <charset val="238"/>
      <scheme val="minor"/>
    </font>
    <font>
      <sz val="10"/>
      <name val="Arial CE"/>
      <family val="2"/>
      <charset val="238"/>
    </font>
    <font>
      <sz val="10"/>
      <color theme="1"/>
      <name val="Calibri"/>
      <family val="2"/>
      <charset val="238"/>
      <scheme val="minor"/>
    </font>
    <font>
      <b/>
      <sz val="13"/>
      <name val="Arial CE"/>
      <charset val="238"/>
    </font>
    <font>
      <b/>
      <sz val="10"/>
      <name val="Arial CE"/>
      <charset val="238"/>
    </font>
    <font>
      <b/>
      <sz val="8"/>
      <name val="Arial CE"/>
      <charset val="238"/>
    </font>
    <font>
      <sz val="8"/>
      <name val="Arial CE"/>
      <family val="2"/>
      <charset val="238"/>
    </font>
    <font>
      <sz val="7"/>
      <name val="Arial CE"/>
      <family val="2"/>
      <charset val="238"/>
    </font>
    <font>
      <sz val="11"/>
      <name val="Calibri"/>
      <family val="2"/>
      <charset val="238"/>
      <scheme val="minor"/>
    </font>
    <font>
      <b/>
      <sz val="11"/>
      <name val="Arial CE"/>
      <charset val="238"/>
    </font>
    <font>
      <b/>
      <u/>
      <sz val="10"/>
      <name val="Arial CE"/>
      <family val="2"/>
      <charset val="238"/>
    </font>
    <font>
      <sz val="10"/>
      <name val="Calibri"/>
      <family val="2"/>
      <charset val="238"/>
      <scheme val="minor"/>
    </font>
    <font>
      <b/>
      <sz val="10"/>
      <name val="Arial CE"/>
      <family val="2"/>
      <charset val="238"/>
    </font>
    <font>
      <b/>
      <sz val="8"/>
      <name val="Arial CE"/>
      <family val="2"/>
      <charset val="238"/>
    </font>
    <font>
      <sz val="10"/>
      <name val="Arial CE"/>
    </font>
    <font>
      <sz val="10"/>
      <name val="Arial CE"/>
      <charset val="238"/>
    </font>
    <font>
      <b/>
      <i/>
      <sz val="10"/>
      <name val="Arial CE"/>
      <charset val="238"/>
    </font>
    <font>
      <b/>
      <sz val="11"/>
      <name val="Calibri"/>
      <family val="2"/>
      <charset val="238"/>
      <scheme val="minor"/>
    </font>
    <font>
      <sz val="9"/>
      <name val="Calibri"/>
      <family val="2"/>
      <charset val="238"/>
      <scheme val="minor"/>
    </font>
    <font>
      <b/>
      <sz val="9"/>
      <color indexed="81"/>
      <name val="Tahoma"/>
      <family val="2"/>
      <charset val="238"/>
    </font>
    <font>
      <sz val="9"/>
      <color indexed="81"/>
      <name val="Tahoma"/>
      <family val="2"/>
      <charset val="238"/>
    </font>
    <font>
      <b/>
      <sz val="10"/>
      <color theme="4" tint="-0.249977111117893"/>
      <name val="Arial CE"/>
      <charset val="238"/>
    </font>
    <font>
      <b/>
      <sz val="10"/>
      <name val="Arial CE"/>
    </font>
    <font>
      <b/>
      <sz val="10"/>
      <name val="Ariel CE"/>
      <charset val="238"/>
    </font>
    <font>
      <sz val="10"/>
      <name val="Ariel CE"/>
      <charset val="238"/>
    </font>
    <font>
      <sz val="10"/>
      <color theme="1"/>
      <name val="Ariel CE"/>
      <charset val="238"/>
    </font>
    <font>
      <i/>
      <sz val="10"/>
      <name val="Ariel CE"/>
      <charset val="238"/>
    </font>
    <font>
      <b/>
      <sz val="11"/>
      <color theme="1"/>
      <name val="Calibri"/>
      <family val="2"/>
      <charset val="238"/>
      <scheme val="minor"/>
    </font>
    <font>
      <sz val="9"/>
      <color indexed="81"/>
      <name val="Tahoma"/>
      <charset val="1"/>
    </font>
    <font>
      <b/>
      <sz val="9"/>
      <color indexed="81"/>
      <name val="Tahoma"/>
      <charset val="1"/>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4" tint="0.79998168889431442"/>
        <bgColor indexed="64"/>
      </patternFill>
    </fill>
    <fill>
      <patternFill patternType="solid">
        <fgColor theme="2"/>
        <bgColor indexed="64"/>
      </patternFill>
    </fill>
    <fill>
      <patternFill patternType="solid">
        <fgColor theme="2"/>
        <bgColor theme="9" tint="0.79998168889431442"/>
      </patternFill>
    </fill>
  </fills>
  <borders count="6">
    <border>
      <left/>
      <right/>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hair">
        <color auto="1"/>
      </left>
      <right style="hair">
        <color auto="1"/>
      </right>
      <top style="thin">
        <color theme="9"/>
      </top>
      <bottom style="thin">
        <color theme="9"/>
      </bottom>
      <diagonal/>
    </border>
    <border>
      <left style="hair">
        <color auto="1"/>
      </left>
      <right style="hair">
        <color auto="1"/>
      </right>
      <top style="thin">
        <color theme="9"/>
      </top>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0" borderId="0" xfId="0" applyFont="1" applyBorder="1"/>
    <xf numFmtId="0" fontId="2" fillId="0" borderId="0" xfId="0" applyFont="1" applyFill="1" applyBorder="1"/>
    <xf numFmtId="0" fontId="0" fillId="0" borderId="0" xfId="0" applyFill="1" applyBorder="1"/>
    <xf numFmtId="0" fontId="4" fillId="0" borderId="0" xfId="0" applyFont="1" applyFill="1" applyBorder="1"/>
    <xf numFmtId="0" fontId="5" fillId="0" borderId="0" xfId="0" applyFont="1" applyFill="1" applyBorder="1"/>
    <xf numFmtId="0" fontId="5" fillId="0" borderId="0" xfId="0" applyFont="1" applyFill="1" applyBorder="1" applyAlignment="1">
      <alignment horizontal="center"/>
    </xf>
    <xf numFmtId="0" fontId="6" fillId="0" borderId="0" xfId="0" applyFont="1" applyFill="1" applyBorder="1" applyAlignment="1">
      <alignment horizontal="center"/>
    </xf>
    <xf numFmtId="0" fontId="2" fillId="0" borderId="1" xfId="0" applyFont="1" applyFill="1" applyBorder="1" applyAlignment="1">
      <alignment horizontal="center"/>
    </xf>
    <xf numFmtId="0" fontId="7" fillId="0" borderId="2" xfId="0" applyFont="1" applyFill="1" applyBorder="1" applyAlignment="1">
      <alignment horizontal="center"/>
    </xf>
    <xf numFmtId="0" fontId="8" fillId="0" borderId="2" xfId="0" applyFont="1" applyFill="1" applyBorder="1" applyAlignment="1">
      <alignment horizontal="center"/>
    </xf>
    <xf numFmtId="0" fontId="2" fillId="0" borderId="2" xfId="0" applyFont="1" applyFill="1" applyBorder="1" applyAlignment="1">
      <alignment horizontal="center"/>
    </xf>
    <xf numFmtId="0" fontId="7" fillId="0" borderId="3" xfId="0" applyFont="1" applyFill="1" applyBorder="1" applyAlignment="1">
      <alignment horizontal="center"/>
    </xf>
    <xf numFmtId="0" fontId="9" fillId="0" borderId="0" xfId="0" applyFont="1" applyFill="1" applyBorder="1"/>
    <xf numFmtId="0" fontId="10" fillId="0" borderId="0" xfId="0" applyFont="1" applyFill="1" applyBorder="1"/>
    <xf numFmtId="3" fontId="10" fillId="0" borderId="0" xfId="0" applyNumberFormat="1" applyFont="1" applyFill="1" applyBorder="1"/>
    <xf numFmtId="0" fontId="11" fillId="0" borderId="1" xfId="0" applyFont="1" applyFill="1" applyBorder="1"/>
    <xf numFmtId="0" fontId="2" fillId="0" borderId="2" xfId="0" applyFont="1" applyFill="1" applyBorder="1"/>
    <xf numFmtId="0" fontId="7" fillId="0" borderId="2" xfId="0" applyFont="1" applyFill="1" applyBorder="1"/>
    <xf numFmtId="0" fontId="7" fillId="0" borderId="3" xfId="0" applyFont="1" applyFill="1" applyBorder="1"/>
    <xf numFmtId="3" fontId="2" fillId="0" borderId="0" xfId="0" applyNumberFormat="1" applyFont="1" applyFill="1" applyBorder="1"/>
    <xf numFmtId="0" fontId="2" fillId="0" borderId="1" xfId="0" applyFont="1" applyFill="1" applyBorder="1"/>
    <xf numFmtId="3" fontId="2" fillId="0" borderId="2" xfId="0" applyNumberFormat="1" applyFont="1" applyFill="1" applyBorder="1"/>
    <xf numFmtId="9" fontId="7" fillId="0" borderId="2" xfId="1" applyFont="1" applyFill="1" applyBorder="1"/>
    <xf numFmtId="9" fontId="7" fillId="0" borderId="2" xfId="0" applyNumberFormat="1" applyFont="1" applyFill="1" applyBorder="1"/>
    <xf numFmtId="9" fontId="7" fillId="0" borderId="3" xfId="0" applyNumberFormat="1" applyFont="1" applyFill="1" applyBorder="1"/>
    <xf numFmtId="3" fontId="12" fillId="0" borderId="0" xfId="0" applyNumberFormat="1" applyFont="1" applyFill="1" applyBorder="1"/>
    <xf numFmtId="0" fontId="13" fillId="0" borderId="1" xfId="0" applyFont="1" applyFill="1" applyBorder="1"/>
    <xf numFmtId="3" fontId="13" fillId="0" borderId="2" xfId="0" applyNumberFormat="1" applyFont="1" applyFill="1" applyBorder="1"/>
    <xf numFmtId="9" fontId="14" fillId="0" borderId="2" xfId="0" applyNumberFormat="1" applyFont="1" applyFill="1" applyBorder="1"/>
    <xf numFmtId="9" fontId="14" fillId="0" borderId="3" xfId="0" applyNumberFormat="1" applyFont="1" applyFill="1" applyBorder="1"/>
    <xf numFmtId="0" fontId="9" fillId="0" borderId="1" xfId="0" applyFont="1" applyFill="1" applyBorder="1"/>
    <xf numFmtId="3" fontId="15" fillId="0" borderId="2" xfId="0" applyNumberFormat="1" applyFont="1" applyFill="1" applyBorder="1"/>
    <xf numFmtId="9" fontId="9" fillId="0" borderId="3" xfId="0" applyNumberFormat="1" applyFont="1" applyFill="1" applyBorder="1"/>
    <xf numFmtId="0" fontId="12" fillId="0" borderId="0" xfId="0" applyFont="1" applyFill="1" applyBorder="1"/>
    <xf numFmtId="0" fontId="16" fillId="0" borderId="1" xfId="0" applyFont="1" applyFill="1" applyBorder="1" applyAlignment="1">
      <alignment horizontal="center"/>
    </xf>
    <xf numFmtId="0" fontId="12" fillId="0" borderId="1" xfId="0" applyFont="1" applyFill="1" applyBorder="1" applyAlignment="1">
      <alignment horizontal="center"/>
    </xf>
    <xf numFmtId="3" fontId="17" fillId="0" borderId="0" xfId="0" applyNumberFormat="1" applyFont="1" applyFill="1" applyBorder="1"/>
    <xf numFmtId="0" fontId="16" fillId="0" borderId="0" xfId="0" applyFont="1" applyFill="1" applyBorder="1"/>
    <xf numFmtId="3" fontId="16" fillId="0" borderId="0" xfId="0" applyNumberFormat="1" applyFont="1" applyFill="1" applyBorder="1"/>
    <xf numFmtId="3" fontId="14" fillId="0" borderId="2" xfId="0" applyNumberFormat="1" applyFont="1" applyFill="1" applyBorder="1"/>
    <xf numFmtId="3" fontId="14" fillId="0" borderId="3" xfId="0" applyNumberFormat="1" applyFont="1" applyFill="1" applyBorder="1"/>
    <xf numFmtId="0" fontId="7" fillId="0" borderId="0" xfId="0" applyFont="1" applyFill="1" applyBorder="1"/>
    <xf numFmtId="0" fontId="0" fillId="0" borderId="0" xfId="0" applyFill="1"/>
    <xf numFmtId="3" fontId="7" fillId="0" borderId="2" xfId="0" applyNumberFormat="1" applyFont="1" applyFill="1" applyBorder="1"/>
    <xf numFmtId="3" fontId="7" fillId="0" borderId="3" xfId="0" applyNumberFormat="1" applyFont="1" applyFill="1" applyBorder="1"/>
    <xf numFmtId="0" fontId="7" fillId="0" borderId="1" xfId="0" applyFont="1" applyFill="1" applyBorder="1"/>
    <xf numFmtId="0" fontId="5" fillId="0" borderId="1" xfId="0" applyFont="1" applyFill="1" applyBorder="1"/>
    <xf numFmtId="3" fontId="5" fillId="0" borderId="2" xfId="0" applyNumberFormat="1" applyFont="1" applyFill="1" applyBorder="1"/>
    <xf numFmtId="3" fontId="6" fillId="0" borderId="2" xfId="0" applyNumberFormat="1" applyFont="1" applyFill="1" applyBorder="1"/>
    <xf numFmtId="3" fontId="6" fillId="0" borderId="3" xfId="0" applyNumberFormat="1" applyFont="1" applyFill="1" applyBorder="1"/>
    <xf numFmtId="3" fontId="0" fillId="0" borderId="0" xfId="0" applyNumberFormat="1" applyFill="1"/>
    <xf numFmtId="0" fontId="9" fillId="0" borderId="2" xfId="0" applyFont="1" applyFill="1" applyBorder="1"/>
    <xf numFmtId="0" fontId="9" fillId="0" borderId="3" xfId="0" applyFont="1" applyFill="1" applyBorder="1"/>
    <xf numFmtId="3" fontId="9" fillId="0" borderId="2" xfId="0" applyNumberFormat="1" applyFont="1" applyFill="1" applyBorder="1"/>
    <xf numFmtId="0" fontId="18" fillId="2" borderId="1" xfId="0" applyFont="1" applyFill="1" applyBorder="1"/>
    <xf numFmtId="164" fontId="13" fillId="2" borderId="2" xfId="0" applyNumberFormat="1" applyFont="1" applyFill="1" applyBorder="1"/>
    <xf numFmtId="3" fontId="2" fillId="2" borderId="2" xfId="0" applyNumberFormat="1" applyFont="1" applyFill="1" applyBorder="1"/>
    <xf numFmtId="3" fontId="9" fillId="2" borderId="2" xfId="0" applyNumberFormat="1" applyFont="1" applyFill="1" applyBorder="1"/>
    <xf numFmtId="0" fontId="9" fillId="2" borderId="3" xfId="0" applyFont="1" applyFill="1" applyBorder="1"/>
    <xf numFmtId="0" fontId="9" fillId="0" borderId="0" xfId="0" applyFont="1" applyFill="1" applyBorder="1" applyAlignment="1">
      <alignment wrapText="1"/>
    </xf>
    <xf numFmtId="0" fontId="0" fillId="0" borderId="0" xfId="0" applyAlignment="1">
      <alignment wrapText="1"/>
    </xf>
    <xf numFmtId="164" fontId="9" fillId="2" borderId="3" xfId="0" applyNumberFormat="1" applyFont="1" applyFill="1" applyBorder="1"/>
    <xf numFmtId="0" fontId="16" fillId="0" borderId="0" xfId="0" applyNumberFormat="1" applyFont="1" applyFill="1" applyBorder="1" applyAlignment="1" applyProtection="1"/>
    <xf numFmtId="0" fontId="2" fillId="3" borderId="0" xfId="0" applyFont="1" applyFill="1" applyBorder="1"/>
    <xf numFmtId="0" fontId="3" fillId="0" borderId="0" xfId="0" applyFont="1"/>
    <xf numFmtId="3" fontId="5" fillId="0" borderId="0" xfId="0" applyNumberFormat="1" applyFont="1" applyFill="1" applyBorder="1"/>
    <xf numFmtId="0" fontId="15" fillId="0" borderId="0" xfId="0" applyFont="1" applyFill="1" applyBorder="1"/>
    <xf numFmtId="3" fontId="15" fillId="0" borderId="0" xfId="0" applyNumberFormat="1" applyFont="1" applyFill="1" applyBorder="1"/>
    <xf numFmtId="0" fontId="22" fillId="0" borderId="0" xfId="0" applyFont="1" applyFill="1" applyBorder="1"/>
    <xf numFmtId="0" fontId="15" fillId="0" borderId="0" xfId="0" applyNumberFormat="1" applyFont="1" applyFill="1" applyBorder="1" applyAlignment="1" applyProtection="1"/>
    <xf numFmtId="3" fontId="2" fillId="3" borderId="2" xfId="0" applyNumberFormat="1" applyFont="1" applyFill="1" applyBorder="1"/>
    <xf numFmtId="9" fontId="7" fillId="3" borderId="2" xfId="0" applyNumberFormat="1" applyFont="1" applyFill="1" applyBorder="1"/>
    <xf numFmtId="9" fontId="7" fillId="3" borderId="3" xfId="0" applyNumberFormat="1" applyFont="1" applyFill="1" applyBorder="1"/>
    <xf numFmtId="0" fontId="23" fillId="0" borderId="0" xfId="0" applyFont="1" applyFill="1" applyBorder="1" applyAlignment="1">
      <alignment horizontal="center"/>
    </xf>
    <xf numFmtId="0" fontId="3" fillId="0" borderId="0" xfId="0" applyFont="1" applyFill="1"/>
    <xf numFmtId="3" fontId="2" fillId="4" borderId="2" xfId="0" applyNumberFormat="1" applyFont="1" applyFill="1" applyBorder="1"/>
    <xf numFmtId="0" fontId="13" fillId="0" borderId="4" xfId="0" applyFont="1" applyBorder="1" applyAlignment="1">
      <alignment horizontal="center"/>
    </xf>
    <xf numFmtId="0" fontId="12" fillId="7" borderId="1" xfId="0" applyFont="1" applyFill="1" applyBorder="1"/>
    <xf numFmtId="9" fontId="14" fillId="7" borderId="2" xfId="0" applyNumberFormat="1" applyFont="1" applyFill="1" applyBorder="1"/>
    <xf numFmtId="9" fontId="9" fillId="7" borderId="3" xfId="0" applyNumberFormat="1" applyFont="1" applyFill="1" applyBorder="1"/>
    <xf numFmtId="9" fontId="7" fillId="7" borderId="0" xfId="0" applyNumberFormat="1" applyFont="1" applyFill="1" applyBorder="1"/>
    <xf numFmtId="0" fontId="24" fillId="0" borderId="0" xfId="0" applyFont="1" applyFill="1" applyBorder="1"/>
    <xf numFmtId="0" fontId="25" fillId="0" borderId="0" xfId="0" applyFont="1" applyFill="1" applyBorder="1"/>
    <xf numFmtId="0" fontId="25" fillId="0" borderId="0" xfId="0" applyFont="1" applyBorder="1"/>
    <xf numFmtId="0" fontId="26" fillId="0" borderId="0" xfId="0" applyFont="1" applyFill="1"/>
    <xf numFmtId="0" fontId="26" fillId="0" borderId="0" xfId="0" applyFont="1"/>
    <xf numFmtId="0" fontId="26" fillId="7" borderId="0" xfId="0" applyFont="1" applyFill="1"/>
    <xf numFmtId="9" fontId="7" fillId="6" borderId="2" xfId="0" applyNumberFormat="1" applyFont="1" applyFill="1" applyBorder="1"/>
    <xf numFmtId="9" fontId="7" fillId="6" borderId="3" xfId="0" applyNumberFormat="1" applyFont="1" applyFill="1" applyBorder="1"/>
    <xf numFmtId="3" fontId="15" fillId="3" borderId="2" xfId="0" applyNumberFormat="1" applyFont="1" applyFill="1" applyBorder="1"/>
    <xf numFmtId="0" fontId="27" fillId="0" borderId="0" xfId="0" applyFont="1" applyFill="1" applyBorder="1"/>
    <xf numFmtId="0" fontId="2" fillId="0" borderId="0" xfId="0" applyFont="1" applyBorder="1" applyAlignment="1">
      <alignment horizontal="center"/>
    </xf>
    <xf numFmtId="0" fontId="4" fillId="0" borderId="0" xfId="0" applyFont="1" applyFill="1" applyBorder="1" applyAlignment="1">
      <alignment horizontal="center"/>
    </xf>
    <xf numFmtId="0" fontId="16" fillId="5" borderId="5" xfId="0" applyFont="1" applyFill="1" applyBorder="1" applyAlignment="1">
      <alignment horizontal="center"/>
    </xf>
    <xf numFmtId="0" fontId="2" fillId="0" borderId="2" xfId="0" applyFont="1" applyBorder="1" applyAlignment="1">
      <alignment horizontal="center"/>
    </xf>
    <xf numFmtId="0" fontId="2" fillId="5" borderId="2" xfId="0" applyFont="1" applyFill="1" applyBorder="1" applyAlignment="1">
      <alignment horizontal="center"/>
    </xf>
    <xf numFmtId="0" fontId="2" fillId="8" borderId="2" xfId="0" applyFont="1" applyFill="1" applyBorder="1" applyAlignment="1">
      <alignment horizontal="center"/>
    </xf>
    <xf numFmtId="0" fontId="2" fillId="7" borderId="2" xfId="0" applyFont="1" applyFill="1" applyBorder="1" applyAlignment="1">
      <alignment horizontal="center"/>
    </xf>
    <xf numFmtId="0" fontId="9"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Alignment="1">
      <alignment horizontal="center"/>
    </xf>
    <xf numFmtId="0" fontId="0" fillId="0" borderId="0" xfId="0" applyFill="1" applyAlignment="1">
      <alignment horizontal="center"/>
    </xf>
    <xf numFmtId="0" fontId="18" fillId="0" borderId="0" xfId="0" applyFont="1" applyFill="1" applyBorder="1" applyAlignment="1">
      <alignment horizontal="center"/>
    </xf>
    <xf numFmtId="0" fontId="28" fillId="0" borderId="0" xfId="0" applyFont="1"/>
    <xf numFmtId="0" fontId="25" fillId="0" borderId="0" xfId="0" applyFont="1" applyFill="1" applyBorder="1" applyAlignment="1">
      <alignment wrapText="1"/>
    </xf>
    <xf numFmtId="0" fontId="0" fillId="0" borderId="0" xfId="0" applyAlignment="1">
      <alignment wrapText="1"/>
    </xf>
    <xf numFmtId="0" fontId="25" fillId="7" borderId="0" xfId="0" applyFont="1" applyFill="1" applyBorder="1" applyAlignment="1">
      <alignment wrapText="1"/>
    </xf>
    <xf numFmtId="0" fontId="25" fillId="4" borderId="0" xfId="0" applyFont="1" applyFill="1" applyBorder="1" applyAlignment="1">
      <alignment wrapText="1"/>
    </xf>
    <xf numFmtId="0" fontId="25" fillId="6" borderId="0" xfId="0" applyFont="1" applyFill="1" applyBorder="1" applyAlignment="1">
      <alignment wrapText="1"/>
    </xf>
  </cellXfs>
  <cellStyles count="2">
    <cellStyle name="Normální" xfId="0" builtinId="0"/>
    <cellStyle name="Procenta" xfId="1" builtinId="5"/>
  </cellStyles>
  <dxfs count="33">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hair">
          <color auto="1"/>
        </left>
        <right/>
        <top/>
        <bottom/>
        <vertical style="hair">
          <color auto="1"/>
        </vertical>
        <horizontal/>
      </border>
    </dxf>
    <dxf>
      <font>
        <b val="0"/>
        <i val="0"/>
        <strike val="0"/>
        <condense val="0"/>
        <extend val="0"/>
        <outline val="0"/>
        <shadow val="0"/>
        <u val="none"/>
        <vertAlign val="baseline"/>
        <sz val="10"/>
        <color auto="1"/>
        <name val="Arial CE"/>
        <scheme val="none"/>
      </font>
      <numFmt numFmtId="3" formatCode="#,##0"/>
      <fill>
        <patternFill patternType="none">
          <fgColor indexed="64"/>
          <bgColor indexed="65"/>
        </patternFill>
      </fill>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0"/>
        <color auto="1"/>
        <name val="Arial CE"/>
        <scheme val="none"/>
      </font>
      <numFmt numFmtId="3" formatCode="#,##0"/>
      <fill>
        <patternFill patternType="none">
          <fgColor indexed="64"/>
          <bgColor indexed="65"/>
        </patternFill>
      </fill>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0"/>
        <color auto="1"/>
        <name val="Arial CE"/>
        <scheme val="none"/>
      </font>
      <numFmt numFmtId="3" formatCode="#,##0"/>
      <fill>
        <patternFill patternType="none">
          <fgColor indexed="64"/>
          <bgColor indexed="65"/>
        </patternFill>
      </fill>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0"/>
        <color auto="1"/>
        <name val="Arial CE"/>
        <scheme val="none"/>
      </font>
      <numFmt numFmtId="3" formatCode="#,##0"/>
      <fill>
        <patternFill patternType="none">
          <fgColor indexed="64"/>
          <bgColor indexed="65"/>
        </patternFill>
      </fill>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style="hair">
          <color auto="1"/>
        </right>
        <top/>
        <bottom/>
        <vertical style="hair">
          <color auto="1"/>
        </vertical>
        <horizontal/>
      </border>
    </dxf>
    <dxf>
      <border diagonalUp="0" diagonalDown="0">
        <left style="hair">
          <color auto="1"/>
        </left>
        <right style="hair">
          <color auto="1"/>
        </right>
        <top/>
        <bottom/>
      </border>
    </dxf>
    <dxf>
      <font>
        <b val="0"/>
        <i val="0"/>
        <strike val="0"/>
        <condense val="0"/>
        <extend val="0"/>
        <outline val="0"/>
        <shadow val="0"/>
        <u val="none"/>
        <vertAlign val="baseline"/>
        <sz val="8"/>
        <color auto="1"/>
        <name val="Arial CE"/>
        <scheme val="none"/>
      </font>
      <fill>
        <patternFill patternType="none">
          <fgColor indexed="64"/>
          <bgColor indexed="65"/>
        </patternFill>
      </fill>
      <alignment horizontal="center" vertical="bottom" textRotation="0" wrapText="0" indent="0" justifyLastLine="0" shrinkToFit="0" readingOrder="0"/>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rgb="FF000000"/>
          <bgColor rgb="FFFFFFFF"/>
        </patternFill>
      </fill>
    </dxf>
    <dxf>
      <font>
        <b/>
        <i val="0"/>
        <strike val="0"/>
        <condense val="0"/>
        <extend val="0"/>
        <outline val="0"/>
        <shadow val="0"/>
        <u val="none"/>
        <vertAlign val="baseline"/>
        <sz val="10"/>
        <color auto="1"/>
        <name val="Arial CE"/>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0"/>
        <color auto="1"/>
        <name val="Arial CE"/>
        <scheme val="none"/>
      </font>
      <fill>
        <patternFill patternType="none">
          <fgColor rgb="FF000000"/>
          <bgColor rgb="FFFFFFFF"/>
        </patternFill>
      </fill>
    </dxf>
    <dxf>
      <font>
        <b/>
        <i val="0"/>
        <strike val="0"/>
        <condense val="0"/>
        <extend val="0"/>
        <outline val="0"/>
        <shadow val="0"/>
        <u val="none"/>
        <vertAlign val="baseline"/>
        <sz val="10"/>
        <color auto="1"/>
        <name val="Arial CE"/>
        <scheme val="none"/>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5" name="Tabulka16" displayName="Tabulka16" ref="U4:Y18" totalsRowShown="0" headerRowDxfId="32" dataDxfId="31">
  <tableColumns count="5">
    <tableColumn id="1" name="Dotace - na projekty financ. částečně z dotací" dataDxfId="30"/>
    <tableColumn id="2" name="2019" dataDxfId="29"/>
    <tableColumn id="3" name="2020" dataDxfId="28"/>
    <tableColumn id="4" name="2021" dataDxfId="27"/>
    <tableColumn id="5" name="R 2022" dataDxfId="26"/>
  </tableColumns>
  <tableStyleInfo name="TableStyleLight7" showFirstColumn="0" showLastColumn="0" showRowStripes="1" showColumnStripes="0"/>
</table>
</file>

<file path=xl/tables/table2.xml><?xml version="1.0" encoding="utf-8"?>
<table xmlns="http://schemas.openxmlformats.org/spreadsheetml/2006/main" id="6" name="Tabulka37" displayName="Tabulka37" ref="U20:Y62" totalsRowShown="0" headerRowDxfId="25" dataDxfId="24">
  <tableColumns count="5">
    <tableColumn id="1" name="Kap. výdaje z dotací a vlastních zdrojů" dataDxfId="23"/>
    <tableColumn id="2" name="2019" dataDxfId="22"/>
    <tableColumn id="3" name="2020" dataDxfId="21"/>
    <tableColumn id="4" name="2021" dataDxfId="20"/>
    <tableColumn id="5" name="R 2022" dataDxfId="19"/>
  </tableColumns>
  <tableStyleInfo name="TableStyleLight7" showFirstColumn="0" showLastColumn="0" showRowStripes="1" showColumnStripes="0"/>
</table>
</file>

<file path=xl/tables/table3.xml><?xml version="1.0" encoding="utf-8"?>
<table xmlns="http://schemas.openxmlformats.org/spreadsheetml/2006/main" id="7" name="Tabulka58" displayName="Tabulka58" ref="C4:S42" totalsRowShown="0" headerRowDxfId="18" tableBorderDxfId="17">
  <tableColumns count="17">
    <tableColumn id="1" name="POLOŽKA" dataDxfId="16"/>
    <tableColumn id="2" name="skutečnost 19" dataDxfId="15"/>
    <tableColumn id="3" name="%19/18" dataDxfId="14"/>
    <tableColumn id="4" name="skutečnost 20" dataDxfId="13"/>
    <tableColumn id="5" name="%20/19" dataDxfId="12"/>
    <tableColumn id="6" name="skutečnost 21" dataDxfId="11"/>
    <tableColumn id="7" name="%21/20" dataDxfId="10"/>
    <tableColumn id="8" name="R 2022" dataDxfId="9"/>
    <tableColumn id="9" name="%22/21" dataDxfId="8"/>
    <tableColumn id="10" name="výhled 23" dataDxfId="7"/>
    <tableColumn id="11" name="%23/22" dataDxfId="6"/>
    <tableColumn id="12" name="výhled 24" dataDxfId="5"/>
    <tableColumn id="13" name="% 24/23" dataDxfId="4"/>
    <tableColumn id="14" name="výhled 25" dataDxfId="3"/>
    <tableColumn id="15" name="% 25/24" dataDxfId="2"/>
    <tableColumn id="16" name="výhled 2026" dataDxfId="1"/>
    <tableColumn id="17" name="%26/25" dataDxfId="0"/>
  </tableColumns>
  <tableStyleInfo name="TableStyleLight7"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I80"/>
  <sheetViews>
    <sheetView showGridLines="0" tabSelected="1" zoomScale="106" zoomScaleNormal="106" workbookViewId="0">
      <selection activeCell="B2" sqref="B2"/>
    </sheetView>
  </sheetViews>
  <sheetFormatPr defaultRowHeight="13.5" customHeight="1"/>
  <cols>
    <col min="2" max="2" width="4" style="101" bestFit="1" customWidth="1"/>
    <col min="3" max="3" width="43.42578125" customWidth="1"/>
    <col min="4" max="4" width="12.28515625" style="2" customWidth="1"/>
    <col min="5" max="5" width="5.42578125" style="2" customWidth="1"/>
    <col min="6" max="6" width="13.28515625" style="2" customWidth="1"/>
    <col min="7" max="7" width="6.140625" style="2" customWidth="1"/>
    <col min="8" max="8" width="13.28515625" style="2" customWidth="1"/>
    <col min="9" max="9" width="6.140625" style="2" customWidth="1"/>
    <col min="10" max="10" width="9.140625" style="2" customWidth="1"/>
    <col min="11" max="11" width="6.140625" style="2" customWidth="1"/>
    <col min="12" max="12" width="8.28515625" style="2" customWidth="1"/>
    <col min="13" max="13" width="6.140625" customWidth="1"/>
    <col min="14" max="14" width="9.28515625" style="2" customWidth="1"/>
    <col min="15" max="15" width="6.5703125" customWidth="1"/>
    <col min="16" max="16" width="10.28515625" style="2" customWidth="1"/>
    <col min="17" max="17" width="6.5703125" customWidth="1"/>
    <col min="18" max="18" width="10.28515625" style="2" customWidth="1"/>
    <col min="19" max="19" width="6.140625" customWidth="1"/>
    <col min="20" max="20" width="10.7109375" customWidth="1"/>
    <col min="21" max="21" width="59.5703125" style="65" customWidth="1"/>
    <col min="22" max="24" width="11.5703125" style="65" customWidth="1"/>
    <col min="25" max="25" width="9.85546875" style="65" customWidth="1"/>
    <col min="26" max="26" width="8.28515625" style="75" customWidth="1"/>
    <col min="27" max="27" width="10.28515625" style="75" customWidth="1"/>
    <col min="28" max="29" width="8.28515625" style="75" customWidth="1"/>
  </cols>
  <sheetData>
    <row r="1" spans="2:32" ht="13.5" customHeight="1">
      <c r="B1" s="92"/>
      <c r="C1" s="1"/>
      <c r="AD1" s="3"/>
      <c r="AE1" s="3"/>
      <c r="AF1" s="3"/>
    </row>
    <row r="2" spans="2:32" ht="20.25" customHeight="1">
      <c r="B2" s="93"/>
      <c r="C2" s="4" t="s">
        <v>142</v>
      </c>
      <c r="U2" s="104" t="s">
        <v>140</v>
      </c>
      <c r="AD2" s="3"/>
      <c r="AE2" s="3"/>
      <c r="AF2" s="3"/>
    </row>
    <row r="3" spans="2:32" ht="13.5" customHeight="1">
      <c r="B3" s="92"/>
      <c r="C3" s="1"/>
      <c r="U3" s="2"/>
      <c r="V3" s="2"/>
      <c r="W3" s="2"/>
      <c r="X3" s="2"/>
      <c r="Y3" s="2"/>
      <c r="Z3" s="6"/>
      <c r="AA3" s="6"/>
      <c r="AB3" s="6"/>
      <c r="AC3" s="6"/>
      <c r="AD3" s="74"/>
      <c r="AE3" s="3"/>
      <c r="AF3" s="3"/>
    </row>
    <row r="4" spans="2:32" ht="13.5" customHeight="1">
      <c r="B4" s="77" t="s">
        <v>129</v>
      </c>
      <c r="C4" s="8" t="s">
        <v>5</v>
      </c>
      <c r="D4" s="9" t="s">
        <v>6</v>
      </c>
      <c r="E4" s="10" t="s">
        <v>7</v>
      </c>
      <c r="F4" s="9" t="s">
        <v>8</v>
      </c>
      <c r="G4" s="9" t="s">
        <v>9</v>
      </c>
      <c r="H4" s="9" t="s">
        <v>10</v>
      </c>
      <c r="I4" s="9" t="s">
        <v>11</v>
      </c>
      <c r="J4" s="11" t="s">
        <v>3</v>
      </c>
      <c r="K4" s="9" t="s">
        <v>12</v>
      </c>
      <c r="L4" s="9" t="s">
        <v>13</v>
      </c>
      <c r="M4" s="9" t="s">
        <v>138</v>
      </c>
      <c r="N4" s="9" t="s">
        <v>14</v>
      </c>
      <c r="O4" s="9" t="s">
        <v>15</v>
      </c>
      <c r="P4" s="9" t="s">
        <v>16</v>
      </c>
      <c r="Q4" s="9" t="s">
        <v>17</v>
      </c>
      <c r="R4" s="9" t="s">
        <v>18</v>
      </c>
      <c r="S4" s="12" t="s">
        <v>19</v>
      </c>
      <c r="U4" s="5" t="s">
        <v>80</v>
      </c>
      <c r="V4" s="6" t="s">
        <v>0</v>
      </c>
      <c r="W4" s="6" t="s">
        <v>1</v>
      </c>
      <c r="X4" s="6" t="s">
        <v>2</v>
      </c>
      <c r="Y4" s="6" t="s">
        <v>3</v>
      </c>
      <c r="Z4" s="7"/>
      <c r="AA4" s="7"/>
      <c r="AB4" s="7"/>
      <c r="AC4" s="7"/>
      <c r="AD4" s="68"/>
      <c r="AE4" s="3"/>
      <c r="AF4" s="3"/>
    </row>
    <row r="5" spans="2:32" ht="13.5" customHeight="1">
      <c r="B5" s="94" t="s">
        <v>92</v>
      </c>
      <c r="C5" s="16" t="s">
        <v>21</v>
      </c>
      <c r="D5" s="17"/>
      <c r="E5" s="18"/>
      <c r="F5" s="17"/>
      <c r="G5" s="18"/>
      <c r="H5" s="17"/>
      <c r="I5" s="18"/>
      <c r="J5" s="17"/>
      <c r="K5" s="18"/>
      <c r="L5" s="17"/>
      <c r="M5" s="18"/>
      <c r="N5" s="17"/>
      <c r="O5" s="18"/>
      <c r="P5" s="17"/>
      <c r="Q5" s="18"/>
      <c r="R5" s="17"/>
      <c r="S5" s="19"/>
      <c r="T5" s="13"/>
      <c r="U5" s="2"/>
      <c r="V5" s="7" t="s">
        <v>4</v>
      </c>
      <c r="W5" s="7" t="s">
        <v>4</v>
      </c>
      <c r="X5" s="7" t="s">
        <v>4</v>
      </c>
      <c r="Y5" s="7"/>
      <c r="Z5" s="15"/>
      <c r="AA5" s="15"/>
      <c r="AB5" s="15"/>
      <c r="AC5" s="15"/>
      <c r="AD5" s="68"/>
      <c r="AE5" s="3"/>
      <c r="AF5" s="3"/>
    </row>
    <row r="6" spans="2:32" ht="13.5" customHeight="1">
      <c r="B6" s="95" t="s">
        <v>94</v>
      </c>
      <c r="C6" s="16"/>
      <c r="D6" s="17"/>
      <c r="E6" s="18"/>
      <c r="F6" s="17"/>
      <c r="G6" s="18"/>
      <c r="H6" s="17"/>
      <c r="I6" s="18"/>
      <c r="J6" s="17"/>
      <c r="K6" s="18"/>
      <c r="L6" s="17"/>
      <c r="M6" s="18"/>
      <c r="N6" s="17"/>
      <c r="O6" s="18"/>
      <c r="P6" s="17"/>
      <c r="Q6" s="18"/>
      <c r="R6" s="17"/>
      <c r="S6" s="19"/>
      <c r="T6" s="13"/>
      <c r="U6" s="14" t="s">
        <v>20</v>
      </c>
      <c r="V6" s="15">
        <f t="shared" ref="V6:Y6" si="0">SUM(V7:V20)</f>
        <v>17401</v>
      </c>
      <c r="W6" s="15">
        <f t="shared" si="0"/>
        <v>5125</v>
      </c>
      <c r="X6" s="15">
        <f t="shared" si="0"/>
        <v>18310</v>
      </c>
      <c r="Y6" s="15">
        <f t="shared" si="0"/>
        <v>0</v>
      </c>
      <c r="Z6" s="20"/>
      <c r="AA6" s="20"/>
      <c r="AB6" s="20"/>
      <c r="AC6" s="20"/>
      <c r="AD6" s="68"/>
      <c r="AE6" s="3"/>
      <c r="AF6" s="3"/>
    </row>
    <row r="7" spans="2:32" ht="13.5" customHeight="1">
      <c r="B7" s="96" t="s">
        <v>93</v>
      </c>
      <c r="C7" s="21" t="s">
        <v>24</v>
      </c>
      <c r="D7" s="22">
        <v>99696</v>
      </c>
      <c r="E7" s="23">
        <v>1.0443308472303696</v>
      </c>
      <c r="F7" s="22">
        <v>97606</v>
      </c>
      <c r="G7" s="23">
        <f>F7/D7</f>
        <v>0.97903627026159523</v>
      </c>
      <c r="H7" s="22">
        <v>102830</v>
      </c>
      <c r="I7" s="23">
        <f>H7/F7</f>
        <v>1.0535212999200869</v>
      </c>
      <c r="J7" s="22">
        <v>103445</v>
      </c>
      <c r="K7" s="24">
        <f>(J7-4500)/H7</f>
        <v>0.96221919673247103</v>
      </c>
      <c r="L7" s="22">
        <f>(J7-4500)*M7</f>
        <v>103298.58</v>
      </c>
      <c r="M7" s="88">
        <v>1.044</v>
      </c>
      <c r="N7" s="22">
        <f>L7*O7</f>
        <v>105364.55160000001</v>
      </c>
      <c r="O7" s="88">
        <v>1.02</v>
      </c>
      <c r="P7" s="22">
        <f>N7*Q7</f>
        <v>106418.19711600001</v>
      </c>
      <c r="Q7" s="88">
        <v>1.01</v>
      </c>
      <c r="R7" s="22">
        <f>P7*S7</f>
        <v>107482.37908716001</v>
      </c>
      <c r="S7" s="89">
        <v>1.01</v>
      </c>
      <c r="T7" s="13"/>
      <c r="U7" s="2" t="s">
        <v>22</v>
      </c>
      <c r="V7" s="20">
        <v>15461</v>
      </c>
      <c r="W7" s="20"/>
      <c r="X7" s="20"/>
      <c r="Y7" s="20"/>
      <c r="Z7" s="68"/>
      <c r="AA7" s="68"/>
      <c r="AB7" s="68"/>
      <c r="AC7" s="68"/>
      <c r="AD7" s="68"/>
      <c r="AE7" s="3"/>
      <c r="AF7" s="3"/>
    </row>
    <row r="8" spans="2:32" ht="13.5" customHeight="1">
      <c r="B8" s="95" t="s">
        <v>94</v>
      </c>
      <c r="C8" s="21" t="s">
        <v>26</v>
      </c>
      <c r="D8" s="22">
        <v>29073</v>
      </c>
      <c r="E8" s="23">
        <v>0.96456653727480846</v>
      </c>
      <c r="F8" s="22">
        <v>28446</v>
      </c>
      <c r="G8" s="23">
        <f>F8/D8</f>
        <v>0.97843359818388198</v>
      </c>
      <c r="H8" s="22">
        <v>31830</v>
      </c>
      <c r="I8" s="23">
        <f>H8/F8</f>
        <v>1.1189622442522675</v>
      </c>
      <c r="J8" s="22">
        <v>31040</v>
      </c>
      <c r="K8" s="24">
        <f>J8/H8</f>
        <v>0.9751806471881872</v>
      </c>
      <c r="L8" s="22">
        <f>J8*M8</f>
        <v>34144</v>
      </c>
      <c r="M8" s="88">
        <v>1.1000000000000001</v>
      </c>
      <c r="N8" s="22">
        <f>L8*O8</f>
        <v>35851.200000000004</v>
      </c>
      <c r="O8" s="88">
        <v>1.05</v>
      </c>
      <c r="P8" s="22">
        <f>N8*Q8</f>
        <v>36209.712000000007</v>
      </c>
      <c r="Q8" s="88">
        <v>1.01</v>
      </c>
      <c r="R8" s="22">
        <f>P8*S8</f>
        <v>36571.809120000005</v>
      </c>
      <c r="S8" s="89">
        <v>1.01</v>
      </c>
      <c r="T8" s="13"/>
      <c r="U8" s="2" t="s">
        <v>23</v>
      </c>
      <c r="V8" s="20">
        <v>1340</v>
      </c>
      <c r="W8" s="20"/>
      <c r="X8" s="20"/>
      <c r="Y8" s="20"/>
      <c r="Z8" s="20"/>
      <c r="AA8" s="20"/>
      <c r="AB8" s="20"/>
      <c r="AC8" s="20"/>
      <c r="AD8" s="68"/>
    </row>
    <row r="9" spans="2:32" ht="13.5" customHeight="1">
      <c r="B9" s="96" t="s">
        <v>95</v>
      </c>
      <c r="C9" s="21" t="s">
        <v>28</v>
      </c>
      <c r="D9" s="22">
        <v>22725</v>
      </c>
      <c r="E9" s="23">
        <v>8.1364124597207308</v>
      </c>
      <c r="F9" s="22">
        <v>13554</v>
      </c>
      <c r="G9" s="23">
        <f>F9/D9</f>
        <v>0.59643564356435641</v>
      </c>
      <c r="H9" s="22">
        <v>26950</v>
      </c>
      <c r="I9" s="23">
        <f>H9/F9</f>
        <v>1.9883429245979047</v>
      </c>
      <c r="J9" s="22">
        <v>18097</v>
      </c>
      <c r="K9" s="24">
        <f>J9/H9</f>
        <v>0.67150278293135435</v>
      </c>
      <c r="L9" s="76">
        <f>12337+6500</f>
        <v>18837</v>
      </c>
      <c r="M9" s="24"/>
      <c r="N9" s="76">
        <f>12337+6500</f>
        <v>18837</v>
      </c>
      <c r="O9" s="24"/>
      <c r="P9" s="76">
        <f>12337+6500</f>
        <v>18837</v>
      </c>
      <c r="Q9" s="24"/>
      <c r="R9" s="76">
        <f>12337+6500</f>
        <v>18837</v>
      </c>
      <c r="S9" s="25"/>
      <c r="T9" s="13"/>
      <c r="U9" s="2" t="s">
        <v>25</v>
      </c>
      <c r="V9" s="20"/>
      <c r="W9" s="20">
        <v>5079</v>
      </c>
      <c r="X9" s="20"/>
      <c r="Y9" s="20"/>
      <c r="Z9" s="20"/>
      <c r="AA9" s="20"/>
      <c r="AB9" s="20"/>
      <c r="AC9" s="20"/>
      <c r="AD9" s="68"/>
    </row>
    <row r="10" spans="2:32" ht="13.5" customHeight="1">
      <c r="B10" s="95" t="s">
        <v>96</v>
      </c>
      <c r="C10" s="21" t="s">
        <v>30</v>
      </c>
      <c r="D10" s="22">
        <v>63348</v>
      </c>
      <c r="E10" s="24"/>
      <c r="F10" s="22">
        <v>58405</v>
      </c>
      <c r="G10" s="24"/>
      <c r="H10" s="22">
        <v>71706</v>
      </c>
      <c r="I10" s="24"/>
      <c r="J10" s="22">
        <v>33800</v>
      </c>
      <c r="K10" s="24"/>
      <c r="L10" s="22">
        <f>SUM(L11:L14)</f>
        <v>35287.200000000004</v>
      </c>
      <c r="M10" s="24"/>
      <c r="N10" s="22">
        <f>SUM(N11:N14)</f>
        <v>37051.560000000005</v>
      </c>
      <c r="O10" s="24"/>
      <c r="P10" s="22">
        <f>SUM(P11:P14)</f>
        <v>37422.075600000004</v>
      </c>
      <c r="Q10" s="24"/>
      <c r="R10" s="22">
        <f>SUM(R11:R14)</f>
        <v>37796.296356000006</v>
      </c>
      <c r="S10" s="25"/>
      <c r="T10" s="13"/>
      <c r="U10" s="2" t="s">
        <v>27</v>
      </c>
      <c r="V10" s="20"/>
      <c r="W10" s="20"/>
      <c r="X10" s="20">
        <v>11170</v>
      </c>
      <c r="Y10" s="20"/>
      <c r="Z10" s="26"/>
      <c r="AA10" s="20"/>
      <c r="AB10" s="20"/>
      <c r="AC10" s="20"/>
      <c r="AD10" s="68"/>
    </row>
    <row r="11" spans="2:32" ht="13.5" customHeight="1">
      <c r="B11" s="96" t="s">
        <v>97</v>
      </c>
      <c r="C11" s="21" t="s">
        <v>32</v>
      </c>
      <c r="D11" s="22"/>
      <c r="E11" s="24"/>
      <c r="F11" s="22"/>
      <c r="G11" s="24"/>
      <c r="H11" s="22"/>
      <c r="I11" s="24"/>
      <c r="J11" s="22"/>
      <c r="K11" s="24"/>
      <c r="L11" s="22"/>
      <c r="M11" s="24"/>
      <c r="N11" s="22"/>
      <c r="O11" s="24"/>
      <c r="P11" s="22"/>
      <c r="Q11" s="24"/>
      <c r="R11" s="22"/>
      <c r="S11" s="25"/>
      <c r="T11" s="13"/>
      <c r="U11" s="2" t="s">
        <v>29</v>
      </c>
      <c r="V11" s="20"/>
      <c r="W11" s="20"/>
      <c r="X11" s="20">
        <v>3713</v>
      </c>
      <c r="Y11" s="20"/>
      <c r="Z11" s="20"/>
      <c r="AA11" s="20"/>
      <c r="AB11" s="20"/>
      <c r="AC11" s="20"/>
      <c r="AD11" s="68"/>
    </row>
    <row r="12" spans="2:32" ht="13.5" customHeight="1">
      <c r="B12" s="95" t="s">
        <v>98</v>
      </c>
      <c r="C12" s="21" t="s">
        <v>133</v>
      </c>
      <c r="D12" s="22">
        <f>823+1466+1666+1380+49+8718+73+10</f>
        <v>14185</v>
      </c>
      <c r="E12" s="24"/>
      <c r="F12" s="22">
        <f>508+43+692+172+8024+38</f>
        <v>9477</v>
      </c>
      <c r="G12" s="24"/>
      <c r="H12" s="22">
        <f>14+723+689+1251+16+245+24+8272</f>
        <v>11234</v>
      </c>
      <c r="I12" s="24"/>
      <c r="J12" s="22">
        <v>0</v>
      </c>
      <c r="K12" s="24"/>
      <c r="L12" s="22">
        <v>0</v>
      </c>
      <c r="M12" s="24"/>
      <c r="N12" s="22">
        <v>0</v>
      </c>
      <c r="O12" s="24"/>
      <c r="P12" s="22">
        <v>0</v>
      </c>
      <c r="Q12" s="24"/>
      <c r="R12" s="22">
        <v>0</v>
      </c>
      <c r="S12" s="25"/>
      <c r="T12" s="13"/>
      <c r="U12" s="2" t="s">
        <v>31</v>
      </c>
      <c r="V12" s="20"/>
      <c r="W12" s="20"/>
      <c r="X12" s="20">
        <v>2500</v>
      </c>
      <c r="Y12" s="20"/>
      <c r="Z12" s="20"/>
      <c r="AA12" s="20"/>
      <c r="AB12" s="20"/>
      <c r="AC12" s="20"/>
      <c r="AD12" s="68"/>
    </row>
    <row r="13" spans="2:32" ht="13.5" customHeight="1">
      <c r="B13" s="96" t="s">
        <v>99</v>
      </c>
      <c r="C13" s="21" t="s">
        <v>35</v>
      </c>
      <c r="D13" s="22">
        <f>600+1340+15461</f>
        <v>17401</v>
      </c>
      <c r="E13" s="24"/>
      <c r="F13" s="22">
        <v>5125</v>
      </c>
      <c r="G13" s="24"/>
      <c r="H13" s="22">
        <v>18310</v>
      </c>
      <c r="I13" s="24"/>
      <c r="J13" s="22">
        <f>H13*K13</f>
        <v>0</v>
      </c>
      <c r="K13" s="24"/>
      <c r="L13" s="71">
        <f>Z16</f>
        <v>0</v>
      </c>
      <c r="M13" s="24"/>
      <c r="N13" s="71">
        <f>AA16</f>
        <v>0</v>
      </c>
      <c r="O13" s="24"/>
      <c r="P13" s="71">
        <f>AB16</f>
        <v>0</v>
      </c>
      <c r="Q13" s="24"/>
      <c r="R13" s="71">
        <f>AC16</f>
        <v>0</v>
      </c>
      <c r="S13" s="25"/>
      <c r="T13" s="13"/>
      <c r="U13" s="2" t="s">
        <v>33</v>
      </c>
      <c r="V13" s="20"/>
      <c r="W13" s="20"/>
      <c r="X13" s="20">
        <v>112</v>
      </c>
      <c r="Y13" s="20"/>
      <c r="Z13" s="2"/>
      <c r="AA13" s="2"/>
      <c r="AB13" s="2"/>
      <c r="AC13" s="2"/>
      <c r="AD13" s="13"/>
    </row>
    <row r="14" spans="2:32" ht="13.5" customHeight="1">
      <c r="B14" s="95" t="s">
        <v>100</v>
      </c>
      <c r="C14" s="21" t="s">
        <v>37</v>
      </c>
      <c r="D14" s="22">
        <f>D10-D11-D12-D13</f>
        <v>31762</v>
      </c>
      <c r="E14" s="23">
        <v>1.0958081766430912</v>
      </c>
      <c r="F14" s="22">
        <f>F10-F11-F12-F13</f>
        <v>43803</v>
      </c>
      <c r="G14" s="23">
        <f>F14/D14</f>
        <v>1.3791008122914175</v>
      </c>
      <c r="H14" s="22">
        <f>H10-H12-H13</f>
        <v>42162</v>
      </c>
      <c r="I14" s="23">
        <f>H14/F14</f>
        <v>0.96253681254708578</v>
      </c>
      <c r="J14" s="22">
        <v>33800</v>
      </c>
      <c r="K14" s="24">
        <v>1.01</v>
      </c>
      <c r="L14" s="22">
        <f>J14*M14</f>
        <v>35287.200000000004</v>
      </c>
      <c r="M14" s="88">
        <v>1.044</v>
      </c>
      <c r="N14" s="22">
        <f>L14*O14</f>
        <v>37051.560000000005</v>
      </c>
      <c r="O14" s="88">
        <v>1.05</v>
      </c>
      <c r="P14" s="22">
        <f>N14*Q14</f>
        <v>37422.075600000004</v>
      </c>
      <c r="Q14" s="88">
        <v>1.01</v>
      </c>
      <c r="R14" s="22">
        <f>P14*S14</f>
        <v>37796.296356000006</v>
      </c>
      <c r="S14" s="89">
        <v>1.01</v>
      </c>
      <c r="T14" s="13"/>
      <c r="U14" s="2" t="s">
        <v>34</v>
      </c>
      <c r="V14" s="20"/>
      <c r="W14" s="20"/>
      <c r="X14" s="20">
        <v>663</v>
      </c>
      <c r="Y14" s="20"/>
      <c r="Z14" s="6"/>
      <c r="AA14" s="6"/>
      <c r="AB14" s="6"/>
      <c r="AC14" s="6"/>
      <c r="AD14" s="13"/>
    </row>
    <row r="15" spans="2:32" ht="13.5" customHeight="1">
      <c r="B15" s="96" t="s">
        <v>101</v>
      </c>
      <c r="C15" s="27" t="s">
        <v>39</v>
      </c>
      <c r="D15" s="28">
        <f>SUM(D7:D10)</f>
        <v>214842</v>
      </c>
      <c r="E15" s="29"/>
      <c r="F15" s="28">
        <f>SUM(F7:F10)</f>
        <v>198011</v>
      </c>
      <c r="G15" s="29"/>
      <c r="H15" s="28">
        <f>SUM(H7:H10)</f>
        <v>233316</v>
      </c>
      <c r="I15" s="29"/>
      <c r="J15" s="28">
        <f>SUM(J7:J10)</f>
        <v>186382</v>
      </c>
      <c r="K15" s="29"/>
      <c r="L15" s="28">
        <f>SUM(L7:L10)</f>
        <v>191566.78000000003</v>
      </c>
      <c r="M15" s="29"/>
      <c r="N15" s="28">
        <f>SUM(N7:N10)</f>
        <v>197104.31160000002</v>
      </c>
      <c r="O15" s="29"/>
      <c r="P15" s="28">
        <f>SUM(P7:P10)</f>
        <v>198886.98471600004</v>
      </c>
      <c r="Q15" s="29"/>
      <c r="R15" s="28">
        <f>SUM(R7:R10)</f>
        <v>200687.48456316002</v>
      </c>
      <c r="S15" s="30"/>
      <c r="T15" s="13"/>
      <c r="U15" s="64"/>
      <c r="V15" s="20"/>
      <c r="W15" s="20"/>
      <c r="X15" s="20"/>
      <c r="Y15" s="20"/>
      <c r="Z15" s="7"/>
      <c r="AA15" s="7"/>
      <c r="AB15" s="7"/>
      <c r="AC15" s="7"/>
      <c r="AD15" s="13"/>
    </row>
    <row r="16" spans="2:32" ht="13.5" customHeight="1">
      <c r="B16" s="95" t="s">
        <v>102</v>
      </c>
      <c r="C16" s="16" t="s">
        <v>40</v>
      </c>
      <c r="D16" s="17"/>
      <c r="E16" s="24"/>
      <c r="F16" s="17"/>
      <c r="G16" s="24"/>
      <c r="H16" s="17"/>
      <c r="I16" s="24"/>
      <c r="J16" s="17"/>
      <c r="K16" s="24"/>
      <c r="L16" s="17"/>
      <c r="M16" s="24"/>
      <c r="N16" s="17"/>
      <c r="O16" s="24"/>
      <c r="P16" s="17"/>
      <c r="Q16" s="24"/>
      <c r="R16" s="17"/>
      <c r="S16" s="25"/>
      <c r="T16" s="13"/>
      <c r="U16" s="2"/>
      <c r="V16" s="20"/>
      <c r="W16" s="20"/>
      <c r="X16" s="20"/>
      <c r="Y16" s="20"/>
      <c r="Z16" s="15"/>
      <c r="AA16" s="15"/>
      <c r="AB16" s="15"/>
      <c r="AC16" s="15"/>
      <c r="AD16" s="13"/>
    </row>
    <row r="17" spans="2:32" ht="13.5" customHeight="1">
      <c r="B17" s="96" t="s">
        <v>103</v>
      </c>
      <c r="C17" s="31"/>
      <c r="D17" s="17"/>
      <c r="E17" s="24"/>
      <c r="F17" s="17"/>
      <c r="G17" s="24"/>
      <c r="H17" s="17"/>
      <c r="I17" s="24"/>
      <c r="J17" s="17"/>
      <c r="K17" s="24"/>
      <c r="L17" s="32"/>
      <c r="M17" s="24"/>
      <c r="N17" s="32"/>
      <c r="O17" s="24"/>
      <c r="P17" s="32"/>
      <c r="Q17" s="24"/>
      <c r="R17" s="32"/>
      <c r="S17" s="33"/>
      <c r="T17" s="13"/>
      <c r="U17" s="2"/>
      <c r="V17" s="20"/>
      <c r="W17" s="20"/>
      <c r="X17" s="20"/>
      <c r="Y17" s="20"/>
      <c r="Z17" s="20"/>
      <c r="AA17" s="20"/>
      <c r="AB17" s="20"/>
      <c r="AC17" s="20"/>
      <c r="AD17" s="13"/>
    </row>
    <row r="18" spans="2:32" ht="13.5" customHeight="1">
      <c r="B18" s="95" t="s">
        <v>104</v>
      </c>
      <c r="C18" s="21" t="s">
        <v>42</v>
      </c>
      <c r="D18" s="22">
        <v>144311</v>
      </c>
      <c r="E18" s="24"/>
      <c r="F18" s="22">
        <v>152652</v>
      </c>
      <c r="G18" s="24"/>
      <c r="H18" s="22">
        <v>150025</v>
      </c>
      <c r="I18" s="24"/>
      <c r="J18" s="22">
        <v>174769</v>
      </c>
      <c r="K18" s="24"/>
      <c r="L18" s="22">
        <f>L21+L22</f>
        <v>170652.636</v>
      </c>
      <c r="M18" s="24"/>
      <c r="N18" s="22">
        <f>N22+N21</f>
        <v>165705.68872000001</v>
      </c>
      <c r="O18" s="24"/>
      <c r="P18" s="22">
        <f>P22+P21</f>
        <v>167262.74560720002</v>
      </c>
      <c r="Q18" s="24"/>
      <c r="R18" s="22">
        <f>R22+R21</f>
        <v>168835.37306327201</v>
      </c>
      <c r="S18" s="25"/>
      <c r="T18" s="13"/>
      <c r="U18" s="2" t="s">
        <v>41</v>
      </c>
      <c r="V18" s="20">
        <v>600</v>
      </c>
      <c r="W18" s="20">
        <v>46</v>
      </c>
      <c r="X18" s="20">
        <v>152</v>
      </c>
      <c r="Y18" s="20"/>
      <c r="Z18" s="20"/>
      <c r="AA18" s="20"/>
      <c r="AB18" s="20"/>
      <c r="AC18" s="20"/>
      <c r="AD18" s="13"/>
    </row>
    <row r="19" spans="2:32" ht="13.5" customHeight="1">
      <c r="B19" s="96" t="s">
        <v>105</v>
      </c>
      <c r="C19" s="21" t="s">
        <v>44</v>
      </c>
      <c r="D19" s="22">
        <f>D12</f>
        <v>14185</v>
      </c>
      <c r="E19" s="24"/>
      <c r="F19" s="22">
        <f>F12</f>
        <v>9477</v>
      </c>
      <c r="G19" s="24"/>
      <c r="H19" s="22">
        <f>H12</f>
        <v>11234</v>
      </c>
      <c r="I19" s="24"/>
      <c r="J19" s="22" t="s">
        <v>66</v>
      </c>
      <c r="K19" s="24"/>
      <c r="L19" s="22" t="s">
        <v>66</v>
      </c>
      <c r="M19" s="24"/>
      <c r="N19" s="22" t="s">
        <v>66</v>
      </c>
      <c r="O19" s="24"/>
      <c r="P19" s="22" t="s">
        <v>66</v>
      </c>
      <c r="Q19" s="24"/>
      <c r="R19" s="22" t="s">
        <v>66</v>
      </c>
      <c r="S19" s="25"/>
      <c r="T19" s="13"/>
      <c r="U19" s="34"/>
      <c r="V19" s="34"/>
      <c r="W19" s="34"/>
      <c r="X19" s="34"/>
      <c r="Y19" s="34"/>
      <c r="Z19" s="20"/>
      <c r="AA19" s="20"/>
      <c r="AB19" s="20"/>
      <c r="AC19" s="20"/>
      <c r="AD19" s="13"/>
    </row>
    <row r="20" spans="2:32" ht="13.5" customHeight="1">
      <c r="B20" s="95" t="s">
        <v>106</v>
      </c>
      <c r="C20" s="35" t="s">
        <v>45</v>
      </c>
      <c r="D20" s="22">
        <f>94+484+242+405+379</f>
        <v>1604</v>
      </c>
      <c r="E20" s="24"/>
      <c r="F20" s="22">
        <f>4050+1502+128+141</f>
        <v>5821</v>
      </c>
      <c r="G20" s="24"/>
      <c r="H20" s="22">
        <f>2735+317+217+300+1137+36+82+41+82+42</f>
        <v>4989</v>
      </c>
      <c r="I20" s="24"/>
      <c r="J20" s="22"/>
      <c r="K20" s="24"/>
      <c r="L20" s="22"/>
      <c r="M20" s="24"/>
      <c r="N20" s="22"/>
      <c r="O20" s="24"/>
      <c r="P20" s="22"/>
      <c r="Q20" s="24"/>
      <c r="R20" s="22"/>
      <c r="S20" s="25"/>
      <c r="T20" s="13"/>
      <c r="U20" s="69" t="s">
        <v>43</v>
      </c>
      <c r="V20" s="6" t="s">
        <v>0</v>
      </c>
      <c r="W20" s="6" t="s">
        <v>1</v>
      </c>
      <c r="X20" s="6" t="s">
        <v>2</v>
      </c>
      <c r="Y20" s="6" t="s">
        <v>3</v>
      </c>
      <c r="Z20" s="20"/>
      <c r="AA20" s="20"/>
      <c r="AB20" s="20"/>
      <c r="AC20" s="20"/>
      <c r="AD20" s="13"/>
    </row>
    <row r="21" spans="2:32" ht="13.5" customHeight="1">
      <c r="B21" s="96" t="s">
        <v>107</v>
      </c>
      <c r="C21" s="36" t="s">
        <v>46</v>
      </c>
      <c r="D21" s="22">
        <f>500+3150+1200+1500+2800</f>
        <v>9150</v>
      </c>
      <c r="E21" s="24"/>
      <c r="F21" s="22">
        <f>2887+2967+4050</f>
        <v>9904</v>
      </c>
      <c r="G21" s="24"/>
      <c r="H21" s="22">
        <f>2213+122+2100</f>
        <v>4435</v>
      </c>
      <c r="I21" s="24"/>
      <c r="J21" s="22">
        <f>5500+2600+3000+7650+5300</f>
        <v>24050</v>
      </c>
      <c r="K21" s="24"/>
      <c r="L21" s="71">
        <v>18000</v>
      </c>
      <c r="M21" s="24"/>
      <c r="N21" s="90">
        <v>10000</v>
      </c>
      <c r="O21" s="24"/>
      <c r="P21" s="90">
        <v>10000</v>
      </c>
      <c r="Q21" s="24"/>
      <c r="R21" s="90">
        <v>10000</v>
      </c>
      <c r="S21" s="33"/>
      <c r="T21" s="13"/>
      <c r="U21" s="5"/>
      <c r="V21" s="7" t="s">
        <v>4</v>
      </c>
      <c r="W21" s="7" t="s">
        <v>4</v>
      </c>
      <c r="X21" s="7" t="s">
        <v>4</v>
      </c>
      <c r="Y21" s="7"/>
      <c r="Z21" s="20"/>
      <c r="AA21" s="20"/>
      <c r="AB21" s="20"/>
      <c r="AC21" s="20"/>
      <c r="AD21" s="13"/>
    </row>
    <row r="22" spans="2:32" ht="13.5" customHeight="1">
      <c r="B22" s="95" t="s">
        <v>108</v>
      </c>
      <c r="C22" s="8" t="s">
        <v>134</v>
      </c>
      <c r="D22" s="22">
        <f>D18-D19-D20-D21</f>
        <v>119372</v>
      </c>
      <c r="E22" s="24">
        <v>0.99407524286863436</v>
      </c>
      <c r="F22" s="22">
        <f>F18-F19-F20-F21</f>
        <v>127450</v>
      </c>
      <c r="G22" s="24">
        <f>F22/D22</f>
        <v>1.0676708105753443</v>
      </c>
      <c r="H22" s="22">
        <f>H18-H19-H20-H21</f>
        <v>129367</v>
      </c>
      <c r="I22" s="24">
        <f>H22/F22</f>
        <v>1.0150411926245586</v>
      </c>
      <c r="J22" s="22">
        <f>J18-J21</f>
        <v>150719</v>
      </c>
      <c r="K22" s="24">
        <f>(J22-4500)/H22</f>
        <v>1.1302650598684363</v>
      </c>
      <c r="L22" s="22">
        <f>(Tabulka58[[#This Row],[R 2022]]-4500)*Tabulka58[[#This Row],[%23/22]]</f>
        <v>152652.636</v>
      </c>
      <c r="M22" s="88">
        <v>1.044</v>
      </c>
      <c r="N22" s="22">
        <f>L22*O22</f>
        <v>155705.68872000001</v>
      </c>
      <c r="O22" s="88">
        <v>1.02</v>
      </c>
      <c r="P22" s="22">
        <f>N22*Q22</f>
        <v>157262.74560720002</v>
      </c>
      <c r="Q22" s="88">
        <v>1.01</v>
      </c>
      <c r="R22" s="22">
        <f>P22*S22</f>
        <v>158835.37306327201</v>
      </c>
      <c r="S22" s="89">
        <v>1.01</v>
      </c>
      <c r="T22" s="13"/>
      <c r="U22" s="14" t="s">
        <v>20</v>
      </c>
      <c r="V22" s="15">
        <f>V23+V39</f>
        <v>59078</v>
      </c>
      <c r="W22" s="15">
        <f t="shared" ref="W22:Y22" si="1">W23+W39</f>
        <v>45417</v>
      </c>
      <c r="X22" s="15">
        <f t="shared" si="1"/>
        <v>59689</v>
      </c>
      <c r="Y22" s="15">
        <f t="shared" si="1"/>
        <v>42326</v>
      </c>
      <c r="Z22" s="20"/>
      <c r="AA22" s="20"/>
      <c r="AB22" s="20"/>
      <c r="AC22" s="20"/>
      <c r="AD22" s="13"/>
    </row>
    <row r="23" spans="2:32" ht="13.5" customHeight="1">
      <c r="B23" s="96" t="s">
        <v>109</v>
      </c>
      <c r="C23" s="21" t="s">
        <v>47</v>
      </c>
      <c r="D23" s="22">
        <v>59078</v>
      </c>
      <c r="E23" s="24"/>
      <c r="F23" s="22">
        <v>45417</v>
      </c>
      <c r="G23" s="24"/>
      <c r="H23" s="22">
        <v>59689</v>
      </c>
      <c r="I23" s="24"/>
      <c r="J23" s="22">
        <v>42326</v>
      </c>
      <c r="K23" s="24"/>
      <c r="L23" s="71">
        <f>SUM(L24:L25)</f>
        <v>36457</v>
      </c>
      <c r="M23" s="72"/>
      <c r="N23" s="71">
        <f>SUM(N24:N25)</f>
        <v>29034</v>
      </c>
      <c r="O23" s="72"/>
      <c r="P23" s="71">
        <f>SUM(P24:P25)</f>
        <v>29221</v>
      </c>
      <c r="Q23" s="72"/>
      <c r="R23" s="71">
        <f>SUM(R24:R25)</f>
        <v>29411</v>
      </c>
      <c r="S23" s="25"/>
      <c r="T23" s="13"/>
      <c r="U23" s="69" t="s">
        <v>84</v>
      </c>
      <c r="V23" s="66">
        <f t="shared" ref="V23:Y23" si="2">SUM(V24:V38)</f>
        <v>17970</v>
      </c>
      <c r="W23" s="66">
        <f t="shared" si="2"/>
        <v>13583</v>
      </c>
      <c r="X23" s="66">
        <f t="shared" si="2"/>
        <v>5490</v>
      </c>
      <c r="Y23" s="66">
        <f t="shared" si="2"/>
        <v>2110</v>
      </c>
      <c r="Z23" s="20"/>
      <c r="AA23" s="20"/>
      <c r="AB23" s="20"/>
      <c r="AC23" s="20"/>
      <c r="AD23" s="13"/>
    </row>
    <row r="24" spans="2:32" ht="13.5" customHeight="1">
      <c r="B24" s="95" t="s">
        <v>110</v>
      </c>
      <c r="C24" s="21" t="s">
        <v>136</v>
      </c>
      <c r="D24" s="22">
        <f>232+1340+4791+3057+147+1798+6605</f>
        <v>17970</v>
      </c>
      <c r="E24" s="24"/>
      <c r="F24" s="22">
        <f>74+116+9765+3628</f>
        <v>13583</v>
      </c>
      <c r="G24" s="24"/>
      <c r="H24" s="22">
        <f>887+753+927+2500+393</f>
        <v>5460</v>
      </c>
      <c r="I24" s="24"/>
      <c r="J24" s="22">
        <v>13309</v>
      </c>
      <c r="K24" s="24"/>
      <c r="L24" s="76">
        <v>13309</v>
      </c>
      <c r="M24" s="24"/>
      <c r="N24" s="76">
        <v>13309</v>
      </c>
      <c r="O24" s="24"/>
      <c r="P24" s="76">
        <v>13309</v>
      </c>
      <c r="Q24" s="24"/>
      <c r="R24" s="76">
        <v>13309</v>
      </c>
      <c r="S24" s="25"/>
      <c r="T24" s="13"/>
      <c r="U24" s="38" t="s">
        <v>25</v>
      </c>
      <c r="V24" s="39">
        <v>6605</v>
      </c>
      <c r="W24" s="39"/>
      <c r="X24" s="39"/>
      <c r="Y24" s="39"/>
      <c r="Z24" s="20"/>
      <c r="AA24" s="20"/>
      <c r="AB24" s="20"/>
      <c r="AC24" s="20"/>
      <c r="AD24" s="13"/>
    </row>
    <row r="25" spans="2:32" ht="13.5" customHeight="1">
      <c r="B25" s="96" t="s">
        <v>111</v>
      </c>
      <c r="C25" s="21" t="s">
        <v>49</v>
      </c>
      <c r="D25" s="22">
        <f>D23-D24</f>
        <v>41108</v>
      </c>
      <c r="E25" s="24">
        <v>1.2289019760246331</v>
      </c>
      <c r="F25" s="22">
        <f>F23-F24</f>
        <v>31834</v>
      </c>
      <c r="G25" s="24">
        <f>F25/D25</f>
        <v>0.77439914371898411</v>
      </c>
      <c r="H25" s="22">
        <f>H23-H24</f>
        <v>54229</v>
      </c>
      <c r="I25" s="24">
        <f>H25/F25</f>
        <v>1.7034931205629202</v>
      </c>
      <c r="J25" s="22">
        <f>J23-J24</f>
        <v>29017</v>
      </c>
      <c r="K25" s="24">
        <f>J25/H25</f>
        <v>0.5350827048258312</v>
      </c>
      <c r="L25" s="76">
        <v>23148</v>
      </c>
      <c r="M25" s="72">
        <f>L25/H25</f>
        <v>0.42685647900569806</v>
      </c>
      <c r="N25" s="76">
        <v>15725</v>
      </c>
      <c r="O25" s="72">
        <f>N25/L25</f>
        <v>0.67932434767582517</v>
      </c>
      <c r="P25" s="76">
        <v>15912</v>
      </c>
      <c r="Q25" s="72">
        <f>P25/N25</f>
        <v>1.011891891891892</v>
      </c>
      <c r="R25" s="76">
        <v>16102</v>
      </c>
      <c r="S25" s="73">
        <f>R25/P25</f>
        <v>1.0119406737053795</v>
      </c>
      <c r="T25" s="13"/>
      <c r="U25" s="38" t="s">
        <v>27</v>
      </c>
      <c r="V25" s="39">
        <v>4791</v>
      </c>
      <c r="W25" s="39">
        <v>9765</v>
      </c>
      <c r="X25" s="39"/>
      <c r="Y25" s="39"/>
      <c r="Z25" s="20"/>
      <c r="AA25" s="20"/>
      <c r="AB25" s="20"/>
      <c r="AC25" s="20"/>
      <c r="AD25" s="13"/>
    </row>
    <row r="26" spans="2:32" ht="13.5" customHeight="1">
      <c r="B26" s="95" t="s">
        <v>112</v>
      </c>
      <c r="C26" s="27" t="s">
        <v>50</v>
      </c>
      <c r="D26" s="28">
        <f>D23+D18</f>
        <v>203389</v>
      </c>
      <c r="E26" s="29"/>
      <c r="F26" s="28">
        <f>F23+F18</f>
        <v>198069</v>
      </c>
      <c r="G26" s="29"/>
      <c r="H26" s="28">
        <f>H23+H18</f>
        <v>209714</v>
      </c>
      <c r="I26" s="29"/>
      <c r="J26" s="28">
        <f>J23+J18</f>
        <v>217095</v>
      </c>
      <c r="K26" s="29"/>
      <c r="L26" s="28">
        <f>L23+L18</f>
        <v>207109.636</v>
      </c>
      <c r="M26" s="29"/>
      <c r="N26" s="28">
        <f>N23+N18</f>
        <v>194739.68872000001</v>
      </c>
      <c r="O26" s="29"/>
      <c r="P26" s="28">
        <f>P23+P18</f>
        <v>196483.74560720002</v>
      </c>
      <c r="Q26" s="29"/>
      <c r="R26" s="28">
        <f>R23+R18</f>
        <v>198246.37306327201</v>
      </c>
      <c r="S26" s="30"/>
      <c r="T26" s="13"/>
      <c r="U26" s="38" t="s">
        <v>48</v>
      </c>
      <c r="V26" s="39">
        <v>3057</v>
      </c>
      <c r="W26" s="39"/>
      <c r="X26" s="39"/>
      <c r="Y26" s="39"/>
      <c r="Z26" s="26"/>
      <c r="AA26" s="20"/>
      <c r="AB26" s="20"/>
      <c r="AC26" s="20"/>
      <c r="AD26" s="13"/>
    </row>
    <row r="27" spans="2:32" ht="13.5" customHeight="1">
      <c r="B27" s="97" t="s">
        <v>113</v>
      </c>
      <c r="C27" s="78" t="s">
        <v>91</v>
      </c>
      <c r="D27" s="81">
        <f>D23/D26</f>
        <v>0.29046801941107925</v>
      </c>
      <c r="E27" s="79"/>
      <c r="F27" s="81">
        <f>F23/F26</f>
        <v>0.22929888069309179</v>
      </c>
      <c r="G27" s="79"/>
      <c r="H27" s="81">
        <f>H23/H26</f>
        <v>0.2846209599740599</v>
      </c>
      <c r="I27" s="79"/>
      <c r="J27" s="81">
        <f>J23/J26</f>
        <v>0.19496533775536057</v>
      </c>
      <c r="K27" s="79"/>
      <c r="L27" s="81">
        <f>L23/L26</f>
        <v>0.17602754127770279</v>
      </c>
      <c r="M27" s="79"/>
      <c r="N27" s="81">
        <f>N23/N26</f>
        <v>0.14909133413346251</v>
      </c>
      <c r="O27" s="79"/>
      <c r="P27" s="81">
        <f>P23/P26</f>
        <v>0.14871968116088893</v>
      </c>
      <c r="Q27" s="79"/>
      <c r="R27" s="81">
        <f>R23/R26</f>
        <v>0.14835580366765766</v>
      </c>
      <c r="S27" s="80"/>
      <c r="T27" s="13"/>
      <c r="U27" s="38" t="s">
        <v>23</v>
      </c>
      <c r="V27" s="39">
        <v>1340</v>
      </c>
      <c r="W27" s="39"/>
      <c r="X27" s="39"/>
      <c r="Y27" s="39"/>
      <c r="Z27" s="20"/>
      <c r="AA27" s="20"/>
      <c r="AB27" s="20"/>
      <c r="AC27" s="20"/>
      <c r="AD27" s="13"/>
    </row>
    <row r="28" spans="2:32" ht="13.5" customHeight="1">
      <c r="B28" s="95" t="s">
        <v>114</v>
      </c>
      <c r="C28" s="31"/>
      <c r="D28" s="28"/>
      <c r="E28" s="29"/>
      <c r="F28" s="28"/>
      <c r="G28" s="29"/>
      <c r="H28" s="28"/>
      <c r="I28" s="29"/>
      <c r="J28" s="28"/>
      <c r="K28" s="29"/>
      <c r="L28" s="32"/>
      <c r="M28" s="29"/>
      <c r="N28" s="32"/>
      <c r="O28" s="29"/>
      <c r="P28" s="32"/>
      <c r="Q28" s="29"/>
      <c r="R28" s="32"/>
      <c r="S28" s="33"/>
      <c r="T28" s="13"/>
      <c r="U28" s="38" t="s">
        <v>22</v>
      </c>
      <c r="V28" s="39">
        <v>232</v>
      </c>
      <c r="W28" s="39"/>
      <c r="X28" s="39"/>
      <c r="Y28" s="39"/>
      <c r="Z28" s="20"/>
      <c r="AA28" s="20"/>
      <c r="AB28" s="20"/>
      <c r="AC28" s="20"/>
      <c r="AD28" s="13"/>
    </row>
    <row r="29" spans="2:32" ht="13.5" customHeight="1">
      <c r="B29" s="96" t="s">
        <v>115</v>
      </c>
      <c r="C29" s="27" t="s">
        <v>51</v>
      </c>
      <c r="D29" s="28">
        <f>D15-D26</f>
        <v>11453</v>
      </c>
      <c r="E29" s="40"/>
      <c r="F29" s="28">
        <f>F15-F26</f>
        <v>-58</v>
      </c>
      <c r="G29" s="40"/>
      <c r="H29" s="28">
        <f>H15-H26</f>
        <v>23602</v>
      </c>
      <c r="I29" s="40"/>
      <c r="J29" s="28">
        <f>J15-J26</f>
        <v>-30713</v>
      </c>
      <c r="K29" s="40"/>
      <c r="L29" s="28">
        <f>L15-L26</f>
        <v>-15542.855999999971</v>
      </c>
      <c r="M29" s="40"/>
      <c r="N29" s="28">
        <f>N15-N26</f>
        <v>2364.6228800000099</v>
      </c>
      <c r="O29" s="40"/>
      <c r="P29" s="28">
        <f>P15-P26</f>
        <v>2403.2391088000149</v>
      </c>
      <c r="Q29" s="40"/>
      <c r="R29" s="28">
        <f>R15-R26</f>
        <v>2441.1114998880075</v>
      </c>
      <c r="S29" s="41"/>
      <c r="T29" s="13"/>
      <c r="U29" s="38" t="s">
        <v>29</v>
      </c>
      <c r="V29" s="39">
        <v>147</v>
      </c>
      <c r="W29" s="39">
        <v>3628</v>
      </c>
      <c r="X29" s="39">
        <v>952</v>
      </c>
      <c r="Y29" s="39"/>
      <c r="Z29" s="34"/>
      <c r="AA29" s="34"/>
      <c r="AB29" s="34"/>
      <c r="AC29" s="34"/>
      <c r="AD29" s="42"/>
      <c r="AE29" s="3"/>
      <c r="AF29" s="43"/>
    </row>
    <row r="30" spans="2:32" ht="13.5" customHeight="1">
      <c r="B30" s="95" t="s">
        <v>116</v>
      </c>
      <c r="C30" s="16" t="s">
        <v>52</v>
      </c>
      <c r="D30" s="28">
        <f>SUM(D31:D36)</f>
        <v>-11453</v>
      </c>
      <c r="E30" s="40"/>
      <c r="F30" s="28">
        <f>SUM(F31:F36)</f>
        <v>58</v>
      </c>
      <c r="G30" s="40"/>
      <c r="H30" s="28">
        <f>SUM(H31:H36)</f>
        <v>-23602</v>
      </c>
      <c r="I30" s="40"/>
      <c r="J30" s="28">
        <f>SUM(J31:J36)</f>
        <v>30713</v>
      </c>
      <c r="K30" s="40"/>
      <c r="L30" s="28">
        <f>SUM(L31:L36)</f>
        <v>15542.855999999971</v>
      </c>
      <c r="M30" s="40"/>
      <c r="N30" s="28">
        <f>SUM(N31:N36)</f>
        <v>-2364.6228800000099</v>
      </c>
      <c r="O30" s="40"/>
      <c r="P30" s="28">
        <f>SUM(P31:P36)</f>
        <v>-2403.2391088000149</v>
      </c>
      <c r="Q30" s="40"/>
      <c r="R30" s="28">
        <f>SUM(R31:R36)</f>
        <v>-2441.1114998880075</v>
      </c>
      <c r="S30" s="41"/>
      <c r="T30" s="13"/>
      <c r="U30" s="38" t="s">
        <v>34</v>
      </c>
      <c r="V30" s="39"/>
      <c r="W30" s="39">
        <v>74</v>
      </c>
      <c r="X30" s="39">
        <v>893</v>
      </c>
      <c r="Y30" s="39"/>
      <c r="Z30" s="6"/>
      <c r="AA30" s="6"/>
      <c r="AB30" s="6"/>
      <c r="AC30" s="6"/>
      <c r="AD30" s="13"/>
      <c r="AE30" s="43"/>
      <c r="AF30" s="43"/>
    </row>
    <row r="31" spans="2:32" ht="13.5" customHeight="1">
      <c r="B31" s="96" t="s">
        <v>117</v>
      </c>
      <c r="C31" s="21" t="s">
        <v>53</v>
      </c>
      <c r="D31" s="22">
        <v>0</v>
      </c>
      <c r="E31" s="44"/>
      <c r="F31" s="22">
        <v>4000</v>
      </c>
      <c r="G31" s="44"/>
      <c r="H31" s="22">
        <v>0</v>
      </c>
      <c r="I31" s="44"/>
      <c r="J31" s="22">
        <v>0</v>
      </c>
      <c r="K31" s="44"/>
      <c r="L31" s="22">
        <v>0</v>
      </c>
      <c r="M31" s="44"/>
      <c r="N31" s="22">
        <v>0</v>
      </c>
      <c r="O31" s="44"/>
      <c r="P31" s="22">
        <v>0</v>
      </c>
      <c r="Q31" s="44"/>
      <c r="R31" s="22">
        <v>0</v>
      </c>
      <c r="S31" s="45"/>
      <c r="T31" s="13"/>
      <c r="U31" s="38" t="s">
        <v>31</v>
      </c>
      <c r="V31" s="39"/>
      <c r="W31" s="39"/>
      <c r="X31" s="39">
        <v>2500</v>
      </c>
      <c r="Y31" s="39"/>
      <c r="Z31" s="7"/>
      <c r="AA31" s="7"/>
      <c r="AB31" s="7"/>
      <c r="AC31" s="7"/>
      <c r="AD31" s="13"/>
      <c r="AE31" s="43"/>
      <c r="AF31" s="43"/>
    </row>
    <row r="32" spans="2:32" ht="13.5" customHeight="1">
      <c r="B32" s="95" t="s">
        <v>118</v>
      </c>
      <c r="C32" s="21" t="s">
        <v>54</v>
      </c>
      <c r="D32" s="22">
        <v>-2185</v>
      </c>
      <c r="E32" s="44"/>
      <c r="F32" s="22">
        <v>-2220</v>
      </c>
      <c r="G32" s="44"/>
      <c r="H32" s="22">
        <v>-2255</v>
      </c>
      <c r="I32" s="44"/>
      <c r="J32" s="22">
        <v>-2291</v>
      </c>
      <c r="K32" s="44"/>
      <c r="L32" s="22">
        <v>-2328</v>
      </c>
      <c r="M32" s="44"/>
      <c r="N32" s="22">
        <v>-2365</v>
      </c>
      <c r="O32" s="44"/>
      <c r="P32" s="22">
        <v>-2403</v>
      </c>
      <c r="Q32" s="44"/>
      <c r="R32" s="22">
        <v>-2441</v>
      </c>
      <c r="S32" s="45"/>
      <c r="T32" s="13"/>
      <c r="U32" s="38" t="s">
        <v>83</v>
      </c>
      <c r="V32" s="39"/>
      <c r="W32" s="39"/>
      <c r="X32" s="39"/>
      <c r="Y32" s="39"/>
      <c r="Z32" s="15"/>
      <c r="AA32" s="15"/>
      <c r="AB32" s="15"/>
      <c r="AC32" s="15"/>
      <c r="AD32" s="13"/>
      <c r="AE32" s="43"/>
      <c r="AF32" s="43"/>
    </row>
    <row r="33" spans="2:35" ht="13.5" customHeight="1">
      <c r="B33" s="96" t="s">
        <v>119</v>
      </c>
      <c r="C33" s="21" t="s">
        <v>56</v>
      </c>
      <c r="D33" s="22">
        <v>0</v>
      </c>
      <c r="E33" s="44"/>
      <c r="F33" s="22">
        <v>0</v>
      </c>
      <c r="G33" s="44"/>
      <c r="H33" s="22">
        <v>-2000</v>
      </c>
      <c r="I33" s="44"/>
      <c r="J33" s="22">
        <v>-2000</v>
      </c>
      <c r="K33" s="44"/>
      <c r="L33" s="22">
        <v>0</v>
      </c>
      <c r="M33" s="44"/>
      <c r="N33" s="22">
        <v>0</v>
      </c>
      <c r="O33" s="44"/>
      <c r="P33" s="22">
        <v>0</v>
      </c>
      <c r="Q33" s="44"/>
      <c r="R33" s="22">
        <v>0</v>
      </c>
      <c r="S33" s="45"/>
      <c r="T33" s="13"/>
      <c r="U33" s="38" t="s">
        <v>55</v>
      </c>
      <c r="V33" s="39"/>
      <c r="W33" s="39"/>
      <c r="X33" s="39"/>
      <c r="Y33" s="39">
        <v>400</v>
      </c>
      <c r="Z33" s="66"/>
      <c r="AA33" s="66"/>
      <c r="AB33" s="66"/>
      <c r="AC33" s="66"/>
      <c r="AD33" s="13"/>
      <c r="AE33" s="43"/>
      <c r="AF33" s="43"/>
    </row>
    <row r="34" spans="2:35" ht="13.5" customHeight="1">
      <c r="B34" s="95" t="s">
        <v>120</v>
      </c>
      <c r="C34" s="21" t="s">
        <v>58</v>
      </c>
      <c r="D34" s="22">
        <v>0</v>
      </c>
      <c r="E34" s="44"/>
      <c r="F34" s="22">
        <v>2770</v>
      </c>
      <c r="G34" s="44"/>
      <c r="H34" s="22">
        <v>-2770</v>
      </c>
      <c r="I34" s="44"/>
      <c r="J34" s="22">
        <v>0</v>
      </c>
      <c r="K34" s="44"/>
      <c r="L34" s="22">
        <v>0</v>
      </c>
      <c r="M34" s="44"/>
      <c r="N34" s="22">
        <v>0</v>
      </c>
      <c r="O34" s="44"/>
      <c r="P34" s="22">
        <v>0</v>
      </c>
      <c r="Q34" s="44"/>
      <c r="R34" s="22">
        <v>0</v>
      </c>
      <c r="S34" s="45"/>
      <c r="T34" s="13"/>
      <c r="U34" s="38" t="s">
        <v>57</v>
      </c>
      <c r="V34" s="39"/>
      <c r="W34" s="39"/>
      <c r="X34" s="39">
        <f>580+172</f>
        <v>752</v>
      </c>
      <c r="Y34" s="39">
        <f>700+100+200</f>
        <v>1000</v>
      </c>
      <c r="Z34" s="39"/>
      <c r="AA34" s="39"/>
      <c r="AB34" s="39"/>
      <c r="AC34" s="39"/>
      <c r="AD34" s="13"/>
      <c r="AE34" s="43"/>
      <c r="AF34" s="43"/>
    </row>
    <row r="35" spans="2:35" ht="13.5" customHeight="1">
      <c r="B35" s="96" t="s">
        <v>121</v>
      </c>
      <c r="C35" s="46" t="s">
        <v>59</v>
      </c>
      <c r="D35" s="22">
        <v>22539</v>
      </c>
      <c r="E35" s="44"/>
      <c r="F35" s="22">
        <v>31807</v>
      </c>
      <c r="G35" s="44"/>
      <c r="H35" s="22">
        <v>36298</v>
      </c>
      <c r="I35" s="44"/>
      <c r="J35" s="22">
        <v>35004</v>
      </c>
      <c r="K35" s="44"/>
      <c r="L35" s="22">
        <f>-(H36+Tabulka58[[#This Row],[R 2022]])</f>
        <v>17871</v>
      </c>
      <c r="M35" s="44"/>
      <c r="N35" s="22"/>
      <c r="O35" s="44"/>
      <c r="P35" s="22"/>
      <c r="Q35" s="44"/>
      <c r="R35" s="22"/>
      <c r="S35" s="45"/>
      <c r="T35" s="13"/>
      <c r="U35" s="38" t="s">
        <v>36</v>
      </c>
      <c r="V35" s="39"/>
      <c r="W35" s="39"/>
      <c r="X35" s="39"/>
      <c r="Y35" s="39"/>
      <c r="Z35" s="39"/>
      <c r="AA35" s="39"/>
      <c r="AB35" s="39"/>
      <c r="AC35" s="39"/>
      <c r="AD35" s="13"/>
      <c r="AE35" s="43"/>
      <c r="AF35" s="43"/>
    </row>
    <row r="36" spans="2:35" ht="13.5" customHeight="1">
      <c r="B36" s="95" t="s">
        <v>122</v>
      </c>
      <c r="C36" s="47" t="s">
        <v>60</v>
      </c>
      <c r="D36" s="48">
        <v>-31807</v>
      </c>
      <c r="E36" s="49"/>
      <c r="F36" s="48">
        <f>-F35-F29-F32-F31-F34</f>
        <v>-36299</v>
      </c>
      <c r="G36" s="49"/>
      <c r="H36" s="48">
        <f>-H29-H32-H33-H34-H35</f>
        <v>-52875</v>
      </c>
      <c r="I36" s="49"/>
      <c r="J36" s="48">
        <f>-J29-J32-J33-J34-J35</f>
        <v>0</v>
      </c>
      <c r="K36" s="49"/>
      <c r="L36" s="48">
        <f>-L29-L32-L33-L34-L35-L31</f>
        <v>-0.14400000002933666</v>
      </c>
      <c r="M36" s="49"/>
      <c r="N36" s="48">
        <f>-N29-N32-N33-N34-N35-N31</f>
        <v>0.37711999999010004</v>
      </c>
      <c r="O36" s="49"/>
      <c r="P36" s="48">
        <f>-P29-P32-P33-P34-P35-P31</f>
        <v>-0.23910880001494661</v>
      </c>
      <c r="Q36" s="49"/>
      <c r="R36" s="48">
        <f>-R29-R32-R33-R34-R35-R31</f>
        <v>-0.11149988800752908</v>
      </c>
      <c r="S36" s="50"/>
      <c r="T36" s="13"/>
      <c r="U36" s="38" t="s">
        <v>38</v>
      </c>
      <c r="V36" s="39"/>
      <c r="W36" s="39"/>
      <c r="X36" s="39"/>
      <c r="Y36" s="39"/>
      <c r="Z36" s="39"/>
      <c r="AA36" s="39"/>
      <c r="AB36" s="39"/>
      <c r="AC36" s="39"/>
      <c r="AD36" s="13"/>
      <c r="AE36" s="51"/>
      <c r="AF36" s="43"/>
    </row>
    <row r="37" spans="2:35" ht="13.5" customHeight="1">
      <c r="B37" s="96" t="s">
        <v>123</v>
      </c>
      <c r="C37" s="31"/>
      <c r="D37" s="22"/>
      <c r="E37" s="44"/>
      <c r="F37" s="22"/>
      <c r="G37" s="44"/>
      <c r="H37" s="22"/>
      <c r="I37" s="44"/>
      <c r="J37" s="22"/>
      <c r="K37" s="44"/>
      <c r="L37" s="22"/>
      <c r="M37" s="52"/>
      <c r="N37" s="22"/>
      <c r="O37" s="52"/>
      <c r="P37" s="22"/>
      <c r="Q37" s="52"/>
      <c r="R37" s="22"/>
      <c r="S37" s="53"/>
      <c r="T37" s="13"/>
      <c r="U37" s="38" t="s">
        <v>90</v>
      </c>
      <c r="V37" s="39"/>
      <c r="W37" s="39"/>
      <c r="X37" s="39"/>
      <c r="Y37" s="39"/>
      <c r="Z37" s="39"/>
      <c r="AA37" s="39"/>
      <c r="AB37" s="39"/>
      <c r="AC37" s="39"/>
      <c r="AD37" s="13"/>
      <c r="AE37" s="43"/>
      <c r="AF37" s="43"/>
    </row>
    <row r="38" spans="2:35" ht="13.5" customHeight="1">
      <c r="B38" s="95" t="s">
        <v>124</v>
      </c>
      <c r="C38" s="31" t="s">
        <v>61</v>
      </c>
      <c r="D38" s="22">
        <f>D7+D8+D14</f>
        <v>160531</v>
      </c>
      <c r="E38" s="22"/>
      <c r="F38" s="22">
        <f>F7+F8+F14</f>
        <v>169855</v>
      </c>
      <c r="G38" s="22"/>
      <c r="H38" s="22">
        <f>H7+H8+H14</f>
        <v>176822</v>
      </c>
      <c r="I38" s="22"/>
      <c r="J38" s="22">
        <f>J7+J8+J14</f>
        <v>168285</v>
      </c>
      <c r="K38" s="22"/>
      <c r="L38" s="22">
        <f>L7+L8+L14</f>
        <v>172729.78000000003</v>
      </c>
      <c r="M38" s="54"/>
      <c r="N38" s="22">
        <f>N7+N8+N14</f>
        <v>178267.31160000002</v>
      </c>
      <c r="O38" s="54"/>
      <c r="P38" s="22">
        <f>P7+P8+P14</f>
        <v>180049.98471600004</v>
      </c>
      <c r="Q38" s="54"/>
      <c r="R38" s="22">
        <f>R7+R8+R14</f>
        <v>181850.48456316002</v>
      </c>
      <c r="S38" s="53"/>
      <c r="T38" s="13"/>
      <c r="U38" s="38" t="s">
        <v>41</v>
      </c>
      <c r="V38" s="39">
        <v>1798</v>
      </c>
      <c r="W38" s="39">
        <v>116</v>
      </c>
      <c r="X38" s="39">
        <v>393</v>
      </c>
      <c r="Y38" s="39">
        <v>710</v>
      </c>
      <c r="Z38" s="39"/>
      <c r="AA38" s="39"/>
      <c r="AB38" s="39"/>
      <c r="AC38" s="39"/>
      <c r="AD38" s="13"/>
      <c r="AE38" s="43"/>
      <c r="AF38" s="43"/>
    </row>
    <row r="39" spans="2:35" ht="13.5" customHeight="1">
      <c r="B39" s="96" t="s">
        <v>125</v>
      </c>
      <c r="C39" s="31" t="s">
        <v>62</v>
      </c>
      <c r="D39" s="22">
        <f>D22+D21</f>
        <v>128522</v>
      </c>
      <c r="E39" s="22"/>
      <c r="F39" s="22">
        <f>F22+F21</f>
        <v>137354</v>
      </c>
      <c r="G39" s="22"/>
      <c r="H39" s="22">
        <f>H22+H21</f>
        <v>133802</v>
      </c>
      <c r="I39" s="22"/>
      <c r="J39" s="22">
        <f>J22+J21</f>
        <v>174769</v>
      </c>
      <c r="K39" s="22"/>
      <c r="L39" s="22">
        <f>L22+L21</f>
        <v>170652.636</v>
      </c>
      <c r="M39" s="54"/>
      <c r="N39" s="22">
        <f>N22+N21</f>
        <v>165705.68872000001</v>
      </c>
      <c r="O39" s="54"/>
      <c r="P39" s="22">
        <f>P22+P21</f>
        <v>167262.74560720002</v>
      </c>
      <c r="Q39" s="54"/>
      <c r="R39" s="22">
        <f>R22+R21</f>
        <v>168835.37306327201</v>
      </c>
      <c r="S39" s="53"/>
      <c r="T39" s="13"/>
      <c r="U39" s="69" t="s">
        <v>79</v>
      </c>
      <c r="V39" s="37">
        <f>SUM(V40:V62)</f>
        <v>41108</v>
      </c>
      <c r="W39" s="37">
        <f>SUM(W40:W62)</f>
        <v>31834</v>
      </c>
      <c r="X39" s="37">
        <f>SUM(X40:X62)</f>
        <v>54199</v>
      </c>
      <c r="Y39" s="37">
        <f>SUM(Y40:Y62)</f>
        <v>40216</v>
      </c>
      <c r="Z39" s="39"/>
      <c r="AA39" s="39"/>
      <c r="AB39" s="39"/>
      <c r="AC39" s="39"/>
      <c r="AD39" s="13"/>
      <c r="AE39" s="43"/>
      <c r="AF39" s="43"/>
    </row>
    <row r="40" spans="2:35" ht="15">
      <c r="B40" s="98" t="s">
        <v>126</v>
      </c>
      <c r="C40" s="55" t="s">
        <v>64</v>
      </c>
      <c r="D40" s="56">
        <f>(D38-D39)/D38</f>
        <v>0.19939450947169082</v>
      </c>
      <c r="E40" s="57"/>
      <c r="F40" s="56">
        <f>(F38-F39)/F38</f>
        <v>0.19134555944776427</v>
      </c>
      <c r="G40" s="57"/>
      <c r="H40" s="56">
        <f>(H38-H39)/H38</f>
        <v>0.24329551752609968</v>
      </c>
      <c r="I40" s="57"/>
      <c r="J40" s="56">
        <f>(J38-J39)/J38</f>
        <v>-3.8529874914579432E-2</v>
      </c>
      <c r="K40" s="57"/>
      <c r="L40" s="56">
        <f>(L38-L39)/L38</f>
        <v>1.2025395968199746E-2</v>
      </c>
      <c r="M40" s="58"/>
      <c r="N40" s="56">
        <f>(N38-N39)/N38</f>
        <v>7.0465094061585701E-2</v>
      </c>
      <c r="O40" s="58"/>
      <c r="P40" s="56">
        <f>(P38-P39)/P38</f>
        <v>7.1020495386155305E-2</v>
      </c>
      <c r="Q40" s="58"/>
      <c r="R40" s="56">
        <f>(R38-R39)/R38</f>
        <v>7.1570397687709328E-2</v>
      </c>
      <c r="S40" s="59"/>
      <c r="T40" s="13"/>
      <c r="U40" s="38" t="s">
        <v>63</v>
      </c>
      <c r="V40" s="39">
        <v>17053</v>
      </c>
      <c r="W40" s="39">
        <v>200</v>
      </c>
      <c r="X40" s="39"/>
      <c r="Y40" s="39"/>
      <c r="Z40" s="39"/>
      <c r="AA40" s="39"/>
      <c r="AB40" s="39"/>
      <c r="AC40" s="39"/>
      <c r="AD40" s="13"/>
      <c r="AE40" s="43"/>
      <c r="AF40" s="43"/>
    </row>
    <row r="41" spans="2:35" ht="15">
      <c r="B41" s="96" t="s">
        <v>127</v>
      </c>
      <c r="C41" s="31" t="s">
        <v>67</v>
      </c>
      <c r="D41" s="22">
        <f>D39-D21</f>
        <v>119372</v>
      </c>
      <c r="E41" s="22"/>
      <c r="F41" s="22">
        <f>F39-F21</f>
        <v>127450</v>
      </c>
      <c r="G41" s="22"/>
      <c r="H41" s="22">
        <f>H39-H21</f>
        <v>129367</v>
      </c>
      <c r="I41" s="22"/>
      <c r="J41" s="22">
        <f>J39-J21</f>
        <v>150719</v>
      </c>
      <c r="K41" s="22"/>
      <c r="L41" s="22">
        <f>L39-L21</f>
        <v>152652.636</v>
      </c>
      <c r="M41" s="22"/>
      <c r="N41" s="22">
        <f>N39-N21</f>
        <v>155705.68872000001</v>
      </c>
      <c r="O41" s="22"/>
      <c r="P41" s="22">
        <f>P39-P21</f>
        <v>157262.74560720002</v>
      </c>
      <c r="Q41" s="22"/>
      <c r="R41" s="22">
        <f>R39-R21</f>
        <v>158835.37306327201</v>
      </c>
      <c r="S41" s="53"/>
      <c r="T41" s="60"/>
      <c r="U41" s="38" t="s">
        <v>65</v>
      </c>
      <c r="V41" s="39">
        <v>7000</v>
      </c>
      <c r="W41" s="39">
        <v>9640</v>
      </c>
      <c r="X41" s="39">
        <v>9050</v>
      </c>
      <c r="Y41" s="39">
        <v>6300</v>
      </c>
      <c r="Z41" s="39"/>
      <c r="AA41" s="39"/>
      <c r="AB41" s="39"/>
      <c r="AC41" s="39"/>
      <c r="AD41" s="60"/>
      <c r="AE41" s="61"/>
      <c r="AF41" s="61"/>
      <c r="AG41" s="61"/>
      <c r="AH41" s="61"/>
      <c r="AI41" s="61"/>
    </row>
    <row r="42" spans="2:35" ht="15">
      <c r="B42" s="98" t="s">
        <v>128</v>
      </c>
      <c r="C42" s="55" t="s">
        <v>135</v>
      </c>
      <c r="D42" s="56">
        <f>(D38-D41)/D38</f>
        <v>0.25639284624153591</v>
      </c>
      <c r="E42" s="56"/>
      <c r="F42" s="56">
        <f>(F38-F41)/F38</f>
        <v>0.24965411674663684</v>
      </c>
      <c r="G42" s="56"/>
      <c r="H42" s="56">
        <f>(H38-H41)/H38</f>
        <v>0.26837723812647746</v>
      </c>
      <c r="I42" s="56"/>
      <c r="J42" s="56">
        <f>(J38-J41)/J38</f>
        <v>0.10438244644501887</v>
      </c>
      <c r="K42" s="56"/>
      <c r="L42" s="56">
        <f>(L38-L41)/L38</f>
        <v>0.11623440960788595</v>
      </c>
      <c r="M42" s="56"/>
      <c r="N42" s="56">
        <f>(N38-N41)/N38</f>
        <v>0.12656062784311384</v>
      </c>
      <c r="O42" s="56"/>
      <c r="P42" s="56">
        <f>(P38-P41)/P38</f>
        <v>0.12656062784311384</v>
      </c>
      <c r="Q42" s="56"/>
      <c r="R42" s="56">
        <f>(R38-R41)/R38</f>
        <v>0.12656062784311381</v>
      </c>
      <c r="S42" s="62"/>
      <c r="T42" s="13"/>
      <c r="U42" s="38" t="s">
        <v>85</v>
      </c>
      <c r="V42" s="39">
        <f>1778+1495+1550+296</f>
        <v>5119</v>
      </c>
      <c r="W42" s="39"/>
      <c r="X42" s="39" t="s">
        <v>66</v>
      </c>
      <c r="Y42" s="39"/>
      <c r="Z42" s="39"/>
      <c r="AA42" s="39"/>
      <c r="AB42" s="39"/>
      <c r="AC42" s="39"/>
      <c r="AD42" s="13"/>
      <c r="AE42" s="43"/>
      <c r="AF42" s="43"/>
    </row>
    <row r="43" spans="2:35" ht="15">
      <c r="B43" s="100"/>
      <c r="C43" s="13"/>
      <c r="M43" s="13"/>
      <c r="O43" s="13"/>
      <c r="Q43" s="13"/>
      <c r="S43" s="13"/>
      <c r="T43" s="13"/>
      <c r="U43" s="38" t="s">
        <v>68</v>
      </c>
      <c r="V43" s="39">
        <v>4870</v>
      </c>
      <c r="W43" s="39">
        <v>8727</v>
      </c>
      <c r="X43" s="39">
        <v>9228</v>
      </c>
      <c r="Y43" s="39">
        <v>4000</v>
      </c>
      <c r="Z43" s="39"/>
      <c r="AA43" s="39"/>
      <c r="AB43" s="39"/>
      <c r="AC43" s="39"/>
      <c r="AD43" s="13"/>
      <c r="AE43" s="43"/>
      <c r="AF43" s="43"/>
    </row>
    <row r="44" spans="2:35" ht="15">
      <c r="B44" s="103"/>
      <c r="C44" s="82" t="s">
        <v>141</v>
      </c>
      <c r="D44" s="83"/>
      <c r="E44" s="83"/>
      <c r="F44" s="83"/>
      <c r="G44" s="83"/>
      <c r="H44" s="83"/>
      <c r="I44" s="83"/>
      <c r="J44" s="83"/>
      <c r="K44" s="83"/>
      <c r="L44" s="83"/>
      <c r="M44" s="86"/>
      <c r="N44" s="83"/>
      <c r="O44" s="86"/>
      <c r="P44" s="83"/>
      <c r="Q44" s="86"/>
      <c r="R44" s="83"/>
      <c r="S44" s="86"/>
      <c r="T44" s="13"/>
      <c r="U44" s="38" t="s">
        <v>69</v>
      </c>
      <c r="V44" s="39">
        <v>2862</v>
      </c>
      <c r="W44" s="39"/>
      <c r="X44" s="39"/>
      <c r="Y44" s="39"/>
      <c r="Z44" s="39"/>
      <c r="AA44" s="39"/>
      <c r="AB44" s="39"/>
      <c r="AC44" s="39"/>
      <c r="AD44" s="13"/>
      <c r="AE44" s="43"/>
      <c r="AF44" s="43"/>
    </row>
    <row r="45" spans="2:35" ht="15">
      <c r="B45" s="99"/>
      <c r="C45" s="105" t="s">
        <v>143</v>
      </c>
      <c r="D45" s="106"/>
      <c r="E45" s="106"/>
      <c r="F45" s="106"/>
      <c r="G45" s="106"/>
      <c r="H45" s="106"/>
      <c r="I45" s="106"/>
      <c r="J45" s="106"/>
      <c r="K45" s="106"/>
      <c r="L45" s="106"/>
      <c r="M45" s="106"/>
      <c r="N45" s="106"/>
      <c r="O45" s="106"/>
      <c r="P45" s="106"/>
      <c r="Q45" s="106"/>
      <c r="R45" s="106"/>
      <c r="S45" s="106"/>
      <c r="T45" s="13"/>
      <c r="U45" s="38" t="s">
        <v>70</v>
      </c>
      <c r="V45" s="39">
        <v>1140</v>
      </c>
      <c r="W45" s="39">
        <v>616</v>
      </c>
      <c r="X45" s="39">
        <v>100</v>
      </c>
      <c r="Y45" s="39">
        <f>450+195</f>
        <v>645</v>
      </c>
      <c r="Z45" s="39"/>
      <c r="AA45" s="39"/>
      <c r="AB45" s="39"/>
      <c r="AC45" s="39"/>
      <c r="AD45" s="13"/>
      <c r="AE45" s="43"/>
      <c r="AF45" s="43"/>
    </row>
    <row r="46" spans="2:35" ht="15">
      <c r="B46" s="100"/>
      <c r="C46" s="106"/>
      <c r="D46" s="106"/>
      <c r="E46" s="106"/>
      <c r="F46" s="106"/>
      <c r="G46" s="106"/>
      <c r="H46" s="106"/>
      <c r="I46" s="106"/>
      <c r="J46" s="106"/>
      <c r="K46" s="106"/>
      <c r="L46" s="106"/>
      <c r="M46" s="106"/>
      <c r="N46" s="106"/>
      <c r="O46" s="106"/>
      <c r="P46" s="106"/>
      <c r="Q46" s="106"/>
      <c r="R46" s="106"/>
      <c r="S46" s="106"/>
      <c r="T46" s="13"/>
      <c r="U46" s="38" t="s">
        <v>71</v>
      </c>
      <c r="V46" s="39">
        <f>426+478+100</f>
        <v>1004</v>
      </c>
      <c r="W46" s="39"/>
      <c r="X46" s="39">
        <v>1315</v>
      </c>
      <c r="Y46" s="39"/>
      <c r="Z46" s="39"/>
      <c r="AA46" s="39"/>
      <c r="AB46" s="39"/>
      <c r="AC46" s="39"/>
      <c r="AD46" s="13"/>
      <c r="AE46" s="43"/>
      <c r="AF46" s="43"/>
    </row>
    <row r="47" spans="2:35" ht="15">
      <c r="C47" s="109" t="s">
        <v>145</v>
      </c>
      <c r="D47" s="106"/>
      <c r="E47" s="106"/>
      <c r="F47" s="106"/>
      <c r="G47" s="106"/>
      <c r="H47" s="106"/>
      <c r="I47" s="106"/>
      <c r="J47" s="106"/>
      <c r="K47" s="106"/>
      <c r="L47" s="106"/>
      <c r="M47" s="106"/>
      <c r="N47" s="106"/>
      <c r="O47" s="106"/>
      <c r="P47" s="106"/>
      <c r="Q47" s="106"/>
      <c r="R47" s="106"/>
      <c r="S47" s="106"/>
      <c r="T47" s="2"/>
      <c r="U47" s="38" t="s">
        <v>72</v>
      </c>
      <c r="V47" s="39">
        <f>495+82</f>
        <v>577</v>
      </c>
      <c r="W47" s="39">
        <f>220</f>
        <v>220</v>
      </c>
      <c r="X47" s="39">
        <v>883</v>
      </c>
      <c r="Y47" s="39">
        <v>375</v>
      </c>
      <c r="Z47" s="39"/>
      <c r="AA47" s="39"/>
      <c r="AB47" s="39"/>
      <c r="AC47" s="39"/>
      <c r="AD47" s="2"/>
      <c r="AE47" s="2"/>
      <c r="AF47" s="2"/>
      <c r="AG47" s="2"/>
      <c r="AH47" s="2"/>
      <c r="AI47" s="2"/>
    </row>
    <row r="48" spans="2:35" ht="15">
      <c r="B48" s="6"/>
      <c r="C48" s="106"/>
      <c r="D48" s="106"/>
      <c r="E48" s="106"/>
      <c r="F48" s="106"/>
      <c r="G48" s="106"/>
      <c r="H48" s="106"/>
      <c r="I48" s="106"/>
      <c r="J48" s="106"/>
      <c r="K48" s="106"/>
      <c r="L48" s="106"/>
      <c r="M48" s="106"/>
      <c r="N48" s="106"/>
      <c r="O48" s="106"/>
      <c r="P48" s="106"/>
      <c r="Q48" s="106"/>
      <c r="R48" s="106"/>
      <c r="S48" s="106"/>
      <c r="T48" s="2"/>
      <c r="U48" s="38" t="s">
        <v>73</v>
      </c>
      <c r="V48" s="39">
        <v>244</v>
      </c>
      <c r="W48" s="39">
        <v>52</v>
      </c>
      <c r="X48" s="39">
        <v>2500</v>
      </c>
      <c r="Y48" s="39">
        <v>100</v>
      </c>
      <c r="Z48" s="39"/>
      <c r="AA48" s="39"/>
      <c r="AB48" s="39"/>
      <c r="AC48" s="39"/>
      <c r="AD48" s="2"/>
      <c r="AE48" s="2"/>
      <c r="AF48" s="2"/>
      <c r="AG48" s="2"/>
      <c r="AH48" s="2"/>
      <c r="AI48" s="2"/>
    </row>
    <row r="49" spans="2:35" ht="15" customHeight="1">
      <c r="B49" s="100"/>
      <c r="C49" s="106"/>
      <c r="D49" s="106"/>
      <c r="E49" s="106"/>
      <c r="F49" s="106"/>
      <c r="G49" s="106"/>
      <c r="H49" s="106"/>
      <c r="I49" s="106"/>
      <c r="J49" s="106"/>
      <c r="K49" s="106"/>
      <c r="L49" s="106"/>
      <c r="M49" s="106"/>
      <c r="N49" s="106"/>
      <c r="O49" s="106"/>
      <c r="P49" s="106"/>
      <c r="Q49" s="106"/>
      <c r="R49" s="106"/>
      <c r="S49" s="106"/>
      <c r="T49" s="60"/>
      <c r="U49" s="38" t="s">
        <v>74</v>
      </c>
      <c r="V49" s="39"/>
      <c r="W49" s="39">
        <v>102</v>
      </c>
      <c r="X49" s="39">
        <v>1830</v>
      </c>
      <c r="Y49" s="39">
        <v>1830</v>
      </c>
      <c r="Z49" s="37"/>
      <c r="AA49" s="37"/>
      <c r="AB49" s="37"/>
      <c r="AC49" s="37"/>
      <c r="AD49" s="60"/>
      <c r="AE49" s="61"/>
      <c r="AF49" s="61"/>
      <c r="AG49" s="61"/>
      <c r="AH49" s="61"/>
      <c r="AI49" s="61"/>
    </row>
    <row r="50" spans="2:35" ht="15">
      <c r="B50" s="100"/>
      <c r="C50" s="106"/>
      <c r="D50" s="106"/>
      <c r="E50" s="106"/>
      <c r="F50" s="106"/>
      <c r="G50" s="106"/>
      <c r="H50" s="106"/>
      <c r="I50" s="106"/>
      <c r="J50" s="106"/>
      <c r="K50" s="106"/>
      <c r="L50" s="106"/>
      <c r="M50" s="106"/>
      <c r="N50" s="106"/>
      <c r="O50" s="106"/>
      <c r="P50" s="106"/>
      <c r="Q50" s="106"/>
      <c r="R50" s="106"/>
      <c r="S50" s="106"/>
      <c r="T50" s="2"/>
      <c r="U50" s="38" t="s">
        <v>86</v>
      </c>
      <c r="V50" s="39"/>
      <c r="W50" s="39">
        <f>9300+1200</f>
        <v>10500</v>
      </c>
      <c r="X50" s="39">
        <v>13622</v>
      </c>
      <c r="Y50" s="39">
        <f>600</f>
        <v>600</v>
      </c>
      <c r="Z50" s="39"/>
      <c r="AA50" s="39"/>
      <c r="AB50" s="39"/>
      <c r="AC50" s="39"/>
      <c r="AD50" s="2"/>
      <c r="AE50" s="2"/>
      <c r="AF50" s="2"/>
      <c r="AG50" s="2"/>
      <c r="AH50" s="2"/>
      <c r="AI50" s="2"/>
    </row>
    <row r="51" spans="2:35" ht="15">
      <c r="B51" s="102"/>
      <c r="C51" s="107" t="s">
        <v>137</v>
      </c>
      <c r="D51" s="106"/>
      <c r="E51" s="106"/>
      <c r="F51" s="106"/>
      <c r="G51" s="106"/>
      <c r="H51" s="106"/>
      <c r="I51" s="106"/>
      <c r="J51" s="106"/>
      <c r="K51" s="106"/>
      <c r="L51" s="106"/>
      <c r="M51" s="106"/>
      <c r="N51" s="106"/>
      <c r="O51" s="106"/>
      <c r="P51" s="106"/>
      <c r="Q51" s="106"/>
      <c r="R51" s="106"/>
      <c r="S51" s="106"/>
      <c r="T51" s="2"/>
      <c r="U51" s="38" t="s">
        <v>87</v>
      </c>
      <c r="V51" s="39"/>
      <c r="W51" s="39"/>
      <c r="X51" s="39"/>
      <c r="Y51" s="39">
        <v>5500</v>
      </c>
      <c r="Z51" s="39"/>
      <c r="AA51" s="39"/>
      <c r="AB51" s="39"/>
      <c r="AC51" s="39"/>
      <c r="AD51" s="2"/>
      <c r="AE51" s="2"/>
      <c r="AF51" s="2"/>
      <c r="AG51" s="2"/>
      <c r="AH51" s="2"/>
      <c r="AI51" s="2"/>
    </row>
    <row r="52" spans="2:35" ht="13.5" customHeight="1">
      <c r="B52" s="100"/>
      <c r="C52" s="106"/>
      <c r="D52" s="106"/>
      <c r="E52" s="106"/>
      <c r="F52" s="106"/>
      <c r="G52" s="106"/>
      <c r="H52" s="106"/>
      <c r="I52" s="106"/>
      <c r="J52" s="106"/>
      <c r="K52" s="106"/>
      <c r="L52" s="106"/>
      <c r="M52" s="106"/>
      <c r="N52" s="106"/>
      <c r="O52" s="106"/>
      <c r="P52" s="106"/>
      <c r="Q52" s="106"/>
      <c r="R52" s="106"/>
      <c r="S52" s="106"/>
      <c r="T52" s="2"/>
      <c r="U52" s="38" t="s">
        <v>88</v>
      </c>
      <c r="V52" s="39"/>
      <c r="W52" s="39"/>
      <c r="X52" s="39"/>
      <c r="Y52" s="39"/>
      <c r="Z52" s="39"/>
      <c r="AA52" s="39"/>
      <c r="AB52" s="39"/>
      <c r="AC52" s="39"/>
      <c r="AD52" s="2"/>
      <c r="AE52" s="2"/>
      <c r="AF52" s="2"/>
      <c r="AG52" s="2"/>
      <c r="AH52" s="2"/>
      <c r="AI52" s="2"/>
    </row>
    <row r="53" spans="2:35" ht="13.5" customHeight="1">
      <c r="B53" s="102"/>
      <c r="C53" s="87" t="s">
        <v>139</v>
      </c>
      <c r="D53" s="87"/>
      <c r="E53" s="87"/>
      <c r="F53" s="87"/>
      <c r="G53" s="87"/>
      <c r="H53" s="87"/>
      <c r="I53" s="87"/>
      <c r="J53" s="87"/>
      <c r="K53" s="87"/>
      <c r="L53" s="87"/>
      <c r="M53" s="87"/>
      <c r="N53" s="87"/>
      <c r="O53" s="87"/>
      <c r="P53" s="87"/>
      <c r="Q53" s="87"/>
      <c r="R53" s="87"/>
      <c r="S53" s="87"/>
      <c r="T53" s="13"/>
      <c r="U53" s="38" t="s">
        <v>89</v>
      </c>
      <c r="V53" s="39"/>
      <c r="W53" s="39"/>
      <c r="X53" s="39"/>
      <c r="Y53" s="39"/>
      <c r="Z53" s="39"/>
      <c r="AA53" s="39"/>
      <c r="AB53" s="39"/>
      <c r="AC53" s="39"/>
      <c r="AD53" s="13"/>
    </row>
    <row r="54" spans="2:35" s="43" customFormat="1" ht="13.5" customHeight="1">
      <c r="B54" s="102"/>
      <c r="C54" s="85"/>
      <c r="D54" s="83"/>
      <c r="E54" s="83"/>
      <c r="F54" s="83"/>
      <c r="G54" s="83"/>
      <c r="H54" s="83"/>
      <c r="I54" s="83"/>
      <c r="J54" s="83"/>
      <c r="K54" s="83"/>
      <c r="L54" s="83"/>
      <c r="M54" s="86"/>
      <c r="N54" s="83"/>
      <c r="O54" s="86"/>
      <c r="P54" s="83"/>
      <c r="Q54" s="86"/>
      <c r="R54" s="83"/>
      <c r="S54" s="86"/>
      <c r="T54" s="13"/>
      <c r="U54" s="67" t="s">
        <v>130</v>
      </c>
      <c r="V54" s="68"/>
      <c r="W54" s="68"/>
      <c r="X54" s="68"/>
      <c r="Y54" s="68"/>
      <c r="Z54" s="39"/>
      <c r="AA54" s="39"/>
      <c r="AB54" s="39"/>
      <c r="AC54" s="39"/>
      <c r="AD54" s="13"/>
    </row>
    <row r="55" spans="2:35" ht="13.5" customHeight="1">
      <c r="B55" s="102"/>
      <c r="C55" s="108" t="s">
        <v>144</v>
      </c>
      <c r="D55" s="106"/>
      <c r="E55" s="106"/>
      <c r="F55" s="106"/>
      <c r="G55" s="106"/>
      <c r="H55" s="106"/>
      <c r="I55" s="106"/>
      <c r="J55" s="106"/>
      <c r="K55" s="106"/>
      <c r="L55" s="106"/>
      <c r="M55" s="106"/>
      <c r="N55" s="106"/>
      <c r="O55" s="106"/>
      <c r="P55" s="106"/>
      <c r="Q55" s="106"/>
      <c r="R55" s="106"/>
      <c r="S55" s="106"/>
      <c r="T55" s="13"/>
      <c r="U55" s="38" t="s">
        <v>75</v>
      </c>
      <c r="V55" s="39"/>
      <c r="W55" s="39">
        <f>981+200</f>
        <v>1181</v>
      </c>
      <c r="X55" s="39">
        <v>850</v>
      </c>
      <c r="Y55" s="39">
        <v>350</v>
      </c>
      <c r="Z55" s="39"/>
      <c r="AA55" s="39"/>
      <c r="AB55" s="39"/>
      <c r="AC55" s="39"/>
      <c r="AD55" s="13"/>
    </row>
    <row r="56" spans="2:35" ht="13.5" customHeight="1">
      <c r="B56" s="100"/>
      <c r="C56" s="106"/>
      <c r="D56" s="106"/>
      <c r="E56" s="106"/>
      <c r="F56" s="106"/>
      <c r="G56" s="106"/>
      <c r="H56" s="106"/>
      <c r="I56" s="106"/>
      <c r="J56" s="106"/>
      <c r="K56" s="106"/>
      <c r="L56" s="106"/>
      <c r="M56" s="106"/>
      <c r="N56" s="106"/>
      <c r="O56" s="106"/>
      <c r="P56" s="106"/>
      <c r="Q56" s="106"/>
      <c r="R56" s="106"/>
      <c r="S56" s="106"/>
      <c r="T56" s="13"/>
      <c r="U56" s="63" t="s">
        <v>76</v>
      </c>
      <c r="V56" s="39"/>
      <c r="W56" s="39"/>
      <c r="X56" s="39">
        <v>13308</v>
      </c>
      <c r="Y56" s="39">
        <v>13309</v>
      </c>
      <c r="Z56" s="39"/>
      <c r="AA56" s="39"/>
      <c r="AB56" s="39"/>
      <c r="AC56" s="39"/>
      <c r="AD56" s="13"/>
    </row>
    <row r="57" spans="2:35" s="43" customFormat="1" ht="13.5" customHeight="1">
      <c r="B57" s="100"/>
      <c r="C57" s="108" t="s">
        <v>148</v>
      </c>
      <c r="D57" s="106"/>
      <c r="E57" s="106"/>
      <c r="F57" s="106"/>
      <c r="G57" s="106"/>
      <c r="H57" s="106"/>
      <c r="I57" s="106"/>
      <c r="J57" s="106"/>
      <c r="K57" s="106"/>
      <c r="L57" s="106"/>
      <c r="M57" s="106"/>
      <c r="N57" s="106"/>
      <c r="O57" s="106"/>
      <c r="P57" s="106"/>
      <c r="Q57" s="106"/>
      <c r="R57" s="106"/>
      <c r="S57" s="106"/>
      <c r="T57" s="13"/>
      <c r="U57" s="70" t="s">
        <v>82</v>
      </c>
      <c r="V57" s="68"/>
      <c r="W57" s="68"/>
      <c r="X57" s="68"/>
      <c r="Y57" s="68"/>
      <c r="Z57" s="39"/>
      <c r="AA57" s="39"/>
      <c r="AB57" s="39"/>
      <c r="AC57" s="39"/>
      <c r="AD57" s="13"/>
    </row>
    <row r="58" spans="2:35" ht="13.5" customHeight="1">
      <c r="B58" s="100"/>
      <c r="C58" s="106"/>
      <c r="D58" s="106"/>
      <c r="E58" s="106"/>
      <c r="F58" s="106"/>
      <c r="G58" s="106"/>
      <c r="H58" s="106"/>
      <c r="I58" s="106"/>
      <c r="J58" s="106"/>
      <c r="K58" s="106"/>
      <c r="L58" s="106"/>
      <c r="M58" s="106"/>
      <c r="N58" s="106"/>
      <c r="O58" s="106"/>
      <c r="P58" s="106"/>
      <c r="Q58" s="106"/>
      <c r="R58" s="106"/>
      <c r="S58" s="106"/>
      <c r="T58" s="13"/>
      <c r="U58" s="70" t="s">
        <v>81</v>
      </c>
      <c r="V58" s="68"/>
      <c r="W58" s="68"/>
      <c r="X58" s="68"/>
      <c r="Y58" s="68"/>
      <c r="Z58" s="39"/>
      <c r="AA58" s="39"/>
      <c r="AB58" s="39"/>
      <c r="AC58" s="39"/>
      <c r="AD58" s="13"/>
    </row>
    <row r="59" spans="2:35" ht="13.5" customHeight="1">
      <c r="B59" s="100"/>
      <c r="C59" s="106"/>
      <c r="D59" s="106"/>
      <c r="E59" s="106"/>
      <c r="F59" s="106"/>
      <c r="G59" s="106"/>
      <c r="H59" s="106"/>
      <c r="I59" s="106"/>
      <c r="J59" s="106"/>
      <c r="K59" s="106"/>
      <c r="L59" s="106"/>
      <c r="M59" s="106"/>
      <c r="N59" s="106"/>
      <c r="O59" s="106"/>
      <c r="P59" s="106"/>
      <c r="Q59" s="106"/>
      <c r="R59" s="106"/>
      <c r="S59" s="106"/>
      <c r="T59" s="13"/>
      <c r="U59" s="63" t="s">
        <v>77</v>
      </c>
      <c r="V59" s="39"/>
      <c r="W59" s="39"/>
      <c r="X59" s="39">
        <v>695</v>
      </c>
      <c r="Y59" s="39">
        <v>5300</v>
      </c>
      <c r="Z59" s="39"/>
      <c r="AA59" s="39"/>
      <c r="AB59" s="39"/>
      <c r="AC59" s="39"/>
      <c r="AD59" s="13"/>
    </row>
    <row r="60" spans="2:35" ht="13.5" customHeight="1">
      <c r="B60" s="100"/>
      <c r="C60" s="91" t="s">
        <v>78</v>
      </c>
      <c r="D60" s="83"/>
      <c r="E60" s="83"/>
      <c r="F60" s="83"/>
      <c r="G60" s="83"/>
      <c r="H60" s="83"/>
      <c r="I60" s="83"/>
      <c r="J60" s="83"/>
      <c r="K60" s="83"/>
      <c r="L60" s="83"/>
      <c r="M60" s="86"/>
      <c r="N60" s="83"/>
      <c r="O60" s="86"/>
      <c r="P60" s="83"/>
      <c r="Q60" s="86"/>
      <c r="R60" s="83"/>
      <c r="S60" s="86"/>
      <c r="T60" s="13"/>
      <c r="U60" s="70"/>
      <c r="V60" s="68"/>
      <c r="W60" s="68"/>
      <c r="X60" s="68"/>
      <c r="Y60" s="68"/>
      <c r="Z60" s="39"/>
      <c r="AA60" s="39"/>
      <c r="AB60" s="39"/>
      <c r="AC60" s="39"/>
      <c r="AD60" s="13"/>
    </row>
    <row r="61" spans="2:35" ht="13.5" customHeight="1">
      <c r="B61" s="100"/>
      <c r="C61" s="84" t="s">
        <v>131</v>
      </c>
      <c r="D61" s="83"/>
      <c r="E61" s="83"/>
      <c r="F61" s="83"/>
      <c r="G61" s="83"/>
      <c r="H61" s="83"/>
      <c r="I61" s="83"/>
      <c r="J61" s="83"/>
      <c r="K61" s="83"/>
      <c r="L61" s="83"/>
      <c r="M61" s="86"/>
      <c r="N61" s="83"/>
      <c r="O61" s="86"/>
      <c r="P61" s="83"/>
      <c r="Q61" s="86"/>
      <c r="R61" s="83"/>
      <c r="S61" s="86"/>
      <c r="U61" s="70"/>
      <c r="V61" s="68"/>
      <c r="W61" s="68"/>
      <c r="X61" s="68"/>
      <c r="Y61" s="68"/>
      <c r="Z61" s="39"/>
      <c r="AA61" s="39"/>
      <c r="AB61" s="39"/>
      <c r="AC61" s="39"/>
    </row>
    <row r="62" spans="2:35" ht="13.5" customHeight="1">
      <c r="B62" s="100"/>
      <c r="C62" s="83" t="s">
        <v>132</v>
      </c>
      <c r="D62" s="83"/>
      <c r="E62" s="83"/>
      <c r="F62" s="83"/>
      <c r="G62" s="83"/>
      <c r="H62" s="83"/>
      <c r="I62" s="83"/>
      <c r="J62" s="83"/>
      <c r="K62" s="83"/>
      <c r="L62" s="83"/>
      <c r="M62" s="86"/>
      <c r="N62" s="83"/>
      <c r="O62" s="86"/>
      <c r="P62" s="83"/>
      <c r="Q62" s="86"/>
      <c r="R62" s="83"/>
      <c r="S62" s="86"/>
      <c r="U62" s="38" t="s">
        <v>41</v>
      </c>
      <c r="V62" s="39">
        <f>401+162+265+162+249</f>
        <v>1239</v>
      </c>
      <c r="W62" s="39">
        <f>216+67+50+32+231</f>
        <v>596</v>
      </c>
      <c r="X62" s="39">
        <f>58+88+400+175+97</f>
        <v>818</v>
      </c>
      <c r="Y62" s="39">
        <f>105+1417+135+250</f>
        <v>1907</v>
      </c>
      <c r="Z62" s="39"/>
      <c r="AA62" s="39"/>
      <c r="AB62" s="39"/>
      <c r="AC62" s="39"/>
    </row>
    <row r="63" spans="2:35" ht="13.5" customHeight="1">
      <c r="B63" s="102"/>
      <c r="C63" s="85" t="s">
        <v>146</v>
      </c>
      <c r="D63" s="83"/>
      <c r="E63" s="83"/>
      <c r="F63" s="83"/>
      <c r="G63" s="83"/>
      <c r="H63" s="83"/>
      <c r="I63" s="83"/>
      <c r="J63" s="83"/>
      <c r="K63" s="83"/>
      <c r="L63" s="83"/>
      <c r="M63" s="86"/>
      <c r="N63" s="83"/>
      <c r="O63" s="86"/>
      <c r="P63" s="83"/>
      <c r="Q63" s="86"/>
      <c r="R63" s="83"/>
      <c r="S63" s="86"/>
      <c r="U63" s="5"/>
      <c r="V63" s="39"/>
      <c r="W63" s="39"/>
      <c r="X63" s="39"/>
      <c r="Y63" s="39"/>
      <c r="Z63" s="39"/>
      <c r="AA63" s="39"/>
      <c r="AB63" s="39"/>
      <c r="AC63" s="39"/>
    </row>
    <row r="64" spans="2:35" ht="13.5" customHeight="1">
      <c r="B64" s="100"/>
      <c r="C64" s="85"/>
      <c r="D64" s="83"/>
      <c r="E64" s="83"/>
      <c r="F64" s="83"/>
      <c r="G64" s="83"/>
      <c r="H64" s="83"/>
      <c r="I64" s="83"/>
      <c r="J64" s="83"/>
      <c r="K64" s="83"/>
      <c r="L64" s="83"/>
      <c r="M64" s="85"/>
      <c r="N64" s="83"/>
      <c r="O64" s="85"/>
      <c r="P64" s="83"/>
      <c r="Q64" s="86"/>
      <c r="R64" s="83"/>
      <c r="S64" s="86"/>
      <c r="U64" s="69"/>
      <c r="V64" s="6"/>
      <c r="W64" s="6"/>
      <c r="X64" s="6"/>
      <c r="Y64" s="6"/>
      <c r="Z64" s="68"/>
      <c r="AA64" s="68"/>
      <c r="AB64" s="68"/>
      <c r="AC64" s="68"/>
    </row>
    <row r="65" spans="2:29" ht="13.5" customHeight="1">
      <c r="B65" s="100"/>
      <c r="C65" s="85" t="s">
        <v>147</v>
      </c>
      <c r="D65" s="83"/>
      <c r="E65" s="83"/>
      <c r="F65" s="83"/>
      <c r="G65" s="83"/>
      <c r="H65" s="83"/>
      <c r="I65" s="83"/>
      <c r="J65" s="83"/>
      <c r="K65" s="83"/>
      <c r="L65" s="83"/>
      <c r="M65" s="85"/>
      <c r="N65" s="83"/>
      <c r="O65" s="85"/>
      <c r="P65" s="83"/>
      <c r="Q65" s="86"/>
      <c r="R65" s="83"/>
      <c r="S65" s="86"/>
      <c r="U65" s="2"/>
      <c r="V65" s="7"/>
      <c r="W65" s="7"/>
      <c r="X65" s="7"/>
      <c r="Y65" s="7"/>
      <c r="Z65" s="39"/>
      <c r="AA65" s="39"/>
      <c r="AB65" s="39"/>
      <c r="AC65" s="39"/>
    </row>
    <row r="66" spans="2:29" ht="13.5" customHeight="1">
      <c r="B66" s="102"/>
      <c r="C66" s="85"/>
      <c r="D66" s="83"/>
      <c r="E66" s="83"/>
      <c r="F66" s="83"/>
      <c r="G66" s="83"/>
      <c r="H66" s="83"/>
      <c r="I66" s="83"/>
      <c r="J66" s="83"/>
      <c r="K66" s="83"/>
      <c r="L66" s="83"/>
      <c r="M66" s="85"/>
      <c r="N66" s="83"/>
      <c r="O66" s="85"/>
      <c r="P66" s="83"/>
      <c r="Q66" s="86"/>
      <c r="R66" s="83"/>
      <c r="S66" s="86"/>
      <c r="U66" s="14"/>
      <c r="V66" s="66"/>
      <c r="W66" s="66"/>
      <c r="X66" s="66"/>
      <c r="Y66" s="15"/>
      <c r="Z66" s="39"/>
      <c r="AA66" s="39"/>
      <c r="AB66" s="39"/>
      <c r="AC66" s="39"/>
    </row>
    <row r="67" spans="2:29" ht="13.5" customHeight="1">
      <c r="B67" s="102"/>
      <c r="C67" s="85"/>
      <c r="D67" s="83"/>
      <c r="E67" s="83"/>
      <c r="F67" s="83"/>
      <c r="G67" s="83"/>
      <c r="H67" s="83"/>
      <c r="I67" s="83"/>
      <c r="J67" s="83"/>
      <c r="K67" s="83"/>
      <c r="L67" s="83"/>
      <c r="M67" s="85"/>
      <c r="N67" s="83"/>
      <c r="O67" s="85"/>
      <c r="P67" s="83"/>
      <c r="Q67" s="86"/>
      <c r="R67" s="83"/>
      <c r="S67" s="86"/>
      <c r="U67" s="2"/>
      <c r="V67" s="20"/>
      <c r="W67" s="20"/>
      <c r="X67" s="20"/>
      <c r="Y67" s="20"/>
      <c r="Z67" s="68"/>
      <c r="AA67" s="68"/>
      <c r="AB67" s="68"/>
      <c r="AC67" s="68"/>
    </row>
    <row r="68" spans="2:29" ht="13.5" customHeight="1">
      <c r="B68" s="102"/>
      <c r="C68" s="86"/>
      <c r="D68" s="83"/>
      <c r="E68" s="83"/>
      <c r="F68" s="83"/>
      <c r="G68" s="83"/>
      <c r="H68" s="83"/>
      <c r="I68" s="83"/>
      <c r="J68" s="83"/>
      <c r="K68" s="83"/>
      <c r="L68" s="83"/>
      <c r="M68" s="85"/>
      <c r="N68" s="83"/>
      <c r="O68" s="85"/>
      <c r="P68" s="83"/>
      <c r="Q68" s="86"/>
      <c r="R68" s="83"/>
      <c r="S68" s="86"/>
      <c r="U68" s="2"/>
      <c r="V68" s="20"/>
      <c r="W68" s="20"/>
      <c r="X68" s="20"/>
      <c r="Y68" s="20"/>
      <c r="Z68" s="68"/>
      <c r="AA68" s="68"/>
      <c r="AB68" s="68"/>
      <c r="AC68" s="68"/>
    </row>
    <row r="69" spans="2:29" ht="13.5" customHeight="1">
      <c r="B69" s="102"/>
      <c r="C69" s="86"/>
      <c r="D69" s="83"/>
      <c r="E69" s="83"/>
      <c r="F69" s="83"/>
      <c r="G69" s="83"/>
      <c r="H69" s="83"/>
      <c r="I69" s="83"/>
      <c r="J69" s="83"/>
      <c r="K69" s="83"/>
      <c r="L69" s="83"/>
      <c r="M69" s="86"/>
      <c r="N69" s="83"/>
      <c r="O69" s="86"/>
      <c r="P69" s="83"/>
      <c r="Q69" s="86"/>
      <c r="R69" s="83"/>
      <c r="S69" s="86"/>
      <c r="U69" s="2"/>
      <c r="V69" s="20"/>
      <c r="W69" s="20"/>
      <c r="X69" s="20"/>
      <c r="Y69" s="20"/>
      <c r="Z69" s="39"/>
      <c r="AA69" s="39"/>
      <c r="AB69" s="39"/>
      <c r="AC69" s="39"/>
    </row>
    <row r="70" spans="2:29" ht="13.5" customHeight="1">
      <c r="U70" s="2"/>
      <c r="V70" s="20"/>
      <c r="W70" s="20"/>
      <c r="X70" s="20"/>
      <c r="Y70" s="20"/>
      <c r="Z70" s="39"/>
      <c r="AA70" s="39"/>
      <c r="AB70" s="39"/>
      <c r="AC70" s="39"/>
    </row>
    <row r="71" spans="2:29" ht="13.5" customHeight="1">
      <c r="U71" s="2"/>
      <c r="V71" s="20"/>
      <c r="W71" s="20"/>
      <c r="X71" s="20"/>
      <c r="Y71" s="20"/>
      <c r="Z71" s="39"/>
      <c r="AA71" s="39"/>
      <c r="AB71" s="39"/>
      <c r="AC71" s="39"/>
    </row>
    <row r="72" spans="2:29" ht="13.5" customHeight="1">
      <c r="U72" s="2"/>
      <c r="V72" s="20"/>
      <c r="W72" s="20"/>
      <c r="X72" s="20"/>
      <c r="Y72" s="20"/>
      <c r="Z72" s="6"/>
      <c r="AA72" s="6"/>
      <c r="AB72" s="6"/>
      <c r="AC72" s="6"/>
    </row>
    <row r="73" spans="2:29" ht="13.5" customHeight="1">
      <c r="Z73" s="7"/>
      <c r="AA73" s="7"/>
      <c r="AB73" s="7"/>
      <c r="AC73" s="7"/>
    </row>
    <row r="74" spans="2:29" ht="13.5" customHeight="1">
      <c r="Z74" s="15"/>
      <c r="AA74" s="15"/>
      <c r="AB74" s="15"/>
      <c r="AC74" s="15"/>
    </row>
    <row r="75" spans="2:29" ht="13.5" customHeight="1">
      <c r="Z75" s="20"/>
      <c r="AA75" s="20"/>
      <c r="AB75" s="20"/>
      <c r="AC75" s="20"/>
    </row>
    <row r="76" spans="2:29" ht="13.5" customHeight="1">
      <c r="Z76" s="20"/>
      <c r="AA76" s="20"/>
      <c r="AB76" s="20"/>
      <c r="AC76" s="20"/>
    </row>
    <row r="77" spans="2:29" ht="13.5" customHeight="1">
      <c r="Z77" s="20"/>
      <c r="AA77" s="20"/>
      <c r="AB77" s="20"/>
      <c r="AC77" s="20"/>
    </row>
    <row r="78" spans="2:29" ht="13.5" customHeight="1">
      <c r="Z78" s="26"/>
      <c r="AA78" s="20"/>
      <c r="AB78" s="20"/>
      <c r="AC78" s="20"/>
    </row>
    <row r="79" spans="2:29" ht="13.5" customHeight="1">
      <c r="Z79" s="20"/>
      <c r="AA79" s="20"/>
      <c r="AB79" s="20"/>
      <c r="AC79" s="20"/>
    </row>
    <row r="80" spans="2:29" ht="13.5" customHeight="1">
      <c r="Z80" s="20"/>
      <c r="AA80" s="20"/>
      <c r="AB80" s="20"/>
      <c r="AC80" s="20"/>
    </row>
  </sheetData>
  <mergeCells count="5">
    <mergeCell ref="C45:S46"/>
    <mergeCell ref="C47:S50"/>
    <mergeCell ref="C51:S52"/>
    <mergeCell ref="C55:S56"/>
    <mergeCell ref="C57:S59"/>
  </mergeCells>
  <pageMargins left="0.15748031496062992" right="0.15748031496062992" top="0.19685039370078741" bottom="0.15748031496062992" header="0.31496062992125984" footer="0.15748031496062992"/>
  <pageSetup paperSize="9" scale="47" orientation="landscape" r:id="rId1"/>
  <legacy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2023-2026 výhled ZM</vt:lpstr>
    </vt:vector>
  </TitlesOfParts>
  <Company>ATC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Trojanová Hana, Ing.</dc:creator>
  <cp:lastModifiedBy>Trojanová Hana, Ing.</cp:lastModifiedBy>
  <cp:lastPrinted>2022-04-28T11:37:36Z</cp:lastPrinted>
  <dcterms:created xsi:type="dcterms:W3CDTF">2022-04-06T14:44:04Z</dcterms:created>
  <dcterms:modified xsi:type="dcterms:W3CDTF">2022-05-03T06:45:20Z</dcterms:modified>
</cp:coreProperties>
</file>