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5125" windowHeight="13950"/>
  </bookViews>
  <sheets>
    <sheet name="sumář" sheetId="1" r:id="rId1"/>
    <sheet name="příjmy" sheetId="2" r:id="rId2"/>
    <sheet name="výdaje" sheetId="3" r:id="rId3"/>
    <sheet name="Závazné ukazatele rozpočtu" sheetId="22" r:id="rId4"/>
    <sheet name="okruhy rozpočtu" sheetId="14" r:id="rId5"/>
    <sheet name="Projekty" sheetId="21" r:id="rId6"/>
  </sheets>
  <definedNames>
    <definedName name="_xlnm.Print_Titles" localSheetId="1">příjmy!$A:$E,příjmy!$1:$3</definedName>
    <definedName name="_xlnm.Print_Titles" localSheetId="2">výdaje!$A:$D,výdaje!$1:$4</definedName>
    <definedName name="_xlnm.Print_Area" localSheetId="5">Projekty!$A$1:$W$26</definedName>
    <definedName name="_xlnm.Print_Area" localSheetId="1">příjmy!$A$1:$V$151</definedName>
    <definedName name="_xlnm.Print_Area" localSheetId="2">výdaje!$A$1:$AJ$131</definedName>
  </definedNames>
  <calcPr calcId="145621"/>
</workbook>
</file>

<file path=xl/calcChain.xml><?xml version="1.0" encoding="utf-8"?>
<calcChain xmlns="http://schemas.openxmlformats.org/spreadsheetml/2006/main">
  <c r="C30" i="22" l="1"/>
  <c r="C29" i="22"/>
  <c r="C28" i="22"/>
  <c r="C23" i="22"/>
  <c r="AF117" i="3"/>
  <c r="C21" i="22"/>
  <c r="C20" i="22"/>
  <c r="C19" i="22"/>
  <c r="C18" i="22"/>
  <c r="C17" i="22"/>
  <c r="C16" i="22"/>
  <c r="C15" i="22"/>
  <c r="C14" i="22"/>
  <c r="C13" i="22"/>
  <c r="C12" i="22"/>
  <c r="C11" i="22"/>
  <c r="C31" i="22" l="1"/>
  <c r="U42" i="2"/>
  <c r="U62" i="2"/>
  <c r="T19" i="21" l="1"/>
  <c r="M26" i="21" l="1"/>
  <c r="I26" i="21"/>
  <c r="I25" i="21"/>
  <c r="Q25" i="21" s="1"/>
  <c r="I24" i="21"/>
  <c r="R24" i="21" s="1"/>
  <c r="I23" i="21"/>
  <c r="Q23" i="21" s="1"/>
  <c r="O19" i="21"/>
  <c r="N19" i="21"/>
  <c r="K19" i="21"/>
  <c r="H19" i="21"/>
  <c r="I18" i="21"/>
  <c r="S18" i="21" s="1"/>
  <c r="S17" i="21"/>
  <c r="S16" i="21"/>
  <c r="I14" i="21"/>
  <c r="S14" i="21" s="1"/>
  <c r="I13" i="21"/>
  <c r="T13" i="21" s="1"/>
  <c r="G12" i="21"/>
  <c r="I12" i="21" s="1"/>
  <c r="R12" i="21" s="1"/>
  <c r="S11" i="21"/>
  <c r="R11" i="21"/>
  <c r="Q11" i="21"/>
  <c r="Q19" i="21" s="1"/>
  <c r="P11" i="21"/>
  <c r="P19" i="21" s="1"/>
  <c r="R10" i="21"/>
  <c r="R19" i="21" s="1"/>
  <c r="J10" i="21"/>
  <c r="J19" i="21" s="1"/>
  <c r="G10" i="21"/>
  <c r="I10" i="21" s="1"/>
  <c r="G8" i="21"/>
  <c r="I8" i="21" s="1"/>
  <c r="M7" i="21"/>
  <c r="M19" i="21" s="1"/>
  <c r="L7" i="21"/>
  <c r="L19" i="21" s="1"/>
  <c r="I6" i="21"/>
  <c r="S6" i="21" s="1"/>
  <c r="S19" i="21" l="1"/>
  <c r="G19" i="21"/>
  <c r="Q26" i="21"/>
  <c r="I19" i="21"/>
  <c r="V87" i="2" l="1"/>
  <c r="AD128" i="3" l="1"/>
  <c r="U22" i="2"/>
  <c r="U129" i="2"/>
  <c r="AD72" i="3" l="1"/>
  <c r="AE63" i="3"/>
  <c r="U59" i="2" l="1"/>
  <c r="W110" i="2" l="1"/>
  <c r="G127" i="2" l="1"/>
  <c r="AE21" i="3" l="1"/>
  <c r="U147" i="2" l="1"/>
  <c r="O94" i="2" l="1"/>
  <c r="O52" i="2"/>
  <c r="AF77" i="3" l="1"/>
  <c r="AF86" i="3"/>
  <c r="AF64" i="3"/>
  <c r="AD50" i="3"/>
  <c r="AF42" i="3" l="1"/>
  <c r="AF26" i="3" l="1"/>
  <c r="AF23" i="3"/>
  <c r="Y92" i="3" l="1"/>
  <c r="Y94" i="3"/>
  <c r="W42" i="2" l="1"/>
  <c r="AF29" i="3" l="1"/>
  <c r="AD101" i="3"/>
  <c r="AE41" i="3" l="1"/>
  <c r="Y114" i="3" l="1"/>
  <c r="Y6" i="3" l="1"/>
  <c r="AF98" i="3" l="1"/>
  <c r="AF79" i="3"/>
  <c r="P75" i="2" l="1"/>
  <c r="U70" i="2"/>
  <c r="AD97" i="3"/>
  <c r="Q73" i="2" l="1"/>
  <c r="S104" i="2"/>
  <c r="U102" i="2"/>
  <c r="O75" i="2" l="1"/>
  <c r="O67" i="2"/>
  <c r="O50" i="2"/>
  <c r="AD116" i="3" l="1"/>
  <c r="AD113" i="3"/>
  <c r="AD108" i="3"/>
  <c r="AD49" i="3"/>
  <c r="Y128" i="3" l="1"/>
  <c r="Z118" i="3"/>
  <c r="AA117" i="3"/>
  <c r="Y110" i="3"/>
  <c r="Y109" i="3"/>
  <c r="AA98" i="3"/>
  <c r="Y90" i="3"/>
  <c r="Y84" i="3"/>
  <c r="AA79" i="3"/>
  <c r="Z76" i="3"/>
  <c r="Y118" i="3" l="1"/>
  <c r="AA118" i="3" s="1"/>
  <c r="Y58" i="3"/>
  <c r="Z53" i="3"/>
  <c r="Y53" i="3" s="1"/>
  <c r="Y51" i="3"/>
  <c r="Y45" i="3"/>
  <c r="Y44" i="3"/>
  <c r="Y40" i="3"/>
  <c r="Y39" i="3"/>
  <c r="AA39" i="3" s="1"/>
  <c r="Y36" i="3"/>
  <c r="AA38" i="3"/>
  <c r="Y32" i="3"/>
  <c r="G141" i="2"/>
  <c r="H32" i="3"/>
  <c r="Y24" i="3"/>
  <c r="AC121" i="3"/>
  <c r="AC107" i="3"/>
  <c r="AC106" i="3"/>
  <c r="AC29" i="3"/>
  <c r="AC22" i="3"/>
  <c r="AC21" i="3"/>
  <c r="T147" i="2" l="1"/>
  <c r="T128" i="2"/>
  <c r="T131" i="2"/>
  <c r="T132" i="2"/>
  <c r="T134" i="2"/>
  <c r="T117" i="2"/>
  <c r="O130" i="2"/>
  <c r="O129" i="2"/>
  <c r="O57" i="2"/>
  <c r="O91" i="2"/>
  <c r="O88" i="2"/>
  <c r="O53" i="2"/>
  <c r="Q93" i="2"/>
  <c r="O59" i="2"/>
  <c r="O61" i="2"/>
  <c r="O54" i="2"/>
  <c r="O64" i="2"/>
  <c r="O56" i="2"/>
  <c r="O118" i="2"/>
  <c r="O81" i="2"/>
  <c r="O22" i="2"/>
  <c r="O35" i="2"/>
  <c r="O29" i="2" s="1"/>
  <c r="O84" i="2"/>
  <c r="O17" i="2"/>
  <c r="O15" i="2"/>
  <c r="O28" i="2"/>
  <c r="O79" i="2" l="1"/>
  <c r="H91" i="2"/>
  <c r="P91" i="2" s="1"/>
  <c r="H127" i="3"/>
  <c r="H96" i="3"/>
  <c r="G88" i="2"/>
  <c r="H108" i="3"/>
  <c r="G56" i="2"/>
  <c r="H58" i="3"/>
  <c r="H119" i="2"/>
  <c r="K38" i="3"/>
  <c r="J38" i="3"/>
  <c r="H146" i="2"/>
  <c r="H123" i="2"/>
  <c r="H114" i="3"/>
  <c r="G121" i="2"/>
  <c r="L38" i="3" l="1"/>
  <c r="AC38" i="3"/>
  <c r="AB38" i="3"/>
  <c r="S123" i="2"/>
  <c r="T123" i="2" s="1"/>
  <c r="Q123" i="2"/>
  <c r="P123" i="2"/>
  <c r="S119" i="2"/>
  <c r="T119" i="2" s="1"/>
  <c r="P119" i="2"/>
  <c r="Q119" i="2"/>
  <c r="S146" i="2"/>
  <c r="T146" i="2" s="1"/>
  <c r="Q146" i="2"/>
  <c r="P146" i="2"/>
  <c r="Q147" i="2"/>
  <c r="Q134" i="2"/>
  <c r="Q132" i="2"/>
  <c r="Q131" i="2"/>
  <c r="Q128" i="2"/>
  <c r="Q117" i="2"/>
  <c r="Q105" i="2"/>
  <c r="Q104" i="2"/>
  <c r="Q91" i="2"/>
  <c r="Q32" i="2"/>
  <c r="H128" i="3" l="1"/>
  <c r="AF106" i="3" l="1"/>
  <c r="AD67" i="3"/>
  <c r="AD65" i="3"/>
  <c r="AD59" i="3"/>
  <c r="AD55" i="3"/>
  <c r="AD39" i="3"/>
  <c r="AD36" i="3"/>
  <c r="AD35" i="3"/>
  <c r="AD16" i="3"/>
  <c r="U87" i="2"/>
  <c r="U79" i="2"/>
  <c r="U74" i="2"/>
  <c r="U64" i="2"/>
  <c r="U61" i="2"/>
  <c r="U57" i="2"/>
  <c r="U56" i="2"/>
  <c r="U53" i="2"/>
  <c r="AD109" i="3" l="1"/>
  <c r="AD99" i="3" l="1"/>
  <c r="AD88" i="3" l="1"/>
  <c r="H130" i="3" l="1"/>
  <c r="H36" i="3"/>
  <c r="H39" i="3"/>
  <c r="G59" i="2"/>
  <c r="H135" i="2" l="1"/>
  <c r="T135" i="2" l="1"/>
  <c r="P135" i="2"/>
  <c r="Q135" i="2"/>
  <c r="V92" i="2"/>
  <c r="AH99" i="3" l="1"/>
  <c r="AH113" i="3"/>
  <c r="AH92" i="3"/>
  <c r="AH49" i="3"/>
  <c r="AH6" i="3"/>
  <c r="AD92" i="3" l="1"/>
  <c r="AD6" i="3" l="1"/>
  <c r="AH65" i="3" l="1"/>
  <c r="AH36" i="3" l="1"/>
  <c r="W64" i="2" l="1"/>
  <c r="U130" i="2"/>
  <c r="AF21" i="3" l="1"/>
  <c r="AF22" i="3" l="1"/>
  <c r="AH22" i="3"/>
  <c r="AH63" i="3"/>
  <c r="AH44" i="3" l="1"/>
  <c r="AH70" i="3" l="1"/>
  <c r="AD70" i="3"/>
  <c r="AH109" i="3" l="1"/>
  <c r="AH39" i="3" l="1"/>
  <c r="U17" i="2" l="1"/>
  <c r="AF121" i="3" l="1"/>
  <c r="V44" i="2" l="1"/>
  <c r="V45" i="2"/>
  <c r="V46" i="2"/>
  <c r="AH85" i="3" l="1"/>
  <c r="AD114" i="3" l="1"/>
  <c r="AH114" i="3"/>
  <c r="AH72" i="3" l="1"/>
  <c r="U29" i="2" l="1"/>
  <c r="AH94" i="3" l="1"/>
  <c r="AD94" i="3"/>
  <c r="AH108" i="3" l="1"/>
  <c r="AH78" i="3" l="1"/>
  <c r="AD78" i="3"/>
  <c r="Q21" i="1" l="1"/>
  <c r="AF107" i="3" l="1"/>
  <c r="V113" i="2" l="1"/>
  <c r="V114" i="2"/>
  <c r="V115" i="2"/>
  <c r="V116" i="2"/>
  <c r="V118" i="2"/>
  <c r="V129" i="2"/>
  <c r="V66" i="2" l="1"/>
  <c r="V102" i="2"/>
  <c r="V103" i="2"/>
  <c r="AH30" i="3" l="1"/>
  <c r="H109" i="3" l="1"/>
  <c r="G140" i="2"/>
  <c r="H125" i="2"/>
  <c r="H101" i="3"/>
  <c r="H55" i="3"/>
  <c r="H141" i="2"/>
  <c r="P141" i="2" s="1"/>
  <c r="P125" i="2" l="1"/>
  <c r="Q125" i="2"/>
  <c r="N141" i="2"/>
  <c r="Q141" i="2"/>
  <c r="AP73" i="3" l="1"/>
  <c r="U114" i="3" l="1"/>
  <c r="U88" i="3"/>
  <c r="U92" i="3"/>
  <c r="U57" i="3"/>
  <c r="U49" i="3"/>
  <c r="U99" i="3"/>
  <c r="U108" i="3"/>
  <c r="U6" i="3"/>
  <c r="U113" i="3"/>
  <c r="U116" i="3"/>
  <c r="U120" i="3"/>
  <c r="S52" i="2" l="1"/>
  <c r="AP80" i="3"/>
  <c r="AP10" i="3"/>
  <c r="AP35" i="3"/>
  <c r="AQ27" i="3"/>
  <c r="AP122" i="3"/>
  <c r="AP89" i="3"/>
  <c r="R22" i="1"/>
  <c r="R24" i="1"/>
  <c r="AP70" i="3"/>
  <c r="AT70" i="3" s="1"/>
  <c r="AQ125" i="3"/>
  <c r="AU125" i="3" s="1"/>
  <c r="AQ126" i="3"/>
  <c r="AU126" i="3" s="1"/>
  <c r="AQ127" i="3"/>
  <c r="AU127" i="3" s="1"/>
  <c r="AQ128" i="3"/>
  <c r="AU128" i="3" s="1"/>
  <c r="AQ129" i="3"/>
  <c r="AU129" i="3" s="1"/>
  <c r="AQ117" i="3"/>
  <c r="AU117" i="3" s="1"/>
  <c r="AQ119" i="3"/>
  <c r="AU119" i="3" s="1"/>
  <c r="AQ120" i="3"/>
  <c r="AU120" i="3" s="1"/>
  <c r="AQ116" i="3"/>
  <c r="AU116" i="3" s="1"/>
  <c r="AQ105" i="3"/>
  <c r="AU105" i="3" s="1"/>
  <c r="AQ97" i="3"/>
  <c r="AU97" i="3" s="1"/>
  <c r="AQ98" i="3"/>
  <c r="AU98" i="3" s="1"/>
  <c r="AQ99" i="3"/>
  <c r="AU99" i="3" s="1"/>
  <c r="AQ100" i="3"/>
  <c r="AU100" i="3" s="1"/>
  <c r="AQ102" i="3"/>
  <c r="AU102" i="3" s="1"/>
  <c r="AQ103" i="3"/>
  <c r="AU103" i="3" s="1"/>
  <c r="AQ73" i="3"/>
  <c r="AU73" i="3" s="1"/>
  <c r="AQ74" i="3"/>
  <c r="AU74" i="3" s="1"/>
  <c r="AQ78" i="3"/>
  <c r="AU78" i="3" s="1"/>
  <c r="AQ79" i="3"/>
  <c r="AU79" i="3" s="1"/>
  <c r="AQ81" i="3"/>
  <c r="AU81" i="3" s="1"/>
  <c r="AQ82" i="3"/>
  <c r="AU82" i="3" s="1"/>
  <c r="AQ83" i="3"/>
  <c r="AU83" i="3" s="1"/>
  <c r="AQ87" i="3"/>
  <c r="AU87" i="3" s="1"/>
  <c r="AQ88" i="3"/>
  <c r="AU88" i="3" s="1"/>
  <c r="AQ89" i="3"/>
  <c r="AU89" i="3" s="1"/>
  <c r="AQ90" i="3"/>
  <c r="AU90" i="3" s="1"/>
  <c r="AP91" i="3"/>
  <c r="AT91" i="3" s="1"/>
  <c r="AQ92" i="3"/>
  <c r="AU92" i="3" s="1"/>
  <c r="AQ93" i="3"/>
  <c r="AU93" i="3" s="1"/>
  <c r="AQ94" i="3"/>
  <c r="AU94" i="3" s="1"/>
  <c r="AQ72" i="3"/>
  <c r="AU72" i="3" s="1"/>
  <c r="AQ67" i="3"/>
  <c r="AU67" i="3" s="1"/>
  <c r="AQ68" i="3"/>
  <c r="AU68" i="3" s="1"/>
  <c r="AQ50" i="3"/>
  <c r="AU50" i="3" s="1"/>
  <c r="AQ51" i="3"/>
  <c r="AU51" i="3" s="1"/>
  <c r="AQ52" i="3"/>
  <c r="AU52" i="3" s="1"/>
  <c r="AQ54" i="3"/>
  <c r="AU54" i="3" s="1"/>
  <c r="AQ55" i="3"/>
  <c r="AU55" i="3" s="1"/>
  <c r="AQ56" i="3"/>
  <c r="AU56" i="3" s="1"/>
  <c r="AQ57" i="3"/>
  <c r="AU57" i="3" s="1"/>
  <c r="AQ59" i="3"/>
  <c r="AU59" i="3" s="1"/>
  <c r="AQ60" i="3"/>
  <c r="AU60" i="3" s="1"/>
  <c r="AQ33" i="3"/>
  <c r="AU33" i="3" s="1"/>
  <c r="AP34" i="3"/>
  <c r="AT34" i="3" s="1"/>
  <c r="AQ35" i="3"/>
  <c r="AU35" i="3" s="1"/>
  <c r="AQ36" i="3"/>
  <c r="AU36" i="3" s="1"/>
  <c r="AQ37" i="3"/>
  <c r="AU37" i="3" s="1"/>
  <c r="AQ39" i="3"/>
  <c r="AU39" i="3" s="1"/>
  <c r="AQ43" i="3"/>
  <c r="AU43" i="3" s="1"/>
  <c r="AQ12" i="3"/>
  <c r="AU12" i="3" s="1"/>
  <c r="S103" i="2" l="1"/>
  <c r="S102" i="2"/>
  <c r="S51" i="2"/>
  <c r="M67" i="2" l="1"/>
  <c r="M50" i="2"/>
  <c r="M130" i="2" l="1"/>
  <c r="M129" i="2" s="1"/>
  <c r="S130" i="2" l="1"/>
  <c r="S115" i="2"/>
  <c r="T141" i="2"/>
  <c r="S143" i="2"/>
  <c r="S141" i="2"/>
  <c r="S129" i="2"/>
  <c r="T104" i="2"/>
  <c r="S105" i="2"/>
  <c r="T105" i="2" s="1"/>
  <c r="S91" i="2"/>
  <c r="S92" i="2"/>
  <c r="S65" i="2"/>
  <c r="S66" i="2"/>
  <c r="S68" i="2"/>
  <c r="S69" i="2"/>
  <c r="S70" i="2"/>
  <c r="S71" i="2"/>
  <c r="S72" i="2"/>
  <c r="S49" i="2"/>
  <c r="S50" i="2"/>
  <c r="S54" i="2"/>
  <c r="S55" i="2"/>
  <c r="S46" i="2"/>
  <c r="S45" i="2"/>
  <c r="S44" i="2"/>
  <c r="S43" i="2"/>
  <c r="S42" i="2"/>
  <c r="S34" i="2"/>
  <c r="T91" i="2" l="1"/>
  <c r="S16" i="2"/>
  <c r="S18" i="2"/>
  <c r="S19" i="2"/>
  <c r="S20" i="2"/>
  <c r="S21" i="2"/>
  <c r="S23" i="2"/>
  <c r="S24" i="2"/>
  <c r="S7" i="2"/>
  <c r="S11" i="2"/>
  <c r="S10" i="2"/>
  <c r="S9" i="2"/>
  <c r="S8" i="2"/>
  <c r="S6" i="2"/>
  <c r="M75" i="2" l="1"/>
  <c r="U109" i="3" l="1"/>
  <c r="M94" i="2" l="1"/>
  <c r="S94" i="2" s="1"/>
  <c r="M25" i="2" l="1"/>
  <c r="S25" i="2" s="1"/>
  <c r="M57" i="2"/>
  <c r="S67" i="2"/>
  <c r="M88" i="2"/>
  <c r="M53" i="2"/>
  <c r="S53" i="2" s="1"/>
  <c r="M59" i="2"/>
  <c r="S59" i="2" s="1"/>
  <c r="M61" i="2"/>
  <c r="M64" i="2"/>
  <c r="M56" i="2"/>
  <c r="S56" i="2" s="1"/>
  <c r="M118" i="2"/>
  <c r="M81" i="2"/>
  <c r="M22" i="2"/>
  <c r="S22" i="2" s="1"/>
  <c r="M35" i="2"/>
  <c r="M29" i="2" s="1"/>
  <c r="M84" i="2"/>
  <c r="M17" i="2"/>
  <c r="S17" i="2" s="1"/>
  <c r="M15" i="2"/>
  <c r="M28" i="2"/>
  <c r="S28" i="2" s="1"/>
  <c r="Q117" i="3"/>
  <c r="Q120" i="3"/>
  <c r="Q116" i="3"/>
  <c r="Q113" i="3"/>
  <c r="Q108" i="3"/>
  <c r="Q99" i="3"/>
  <c r="Q92" i="3"/>
  <c r="Q60" i="3"/>
  <c r="Q57" i="3"/>
  <c r="Q49" i="3"/>
  <c r="Q6" i="3"/>
  <c r="M79" i="2" l="1"/>
  <c r="V118" i="3"/>
  <c r="U118" i="3" s="1"/>
  <c r="W117" i="3"/>
  <c r="W98" i="3"/>
  <c r="W99" i="3"/>
  <c r="W100" i="3"/>
  <c r="W101" i="3"/>
  <c r="W102" i="3"/>
  <c r="W103" i="3"/>
  <c r="U90" i="3" l="1"/>
  <c r="U84" i="3"/>
  <c r="W79" i="3"/>
  <c r="V76" i="3"/>
  <c r="U58" i="3"/>
  <c r="V53" i="3"/>
  <c r="U53" i="3" s="1"/>
  <c r="W51" i="3"/>
  <c r="U45" i="3"/>
  <c r="U44" i="3"/>
  <c r="U39" i="3"/>
  <c r="U32" i="3"/>
  <c r="V13" i="3"/>
  <c r="U13" i="3" s="1"/>
  <c r="U15" i="3"/>
  <c r="H118" i="3" l="1"/>
  <c r="H112" i="2"/>
  <c r="P112" i="2" l="1"/>
  <c r="Q112" i="2"/>
  <c r="S112" i="2"/>
  <c r="T112" i="2" s="1"/>
  <c r="N112" i="2"/>
  <c r="H137" i="2"/>
  <c r="H129" i="3"/>
  <c r="G138" i="2"/>
  <c r="H142" i="2"/>
  <c r="N142" i="2" l="1"/>
  <c r="P142" i="2"/>
  <c r="Q142" i="2"/>
  <c r="P137" i="2"/>
  <c r="Q137" i="2"/>
  <c r="S137" i="2"/>
  <c r="T137" i="2" s="1"/>
  <c r="N137" i="2"/>
  <c r="S142" i="2"/>
  <c r="T142" i="2" s="1"/>
  <c r="J98" i="3" l="1"/>
  <c r="AP98" i="3" s="1"/>
  <c r="AT98" i="3" s="1"/>
  <c r="L98" i="3"/>
  <c r="H139" i="2"/>
  <c r="H127" i="2"/>
  <c r="AC98" i="3" l="1"/>
  <c r="AB98" i="3"/>
  <c r="Q127" i="2"/>
  <c r="P127" i="2"/>
  <c r="P139" i="2"/>
  <c r="Q139" i="2"/>
  <c r="X98" i="3"/>
  <c r="S127" i="2"/>
  <c r="T127" i="2" s="1"/>
  <c r="N127" i="2"/>
  <c r="S139" i="2"/>
  <c r="T139" i="2" s="1"/>
  <c r="N139" i="2"/>
  <c r="K51" i="2"/>
  <c r="K67" i="2"/>
  <c r="K50" i="2"/>
  <c r="Q84" i="3" l="1"/>
  <c r="K75" i="2"/>
  <c r="R118" i="3"/>
  <c r="Q118" i="3" s="1"/>
  <c r="S117" i="3"/>
  <c r="Q68" i="3"/>
  <c r="Q52" i="3"/>
  <c r="Q109" i="3"/>
  <c r="S79" i="3"/>
  <c r="H120" i="2" l="1"/>
  <c r="K94" i="2"/>
  <c r="K130" i="2"/>
  <c r="K129" i="2" s="1"/>
  <c r="K57" i="2"/>
  <c r="K88" i="2"/>
  <c r="K47" i="2"/>
  <c r="K53" i="2"/>
  <c r="K61" i="2"/>
  <c r="K54" i="2"/>
  <c r="K52" i="2"/>
  <c r="K64" i="2"/>
  <c r="K56" i="2"/>
  <c r="P120" i="2" l="1"/>
  <c r="Q120" i="2"/>
  <c r="L120" i="2"/>
  <c r="S120" i="2"/>
  <c r="T120" i="2" s="1"/>
  <c r="N120" i="2"/>
  <c r="K46" i="2"/>
  <c r="K81" i="2"/>
  <c r="K79" i="2" s="1"/>
  <c r="K22" i="2"/>
  <c r="K35" i="2"/>
  <c r="K29" i="2" s="1"/>
  <c r="K84" i="2"/>
  <c r="K17" i="2"/>
  <c r="K15" i="2"/>
  <c r="K28" i="2"/>
  <c r="H121" i="2" l="1"/>
  <c r="Q121" i="2" l="1"/>
  <c r="P121" i="2"/>
  <c r="S121" i="2"/>
  <c r="T121" i="2" s="1"/>
  <c r="N121" i="2"/>
  <c r="L121" i="2"/>
  <c r="J117" i="3" l="1"/>
  <c r="AP117" i="3" s="1"/>
  <c r="AT117" i="3" s="1"/>
  <c r="L117" i="3"/>
  <c r="J79" i="3"/>
  <c r="L79" i="3" s="1"/>
  <c r="H111" i="2"/>
  <c r="H126" i="2"/>
  <c r="AC79" i="3" l="1"/>
  <c r="AB79" i="3"/>
  <c r="AC117" i="3"/>
  <c r="AB117" i="3"/>
  <c r="P111" i="2"/>
  <c r="Q111" i="2"/>
  <c r="P126" i="2"/>
  <c r="Q126" i="2"/>
  <c r="AP79" i="3"/>
  <c r="AT79" i="3" s="1"/>
  <c r="X79" i="3"/>
  <c r="T79" i="3"/>
  <c r="X117" i="3"/>
  <c r="T117" i="3"/>
  <c r="S126" i="2"/>
  <c r="T126" i="2" s="1"/>
  <c r="N126" i="2"/>
  <c r="S111" i="2"/>
  <c r="T111" i="2" s="1"/>
  <c r="N111" i="2"/>
  <c r="L126" i="2"/>
  <c r="L111" i="2"/>
  <c r="H136" i="2"/>
  <c r="P136" i="2" l="1"/>
  <c r="Q136" i="2"/>
  <c r="S136" i="2"/>
  <c r="T136" i="2" s="1"/>
  <c r="N136" i="2"/>
  <c r="L136" i="2"/>
  <c r="M12" i="3"/>
  <c r="M92" i="3"/>
  <c r="M57" i="3"/>
  <c r="M49" i="3"/>
  <c r="M99" i="3"/>
  <c r="M108" i="3"/>
  <c r="M6" i="3"/>
  <c r="M113" i="3"/>
  <c r="M116" i="3"/>
  <c r="M120" i="3"/>
  <c r="M118" i="3"/>
  <c r="M110" i="3" l="1"/>
  <c r="M84" i="3"/>
  <c r="M72" i="3"/>
  <c r="M35" i="3"/>
  <c r="I129" i="2" l="1"/>
  <c r="I75" i="2"/>
  <c r="I103" i="2"/>
  <c r="I57" i="2"/>
  <c r="I67" i="2"/>
  <c r="I50" i="2"/>
  <c r="I47" i="2"/>
  <c r="I94" i="2"/>
  <c r="I53" i="2"/>
  <c r="I25" i="2"/>
  <c r="I61" i="2"/>
  <c r="I81" i="2"/>
  <c r="I22" i="2"/>
  <c r="I35" i="2"/>
  <c r="I29" i="2" s="1"/>
  <c r="I84" i="2"/>
  <c r="I17" i="2"/>
  <c r="I86" i="2"/>
  <c r="I15" i="2"/>
  <c r="I79" i="2" l="1"/>
  <c r="I28" i="2"/>
  <c r="AH123" i="3" l="1"/>
  <c r="AH111" i="3"/>
  <c r="AH104" i="3"/>
  <c r="AH95" i="3"/>
  <c r="AH71" i="3"/>
  <c r="AH69" i="3"/>
  <c r="AH61" i="3"/>
  <c r="AH48" i="3"/>
  <c r="AH31" i="3"/>
  <c r="AH14" i="3"/>
  <c r="AH8" i="3"/>
  <c r="AH5" i="3"/>
  <c r="AA130" i="3"/>
  <c r="AA129" i="3"/>
  <c r="AA128" i="3"/>
  <c r="AA127" i="3"/>
  <c r="AA126" i="3"/>
  <c r="AA125" i="3"/>
  <c r="AA124" i="3"/>
  <c r="Z123" i="3"/>
  <c r="Y123" i="3"/>
  <c r="AA122" i="3"/>
  <c r="AA120" i="3"/>
  <c r="AA119" i="3"/>
  <c r="AA116" i="3"/>
  <c r="Z115" i="3"/>
  <c r="Y115" i="3"/>
  <c r="AA114" i="3"/>
  <c r="AA113" i="3"/>
  <c r="AA112" i="3"/>
  <c r="Z111" i="3"/>
  <c r="Y111" i="3"/>
  <c r="AA110" i="3"/>
  <c r="AA109" i="3"/>
  <c r="AA108" i="3"/>
  <c r="AA105" i="3"/>
  <c r="Z104" i="3"/>
  <c r="Y104" i="3"/>
  <c r="AA103" i="3"/>
  <c r="AA101" i="3"/>
  <c r="AA102" i="3"/>
  <c r="AA100" i="3"/>
  <c r="AA99" i="3"/>
  <c r="AA97" i="3"/>
  <c r="AA96" i="3"/>
  <c r="Z95" i="3"/>
  <c r="Y95" i="3"/>
  <c r="AA94" i="3"/>
  <c r="AA93" i="3"/>
  <c r="AA92" i="3"/>
  <c r="AA91" i="3"/>
  <c r="AA90" i="3"/>
  <c r="AA89" i="3"/>
  <c r="AA88" i="3"/>
  <c r="AA87" i="3"/>
  <c r="AA85" i="3"/>
  <c r="AA84" i="3"/>
  <c r="AA78" i="3"/>
  <c r="AA83" i="3"/>
  <c r="H15" i="14" s="1"/>
  <c r="AA82" i="3"/>
  <c r="H14" i="14" s="1"/>
  <c r="AA81" i="3"/>
  <c r="AA80" i="3"/>
  <c r="AA75" i="3"/>
  <c r="AA76" i="3"/>
  <c r="AA74" i="3"/>
  <c r="AA73" i="3"/>
  <c r="AA72" i="3"/>
  <c r="Z71" i="3"/>
  <c r="Y71" i="3"/>
  <c r="AA70" i="3"/>
  <c r="AA69" i="3" s="1"/>
  <c r="Z69" i="3"/>
  <c r="Y69" i="3"/>
  <c r="AA68" i="3"/>
  <c r="AA67" i="3"/>
  <c r="AA66" i="3"/>
  <c r="AA65" i="3"/>
  <c r="AA63" i="3"/>
  <c r="AA62" i="3"/>
  <c r="Z61" i="3"/>
  <c r="Y61" i="3"/>
  <c r="AA60" i="3"/>
  <c r="AA52" i="3"/>
  <c r="AA51" i="3"/>
  <c r="AA59" i="3"/>
  <c r="AA58" i="3"/>
  <c r="AA57" i="3"/>
  <c r="H22" i="14" s="1"/>
  <c r="AA56" i="3"/>
  <c r="AA54" i="3"/>
  <c r="AA53" i="3"/>
  <c r="AA55" i="3"/>
  <c r="AA50" i="3"/>
  <c r="AA49" i="3"/>
  <c r="Z48" i="3"/>
  <c r="Y48" i="3"/>
  <c r="AA47" i="3"/>
  <c r="AA46" i="3"/>
  <c r="AA45" i="3"/>
  <c r="AA44" i="3"/>
  <c r="AA43" i="3"/>
  <c r="AA41" i="3"/>
  <c r="AA40" i="3"/>
  <c r="AA37" i="3"/>
  <c r="AA36" i="3"/>
  <c r="AA35" i="3"/>
  <c r="AA34" i="3"/>
  <c r="AA33" i="3"/>
  <c r="AA32" i="3"/>
  <c r="Z31" i="3"/>
  <c r="Y31" i="3"/>
  <c r="AA30" i="3"/>
  <c r="AA28" i="3"/>
  <c r="AA25" i="3"/>
  <c r="AA24" i="3"/>
  <c r="AA27" i="3"/>
  <c r="AA20" i="3"/>
  <c r="AA19" i="3"/>
  <c r="AA18" i="3"/>
  <c r="AA17" i="3"/>
  <c r="AA16" i="3"/>
  <c r="AA15" i="3"/>
  <c r="Z14" i="3"/>
  <c r="Y14" i="3"/>
  <c r="AA13" i="3"/>
  <c r="AA12" i="3"/>
  <c r="AA11" i="3"/>
  <c r="AA10" i="3"/>
  <c r="AA9" i="3"/>
  <c r="Z8" i="3"/>
  <c r="Y8" i="3"/>
  <c r="AA7" i="3"/>
  <c r="AA6" i="3"/>
  <c r="Z5" i="3"/>
  <c r="Y5" i="3"/>
  <c r="W130" i="3"/>
  <c r="W129" i="3"/>
  <c r="W128" i="3"/>
  <c r="W127" i="3"/>
  <c r="W126" i="3"/>
  <c r="W125" i="3"/>
  <c r="W124" i="3"/>
  <c r="V123" i="3"/>
  <c r="U123" i="3"/>
  <c r="W122" i="3"/>
  <c r="W120" i="3"/>
  <c r="W119" i="3"/>
  <c r="W118" i="3"/>
  <c r="W116" i="3"/>
  <c r="V115" i="3"/>
  <c r="U115" i="3"/>
  <c r="W114" i="3"/>
  <c r="W113" i="3"/>
  <c r="W112" i="3"/>
  <c r="V111" i="3"/>
  <c r="U111" i="3"/>
  <c r="W110" i="3"/>
  <c r="W109" i="3"/>
  <c r="W108" i="3"/>
  <c r="W105" i="3"/>
  <c r="V104" i="3"/>
  <c r="U104" i="3"/>
  <c r="W97" i="3"/>
  <c r="W96" i="3"/>
  <c r="V95" i="3"/>
  <c r="U95" i="3"/>
  <c r="W94" i="3"/>
  <c r="W93" i="3"/>
  <c r="W92" i="3"/>
  <c r="W91" i="3"/>
  <c r="W90" i="3"/>
  <c r="W89" i="3"/>
  <c r="W88" i="3"/>
  <c r="W87" i="3"/>
  <c r="W85" i="3"/>
  <c r="W84" i="3"/>
  <c r="W78" i="3"/>
  <c r="W83" i="3"/>
  <c r="W82" i="3"/>
  <c r="W81" i="3"/>
  <c r="W80" i="3"/>
  <c r="W75" i="3"/>
  <c r="W76" i="3"/>
  <c r="W74" i="3"/>
  <c r="W73" i="3"/>
  <c r="W72" i="3"/>
  <c r="V71" i="3"/>
  <c r="U71" i="3"/>
  <c r="W70" i="3"/>
  <c r="W69" i="3" s="1"/>
  <c r="V69" i="3"/>
  <c r="U69" i="3"/>
  <c r="W68" i="3"/>
  <c r="W67" i="3"/>
  <c r="W66" i="3"/>
  <c r="W65" i="3"/>
  <c r="W63" i="3"/>
  <c r="W62" i="3"/>
  <c r="V61" i="3"/>
  <c r="U61" i="3"/>
  <c r="W60" i="3"/>
  <c r="W52" i="3"/>
  <c r="W59" i="3"/>
  <c r="W58" i="3"/>
  <c r="W57" i="3"/>
  <c r="W56" i="3"/>
  <c r="W54" i="3"/>
  <c r="W53" i="3"/>
  <c r="W55" i="3"/>
  <c r="W50" i="3"/>
  <c r="W49" i="3"/>
  <c r="V48" i="3"/>
  <c r="U48" i="3"/>
  <c r="W47" i="3"/>
  <c r="W46" i="3"/>
  <c r="W45" i="3"/>
  <c r="W44" i="3"/>
  <c r="W43" i="3"/>
  <c r="W41" i="3"/>
  <c r="W40" i="3"/>
  <c r="W39" i="3"/>
  <c r="W37" i="3"/>
  <c r="W36" i="3"/>
  <c r="W35" i="3"/>
  <c r="W34" i="3"/>
  <c r="W33" i="3"/>
  <c r="W32" i="3"/>
  <c r="V31" i="3"/>
  <c r="U31" i="3"/>
  <c r="W30" i="3"/>
  <c r="W28" i="3"/>
  <c r="W25" i="3"/>
  <c r="W24" i="3"/>
  <c r="W27" i="3"/>
  <c r="W20" i="3"/>
  <c r="W19" i="3"/>
  <c r="W18" i="3"/>
  <c r="W17" i="3"/>
  <c r="W16" i="3"/>
  <c r="W15" i="3"/>
  <c r="V14" i="3"/>
  <c r="U14" i="3"/>
  <c r="W13" i="3"/>
  <c r="W12" i="3"/>
  <c r="W11" i="3"/>
  <c r="W10" i="3"/>
  <c r="W9" i="3"/>
  <c r="V8" i="3"/>
  <c r="U8" i="3"/>
  <c r="W7" i="3"/>
  <c r="W6" i="3"/>
  <c r="V5" i="3"/>
  <c r="U5" i="3"/>
  <c r="S130" i="3"/>
  <c r="S129" i="3"/>
  <c r="S128" i="3"/>
  <c r="S127" i="3"/>
  <c r="S126" i="3"/>
  <c r="S125" i="3"/>
  <c r="S124" i="3"/>
  <c r="R123" i="3"/>
  <c r="Q123" i="3"/>
  <c r="S122" i="3"/>
  <c r="S120" i="3"/>
  <c r="S119" i="3"/>
  <c r="S118" i="3"/>
  <c r="S116" i="3"/>
  <c r="R115" i="3"/>
  <c r="Q115" i="3"/>
  <c r="S114" i="3"/>
  <c r="S113" i="3"/>
  <c r="S112" i="3"/>
  <c r="R111" i="3"/>
  <c r="Q111" i="3"/>
  <c r="S110" i="3"/>
  <c r="S109" i="3"/>
  <c r="S108" i="3"/>
  <c r="S105" i="3"/>
  <c r="R104" i="3"/>
  <c r="Q104" i="3"/>
  <c r="S103" i="3"/>
  <c r="S101" i="3"/>
  <c r="S102" i="3"/>
  <c r="S100" i="3"/>
  <c r="S99" i="3"/>
  <c r="S97" i="3"/>
  <c r="S96" i="3"/>
  <c r="R95" i="3"/>
  <c r="Q95" i="3"/>
  <c r="S94" i="3"/>
  <c r="S93" i="3"/>
  <c r="S92" i="3"/>
  <c r="S91" i="3"/>
  <c r="S90" i="3"/>
  <c r="S89" i="3"/>
  <c r="S88" i="3"/>
  <c r="S87" i="3"/>
  <c r="S85" i="3"/>
  <c r="S84" i="3"/>
  <c r="S78" i="3"/>
  <c r="S83" i="3"/>
  <c r="S82" i="3"/>
  <c r="S81" i="3"/>
  <c r="S80" i="3"/>
  <c r="S75" i="3"/>
  <c r="S76" i="3"/>
  <c r="S74" i="3"/>
  <c r="S73" i="3"/>
  <c r="S72" i="3"/>
  <c r="R71" i="3"/>
  <c r="Q71" i="3"/>
  <c r="S70" i="3"/>
  <c r="S69" i="3" s="1"/>
  <c r="R69" i="3"/>
  <c r="Q69" i="3"/>
  <c r="S68" i="3"/>
  <c r="S67" i="3"/>
  <c r="S66" i="3"/>
  <c r="S65" i="3"/>
  <c r="S63" i="3"/>
  <c r="S62" i="3"/>
  <c r="R61" i="3"/>
  <c r="Q61" i="3"/>
  <c r="S60" i="3"/>
  <c r="S52" i="3"/>
  <c r="S51" i="3"/>
  <c r="S59" i="3"/>
  <c r="S58" i="3"/>
  <c r="S57" i="3"/>
  <c r="S56" i="3"/>
  <c r="S54" i="3"/>
  <c r="S53" i="3"/>
  <c r="S55" i="3"/>
  <c r="S50" i="3"/>
  <c r="S49" i="3"/>
  <c r="R48" i="3"/>
  <c r="Q48" i="3"/>
  <c r="S47" i="3"/>
  <c r="S46" i="3"/>
  <c r="S45" i="3"/>
  <c r="S44" i="3"/>
  <c r="S43" i="3"/>
  <c r="S41" i="3"/>
  <c r="S40" i="3"/>
  <c r="S39" i="3"/>
  <c r="S37" i="3"/>
  <c r="S36" i="3"/>
  <c r="S35" i="3"/>
  <c r="S34" i="3"/>
  <c r="S33" i="3"/>
  <c r="S32" i="3"/>
  <c r="R31" i="3"/>
  <c r="Q31" i="3"/>
  <c r="S30" i="3"/>
  <c r="S28" i="3"/>
  <c r="S25" i="3"/>
  <c r="S24" i="3"/>
  <c r="S27" i="3"/>
  <c r="S20" i="3"/>
  <c r="S19" i="3"/>
  <c r="S18" i="3"/>
  <c r="S17" i="3"/>
  <c r="S16" i="3"/>
  <c r="S15" i="3"/>
  <c r="R14" i="3"/>
  <c r="Q14" i="3"/>
  <c r="S13" i="3"/>
  <c r="S12" i="3"/>
  <c r="S11" i="3"/>
  <c r="S10" i="3"/>
  <c r="S9" i="3"/>
  <c r="R8" i="3"/>
  <c r="Q8" i="3"/>
  <c r="S7" i="3"/>
  <c r="S6" i="3"/>
  <c r="R5" i="3"/>
  <c r="Q5" i="3"/>
  <c r="O130" i="3"/>
  <c r="O129" i="3"/>
  <c r="O128" i="3"/>
  <c r="O127" i="3"/>
  <c r="O126" i="3"/>
  <c r="O125" i="3"/>
  <c r="O124" i="3"/>
  <c r="N123" i="3"/>
  <c r="M123" i="3"/>
  <c r="O122" i="3"/>
  <c r="O120" i="3"/>
  <c r="O119" i="3"/>
  <c r="O118" i="3"/>
  <c r="O116" i="3"/>
  <c r="N115" i="3"/>
  <c r="M115" i="3"/>
  <c r="O114" i="3"/>
  <c r="O113" i="3"/>
  <c r="O112" i="3"/>
  <c r="N111" i="3"/>
  <c r="M111" i="3"/>
  <c r="O110" i="3"/>
  <c r="O109" i="3"/>
  <c r="O108" i="3"/>
  <c r="O105" i="3"/>
  <c r="N104" i="3"/>
  <c r="M104" i="3"/>
  <c r="O103" i="3"/>
  <c r="O101" i="3"/>
  <c r="O102" i="3"/>
  <c r="O100" i="3"/>
  <c r="O99" i="3"/>
  <c r="O97" i="3"/>
  <c r="O96" i="3"/>
  <c r="N95" i="3"/>
  <c r="M95" i="3"/>
  <c r="O94" i="3"/>
  <c r="O93" i="3"/>
  <c r="O92" i="3"/>
  <c r="O91" i="3"/>
  <c r="O90" i="3"/>
  <c r="O89" i="3"/>
  <c r="O88" i="3"/>
  <c r="O87" i="3"/>
  <c r="O85" i="3"/>
  <c r="O84" i="3"/>
  <c r="O78" i="3"/>
  <c r="O83" i="3"/>
  <c r="O82" i="3"/>
  <c r="O81" i="3"/>
  <c r="O80" i="3"/>
  <c r="O75" i="3"/>
  <c r="O76" i="3"/>
  <c r="O74" i="3"/>
  <c r="O73" i="3"/>
  <c r="O72" i="3"/>
  <c r="N71" i="3"/>
  <c r="M71" i="3"/>
  <c r="O70" i="3"/>
  <c r="O69" i="3" s="1"/>
  <c r="N69" i="3"/>
  <c r="M69" i="3"/>
  <c r="O68" i="3"/>
  <c r="O67" i="3"/>
  <c r="O66" i="3"/>
  <c r="O65" i="3"/>
  <c r="O63" i="3"/>
  <c r="O62" i="3"/>
  <c r="N61" i="3"/>
  <c r="M61" i="3"/>
  <c r="O60" i="3"/>
  <c r="O52" i="3"/>
  <c r="O51" i="3"/>
  <c r="O59" i="3"/>
  <c r="O58" i="3"/>
  <c r="O57" i="3"/>
  <c r="O56" i="3"/>
  <c r="O54" i="3"/>
  <c r="O53" i="3"/>
  <c r="O55" i="3"/>
  <c r="O50" i="3"/>
  <c r="O49" i="3"/>
  <c r="N48" i="3"/>
  <c r="M48" i="3"/>
  <c r="O47" i="3"/>
  <c r="O46" i="3"/>
  <c r="O45" i="3"/>
  <c r="O44" i="3"/>
  <c r="O43" i="3"/>
  <c r="O41" i="3"/>
  <c r="O40" i="3"/>
  <c r="O39" i="3"/>
  <c r="O37" i="3"/>
  <c r="O36" i="3"/>
  <c r="O35" i="3"/>
  <c r="O34" i="3"/>
  <c r="O33" i="3"/>
  <c r="O32" i="3"/>
  <c r="N31" i="3"/>
  <c r="M31" i="3"/>
  <c r="O30" i="3"/>
  <c r="O28" i="3"/>
  <c r="O25" i="3"/>
  <c r="O24" i="3"/>
  <c r="O27" i="3"/>
  <c r="O20" i="3"/>
  <c r="O19" i="3"/>
  <c r="O18" i="3"/>
  <c r="O17" i="3"/>
  <c r="O16" i="3"/>
  <c r="O15" i="3"/>
  <c r="N14" i="3"/>
  <c r="M14" i="3"/>
  <c r="O13" i="3"/>
  <c r="O12" i="3"/>
  <c r="O11" i="3"/>
  <c r="O10" i="3"/>
  <c r="O9" i="3"/>
  <c r="N8" i="3"/>
  <c r="M8" i="3"/>
  <c r="O7" i="3"/>
  <c r="O6" i="3"/>
  <c r="N5" i="3"/>
  <c r="M5" i="3"/>
  <c r="K91" i="3"/>
  <c r="K84" i="3"/>
  <c r="AQ84" i="3" s="1"/>
  <c r="AU84" i="3" s="1"/>
  <c r="J75" i="3"/>
  <c r="AP75" i="3" s="1"/>
  <c r="AT75" i="3" s="1"/>
  <c r="K75" i="3"/>
  <c r="AU75" i="3" s="1"/>
  <c r="K80" i="3"/>
  <c r="AQ80" i="3" s="1"/>
  <c r="AU80" i="3" s="1"/>
  <c r="K66" i="3"/>
  <c r="AQ66" i="3" s="1"/>
  <c r="AU66" i="3" s="1"/>
  <c r="J67" i="3"/>
  <c r="J52" i="3"/>
  <c r="J37" i="3"/>
  <c r="K34" i="3"/>
  <c r="G130" i="3"/>
  <c r="G129" i="3"/>
  <c r="G128" i="3"/>
  <c r="G127" i="3"/>
  <c r="G126" i="3"/>
  <c r="G125" i="3"/>
  <c r="G124" i="3"/>
  <c r="F123" i="3"/>
  <c r="E123" i="3"/>
  <c r="G122" i="3"/>
  <c r="G120" i="3"/>
  <c r="G119" i="3"/>
  <c r="E116" i="3"/>
  <c r="G116" i="3" s="1"/>
  <c r="G114" i="3"/>
  <c r="E113" i="3"/>
  <c r="G113" i="3" s="1"/>
  <c r="G112" i="3"/>
  <c r="F111" i="3"/>
  <c r="G110" i="3"/>
  <c r="E109" i="3"/>
  <c r="G109" i="3" s="1"/>
  <c r="E108" i="3"/>
  <c r="G108" i="3" s="1"/>
  <c r="G105" i="3"/>
  <c r="F104" i="3"/>
  <c r="G103" i="3"/>
  <c r="G101" i="3"/>
  <c r="G102" i="3"/>
  <c r="G100" i="3"/>
  <c r="E99" i="3"/>
  <c r="G99" i="3" s="1"/>
  <c r="G97" i="3"/>
  <c r="G96" i="3"/>
  <c r="F95" i="3"/>
  <c r="E94" i="3"/>
  <c r="G94" i="3" s="1"/>
  <c r="G93" i="3"/>
  <c r="E92" i="3"/>
  <c r="G92" i="3" s="1"/>
  <c r="G91" i="3"/>
  <c r="G90" i="3"/>
  <c r="G89" i="3"/>
  <c r="G88" i="3"/>
  <c r="G87" i="3"/>
  <c r="G85" i="3"/>
  <c r="G84" i="3"/>
  <c r="E78" i="3"/>
  <c r="G78" i="3" s="1"/>
  <c r="G83" i="3"/>
  <c r="G82" i="3"/>
  <c r="G81" i="3"/>
  <c r="E80" i="3"/>
  <c r="G80" i="3" s="1"/>
  <c r="G75" i="3"/>
  <c r="G76" i="3"/>
  <c r="G74" i="3"/>
  <c r="G73" i="3"/>
  <c r="E72" i="3"/>
  <c r="G72" i="3" s="1"/>
  <c r="F71" i="3"/>
  <c r="G70" i="3"/>
  <c r="G69" i="3" s="1"/>
  <c r="F69" i="3"/>
  <c r="E69" i="3"/>
  <c r="E68" i="3"/>
  <c r="G68" i="3" s="1"/>
  <c r="G67" i="3"/>
  <c r="E66" i="3"/>
  <c r="E65" i="3"/>
  <c r="G65" i="3" s="1"/>
  <c r="F63" i="3"/>
  <c r="G63" i="3" s="1"/>
  <c r="G62" i="3"/>
  <c r="G60" i="3"/>
  <c r="G52" i="3"/>
  <c r="E51" i="3"/>
  <c r="J51" i="3" s="1"/>
  <c r="E59" i="3"/>
  <c r="G59" i="3" s="1"/>
  <c r="G58" i="3"/>
  <c r="E57" i="3"/>
  <c r="G57" i="3" s="1"/>
  <c r="G56" i="3"/>
  <c r="G54" i="3"/>
  <c r="G53" i="3"/>
  <c r="G55" i="3"/>
  <c r="G50" i="3"/>
  <c r="E49" i="3"/>
  <c r="G49" i="3" s="1"/>
  <c r="F48" i="3"/>
  <c r="G47" i="3"/>
  <c r="G46" i="3"/>
  <c r="G45" i="3"/>
  <c r="G44" i="3"/>
  <c r="G43" i="3"/>
  <c r="G41" i="3"/>
  <c r="E40" i="3"/>
  <c r="G40" i="3" s="1"/>
  <c r="E39" i="3"/>
  <c r="G39" i="3" s="1"/>
  <c r="G37" i="3"/>
  <c r="E36" i="3"/>
  <c r="G36" i="3" s="1"/>
  <c r="E35" i="3"/>
  <c r="G35" i="3" s="1"/>
  <c r="G34" i="3"/>
  <c r="G33" i="3"/>
  <c r="G32" i="3"/>
  <c r="F31" i="3"/>
  <c r="G30" i="3"/>
  <c r="G28" i="3"/>
  <c r="G25" i="3"/>
  <c r="G24" i="3"/>
  <c r="F27" i="3"/>
  <c r="G27" i="3" s="1"/>
  <c r="G20" i="3"/>
  <c r="G19" i="3"/>
  <c r="G18" i="3"/>
  <c r="G17" i="3"/>
  <c r="E16" i="3"/>
  <c r="G16" i="3" s="1"/>
  <c r="G15" i="3"/>
  <c r="G13" i="3"/>
  <c r="G12" i="3"/>
  <c r="G11" i="3"/>
  <c r="G10" i="3"/>
  <c r="G9" i="3"/>
  <c r="F8" i="3"/>
  <c r="E8" i="3"/>
  <c r="G7" i="3"/>
  <c r="E6" i="3"/>
  <c r="G6" i="3" s="1"/>
  <c r="F5" i="3"/>
  <c r="U144" i="2"/>
  <c r="U159" i="2" s="1"/>
  <c r="U109" i="2"/>
  <c r="U156" i="2" s="1"/>
  <c r="U107" i="2"/>
  <c r="U158" i="2" s="1"/>
  <c r="U96" i="2"/>
  <c r="U41" i="2"/>
  <c r="U36" i="2"/>
  <c r="U26" i="2"/>
  <c r="U14" i="2"/>
  <c r="U5" i="2"/>
  <c r="M153" i="2"/>
  <c r="M144" i="2"/>
  <c r="M109" i="2"/>
  <c r="M156" i="2" s="1"/>
  <c r="M107" i="2"/>
  <c r="M96" i="2"/>
  <c r="M87" i="2"/>
  <c r="M74" i="2"/>
  <c r="M62" i="2"/>
  <c r="M41" i="2"/>
  <c r="M36" i="2"/>
  <c r="M26" i="2"/>
  <c r="M14" i="2"/>
  <c r="M5" i="2"/>
  <c r="K153" i="2"/>
  <c r="K144" i="2"/>
  <c r="K159" i="2" s="1"/>
  <c r="K109" i="2"/>
  <c r="K156" i="2" s="1"/>
  <c r="K107" i="2"/>
  <c r="K158" i="2" s="1"/>
  <c r="K96" i="2"/>
  <c r="K87" i="2"/>
  <c r="K74" i="2"/>
  <c r="K62" i="2"/>
  <c r="K41" i="2"/>
  <c r="K36" i="2"/>
  <c r="K26" i="2"/>
  <c r="K14" i="2"/>
  <c r="K5" i="2"/>
  <c r="I153" i="2"/>
  <c r="I144" i="2"/>
  <c r="I159" i="2" s="1"/>
  <c r="I109" i="2"/>
  <c r="I156" i="2" s="1"/>
  <c r="I107" i="2"/>
  <c r="I158" i="2" s="1"/>
  <c r="I96" i="2"/>
  <c r="I87" i="2"/>
  <c r="I74" i="2"/>
  <c r="I98" i="2" s="1"/>
  <c r="I62" i="2"/>
  <c r="I41" i="2"/>
  <c r="I36" i="2"/>
  <c r="I26" i="2"/>
  <c r="I14" i="2"/>
  <c r="I5" i="2"/>
  <c r="H46" i="2"/>
  <c r="Q46" i="2" s="1"/>
  <c r="H47" i="2"/>
  <c r="Q47" i="2" s="1"/>
  <c r="H48" i="2"/>
  <c r="Q48" i="2" s="1"/>
  <c r="H49" i="2"/>
  <c r="Q49" i="2" s="1"/>
  <c r="H50" i="2"/>
  <c r="Q50" i="2" s="1"/>
  <c r="H51" i="2"/>
  <c r="Q51" i="2" s="1"/>
  <c r="H52" i="2"/>
  <c r="Q52" i="2" s="1"/>
  <c r="H54" i="2"/>
  <c r="Q54" i="2" s="1"/>
  <c r="H55" i="2"/>
  <c r="Q55" i="2" s="1"/>
  <c r="H58" i="2"/>
  <c r="Q58" i="2" s="1"/>
  <c r="H60" i="2"/>
  <c r="Q60" i="2" s="1"/>
  <c r="H78" i="2"/>
  <c r="Q78" i="2" s="1"/>
  <c r="H77" i="2"/>
  <c r="Q77" i="2" s="1"/>
  <c r="H76" i="2"/>
  <c r="Q76" i="2" s="1"/>
  <c r="H75" i="2"/>
  <c r="Q75" i="2" s="1"/>
  <c r="H92" i="2"/>
  <c r="H94" i="2"/>
  <c r="Q94" i="2" s="1"/>
  <c r="H145" i="2"/>
  <c r="H148" i="2"/>
  <c r="Q148" i="2" s="1"/>
  <c r="F153" i="2"/>
  <c r="F144" i="2"/>
  <c r="F159" i="2" s="1"/>
  <c r="F130" i="2"/>
  <c r="F107" i="2"/>
  <c r="F158" i="2" s="1"/>
  <c r="F96" i="2"/>
  <c r="F87" i="2"/>
  <c r="F79" i="2"/>
  <c r="F74" i="2"/>
  <c r="F70" i="2"/>
  <c r="F64" i="2"/>
  <c r="F63" i="2"/>
  <c r="F61" i="2"/>
  <c r="F59" i="2"/>
  <c r="H59" i="2" s="1"/>
  <c r="Q59" i="2" s="1"/>
  <c r="F57" i="2"/>
  <c r="H57" i="2" s="1"/>
  <c r="Q57" i="2" s="1"/>
  <c r="F56" i="2"/>
  <c r="H56" i="2" s="1"/>
  <c r="Q56" i="2" s="1"/>
  <c r="F53" i="2"/>
  <c r="H53" i="2" s="1"/>
  <c r="Q53" i="2" s="1"/>
  <c r="F36" i="2"/>
  <c r="F29" i="2"/>
  <c r="F26" i="2"/>
  <c r="F17" i="2"/>
  <c r="F15" i="2"/>
  <c r="F5" i="2"/>
  <c r="F109" i="2" l="1"/>
  <c r="V130" i="2"/>
  <c r="P92" i="2"/>
  <c r="Q92" i="2"/>
  <c r="P145" i="2"/>
  <c r="Q145" i="2"/>
  <c r="L52" i="3"/>
  <c r="AC52" i="3" s="1"/>
  <c r="AP52" i="3"/>
  <c r="AT52" i="3" s="1"/>
  <c r="L67" i="3"/>
  <c r="AC67" i="3" s="1"/>
  <c r="AP67" i="3"/>
  <c r="AT67" i="3" s="1"/>
  <c r="L34" i="3"/>
  <c r="AC34" i="3" s="1"/>
  <c r="AQ34" i="3"/>
  <c r="AU34" i="3" s="1"/>
  <c r="L51" i="3"/>
  <c r="AC51" i="3" s="1"/>
  <c r="AP51" i="3"/>
  <c r="AT51" i="3" s="1"/>
  <c r="L37" i="3"/>
  <c r="AC37" i="3" s="1"/>
  <c r="AP37" i="3"/>
  <c r="AT37" i="3" s="1"/>
  <c r="L91" i="3"/>
  <c r="AC91" i="3" s="1"/>
  <c r="AQ91" i="3"/>
  <c r="AU91" i="3" s="1"/>
  <c r="T92" i="2"/>
  <c r="N92" i="2"/>
  <c r="S78" i="2"/>
  <c r="T78" i="2" s="1"/>
  <c r="S148" i="2"/>
  <c r="T148" i="2" s="1"/>
  <c r="N148" i="2"/>
  <c r="L75" i="2"/>
  <c r="N75" i="2"/>
  <c r="M159" i="2"/>
  <c r="S145" i="2"/>
  <c r="T145" i="2" s="1"/>
  <c r="N145" i="2"/>
  <c r="T94" i="2"/>
  <c r="N46" i="2"/>
  <c r="T46" i="2"/>
  <c r="M158" i="2"/>
  <c r="M98" i="2"/>
  <c r="X52" i="3"/>
  <c r="W14" i="3"/>
  <c r="L148" i="2"/>
  <c r="L145" i="2"/>
  <c r="J75" i="2"/>
  <c r="L48" i="2"/>
  <c r="J47" i="2"/>
  <c r="L47" i="2"/>
  <c r="L50" i="2"/>
  <c r="J46" i="2"/>
  <c r="L46" i="2"/>
  <c r="L92" i="2"/>
  <c r="L49" i="2"/>
  <c r="J92" i="2"/>
  <c r="S111" i="3"/>
  <c r="Y131" i="3"/>
  <c r="AA123" i="3"/>
  <c r="AA95" i="3"/>
  <c r="S95" i="3"/>
  <c r="S123" i="3"/>
  <c r="W5" i="3"/>
  <c r="E104" i="3"/>
  <c r="E14" i="3"/>
  <c r="Q131" i="3"/>
  <c r="G95" i="3"/>
  <c r="O5" i="3"/>
  <c r="W111" i="3"/>
  <c r="W115" i="3"/>
  <c r="W123" i="3"/>
  <c r="Z131" i="3"/>
  <c r="E61" i="3"/>
  <c r="S31" i="3"/>
  <c r="O71" i="3"/>
  <c r="O111" i="3"/>
  <c r="AA8" i="3"/>
  <c r="L75" i="3"/>
  <c r="AC75" i="3" s="1"/>
  <c r="O48" i="3"/>
  <c r="G104" i="3"/>
  <c r="O31" i="3"/>
  <c r="O123" i="3"/>
  <c r="S14" i="3"/>
  <c r="W31" i="3"/>
  <c r="AA31" i="3"/>
  <c r="AA115" i="3"/>
  <c r="O95" i="3"/>
  <c r="W95" i="3"/>
  <c r="AA111" i="3"/>
  <c r="W48" i="3"/>
  <c r="AA71" i="3"/>
  <c r="F61" i="3"/>
  <c r="J80" i="3"/>
  <c r="M131" i="3"/>
  <c r="O8" i="3"/>
  <c r="O104" i="3"/>
  <c r="R131" i="3"/>
  <c r="G8" i="3"/>
  <c r="G31" i="3"/>
  <c r="G51" i="3"/>
  <c r="G48" i="3" s="1"/>
  <c r="E95" i="3"/>
  <c r="E111" i="3"/>
  <c r="G123" i="3"/>
  <c r="N131" i="3"/>
  <c r="O61" i="3"/>
  <c r="S5" i="3"/>
  <c r="S48" i="3"/>
  <c r="S115" i="3"/>
  <c r="V131" i="3"/>
  <c r="W61" i="3"/>
  <c r="W104" i="3"/>
  <c r="AA14" i="3"/>
  <c r="AA104" i="3"/>
  <c r="G111" i="3"/>
  <c r="O14" i="3"/>
  <c r="O115" i="3"/>
  <c r="S8" i="3"/>
  <c r="S71" i="3"/>
  <c r="AA61" i="3"/>
  <c r="F14" i="3"/>
  <c r="G5" i="3"/>
  <c r="S61" i="3"/>
  <c r="S104" i="3"/>
  <c r="U131" i="3"/>
  <c r="W8" i="3"/>
  <c r="W71" i="3"/>
  <c r="AA5" i="3"/>
  <c r="AA48" i="3"/>
  <c r="G71" i="3"/>
  <c r="G14" i="3"/>
  <c r="G66" i="3"/>
  <c r="G61" i="3" s="1"/>
  <c r="E71" i="3"/>
  <c r="E48" i="3"/>
  <c r="E5" i="3"/>
  <c r="E31" i="3"/>
  <c r="F115" i="3"/>
  <c r="E115" i="3"/>
  <c r="F14" i="2"/>
  <c r="F38" i="2" s="1"/>
  <c r="F154" i="2" s="1"/>
  <c r="H74" i="2"/>
  <c r="I38" i="2"/>
  <c r="I154" i="2" s="1"/>
  <c r="I155" i="2"/>
  <c r="U38" i="2"/>
  <c r="U154" i="2" s="1"/>
  <c r="U98" i="2"/>
  <c r="U155" i="2" s="1"/>
  <c r="M38" i="2"/>
  <c r="F62" i="2"/>
  <c r="K38" i="2"/>
  <c r="K154" i="2" s="1"/>
  <c r="K98" i="2"/>
  <c r="K155" i="2" s="1"/>
  <c r="F41" i="2"/>
  <c r="U150" i="2"/>
  <c r="M150" i="2"/>
  <c r="K150" i="2"/>
  <c r="I150" i="2"/>
  <c r="F156" i="2"/>
  <c r="F150" i="2"/>
  <c r="T52" i="3" l="1"/>
  <c r="AB34" i="3"/>
  <c r="AB37" i="3"/>
  <c r="X67" i="3"/>
  <c r="X91" i="3"/>
  <c r="X75" i="3"/>
  <c r="X37" i="3"/>
  <c r="L80" i="3"/>
  <c r="AC80" i="3" s="1"/>
  <c r="AT80" i="3"/>
  <c r="X34" i="3"/>
  <c r="U157" i="2"/>
  <c r="U160" i="2" s="1"/>
  <c r="M155" i="2"/>
  <c r="M154" i="2"/>
  <c r="U151" i="2"/>
  <c r="G118" i="3"/>
  <c r="G115" i="3" s="1"/>
  <c r="G131" i="3" s="1"/>
  <c r="F98" i="2"/>
  <c r="F155" i="2" s="1"/>
  <c r="F157" i="2" s="1"/>
  <c r="F160" i="2" s="1"/>
  <c r="W131" i="3"/>
  <c r="O131" i="3"/>
  <c r="F131" i="3"/>
  <c r="S131" i="3"/>
  <c r="AA131" i="3"/>
  <c r="E131" i="3"/>
  <c r="I151" i="2"/>
  <c r="I157" i="2"/>
  <c r="I160" i="2" s="1"/>
  <c r="K157" i="2"/>
  <c r="K160" i="2" s="1"/>
  <c r="K151" i="2"/>
  <c r="M151" i="2"/>
  <c r="M157" i="2" l="1"/>
  <c r="M160" i="2" s="1"/>
  <c r="G132" i="3"/>
  <c r="F151" i="2"/>
  <c r="H30" i="14"/>
  <c r="AF37" i="3" l="1"/>
  <c r="AG37" i="3" s="1"/>
  <c r="J46" i="3" l="1"/>
  <c r="AP46" i="3" s="1"/>
  <c r="AT46" i="3" s="1"/>
  <c r="AB75" i="3" l="1"/>
  <c r="AB52" i="3"/>
  <c r="J27" i="3"/>
  <c r="AP27" i="3" s="1"/>
  <c r="AT27" i="3" s="1"/>
  <c r="O74" i="2" l="1"/>
  <c r="J20" i="3" l="1"/>
  <c r="AP20" i="3" s="1"/>
  <c r="AT20" i="3" s="1"/>
  <c r="AF52" i="3" l="1"/>
  <c r="AG52" i="3" s="1"/>
  <c r="AF34" i="3" l="1"/>
  <c r="AF67" i="3" l="1"/>
  <c r="V65" i="2" l="1"/>
  <c r="P148" i="2" l="1"/>
  <c r="AF75" i="3"/>
  <c r="AG75" i="3" s="1"/>
  <c r="AF91" i="3"/>
  <c r="AG91" i="3" s="1"/>
  <c r="H124" i="2" l="1"/>
  <c r="P124" i="2" l="1"/>
  <c r="Q124" i="2"/>
  <c r="S124" i="2"/>
  <c r="T124" i="2" s="1"/>
  <c r="AQ124" i="3" l="1"/>
  <c r="AU124" i="3" s="1"/>
  <c r="AQ96" i="3" l="1"/>
  <c r="AU96" i="3" s="1"/>
  <c r="AQ49" i="3"/>
  <c r="AU49" i="3" s="1"/>
  <c r="AQ32" i="3"/>
  <c r="AU32" i="3" s="1"/>
  <c r="AP7" i="3"/>
  <c r="AT7" i="3" s="1"/>
  <c r="S110" i="2" l="1"/>
  <c r="S89" i="2"/>
  <c r="S90" i="2"/>
  <c r="S77" i="2"/>
  <c r="T77" i="2" s="1"/>
  <c r="S76" i="2"/>
  <c r="T76" i="2" s="1"/>
  <c r="S73" i="2"/>
  <c r="S63" i="2"/>
  <c r="S58" i="2"/>
  <c r="T60" i="2"/>
  <c r="S48" i="2"/>
  <c r="S33" i="2"/>
  <c r="AF20" i="3" l="1"/>
  <c r="S57" i="2" l="1"/>
  <c r="S75" i="2" l="1"/>
  <c r="T75" i="2" s="1"/>
  <c r="S61" i="2"/>
  <c r="S64" i="2" l="1"/>
  <c r="S15" i="2" l="1"/>
  <c r="H122" i="2" l="1"/>
  <c r="P122" i="2" l="1"/>
  <c r="Q122" i="2"/>
  <c r="S122" i="2"/>
  <c r="T122" i="2" s="1"/>
  <c r="N122" i="2"/>
  <c r="I25" i="1" l="1"/>
  <c r="S125" i="2" l="1"/>
  <c r="T125" i="2" s="1"/>
  <c r="K58" i="3"/>
  <c r="AQ58" i="3" s="1"/>
  <c r="AU58" i="3" s="1"/>
  <c r="H90" i="2" l="1"/>
  <c r="Q90" i="2" s="1"/>
  <c r="H149" i="2"/>
  <c r="Q149" i="2" s="1"/>
  <c r="S149" i="2" l="1"/>
  <c r="T149" i="2" s="1"/>
  <c r="L90" i="2"/>
  <c r="J90" i="2"/>
  <c r="T90" i="2"/>
  <c r="P90" i="2"/>
  <c r="N90" i="2"/>
  <c r="K20" i="3" l="1"/>
  <c r="AQ20" i="3" s="1"/>
  <c r="AU20" i="3" s="1"/>
  <c r="AI20" i="3" l="1"/>
  <c r="AG20" i="3"/>
  <c r="L20" i="3"/>
  <c r="AC20" i="3" s="1"/>
  <c r="AP69" i="3"/>
  <c r="K101" i="3"/>
  <c r="AQ101" i="3" s="1"/>
  <c r="J100" i="3"/>
  <c r="AP100" i="3" s="1"/>
  <c r="AT100" i="3" s="1"/>
  <c r="J102" i="3"/>
  <c r="J81" i="3"/>
  <c r="AP81" i="3" s="1"/>
  <c r="AT81" i="3" s="1"/>
  <c r="J82" i="3"/>
  <c r="AP82" i="3" s="1"/>
  <c r="AT82" i="3" s="1"/>
  <c r="J83" i="3"/>
  <c r="AP83" i="3" s="1"/>
  <c r="AT83" i="3" s="1"/>
  <c r="J62" i="3"/>
  <c r="AP62" i="3" s="1"/>
  <c r="AT62" i="3" s="1"/>
  <c r="K62" i="3"/>
  <c r="AQ62" i="3" s="1"/>
  <c r="AU62" i="3" s="1"/>
  <c r="J63" i="3"/>
  <c r="AP63" i="3" s="1"/>
  <c r="AT63" i="3" s="1"/>
  <c r="J65" i="3"/>
  <c r="AP65" i="3" s="1"/>
  <c r="AT65" i="3" s="1"/>
  <c r="K65" i="3"/>
  <c r="AQ65" i="3" s="1"/>
  <c r="AU65" i="3" s="1"/>
  <c r="K53" i="3"/>
  <c r="AU53" i="3" s="1"/>
  <c r="J54" i="3"/>
  <c r="J56" i="3"/>
  <c r="AP56" i="3" s="1"/>
  <c r="AT56" i="3" s="1"/>
  <c r="J58" i="3"/>
  <c r="AP58" i="3" s="1"/>
  <c r="AT58" i="3" s="1"/>
  <c r="J59" i="3"/>
  <c r="AP59" i="3" s="1"/>
  <c r="AT59" i="3" s="1"/>
  <c r="K45" i="3"/>
  <c r="AQ45" i="3" s="1"/>
  <c r="AU45" i="3" s="1"/>
  <c r="K46" i="3"/>
  <c r="K47" i="3"/>
  <c r="AQ47" i="3" s="1"/>
  <c r="AU47" i="3" s="1"/>
  <c r="K41" i="3"/>
  <c r="K40" i="3"/>
  <c r="AQ40" i="3" s="1"/>
  <c r="AU40" i="3" s="1"/>
  <c r="J41" i="3"/>
  <c r="AP41" i="3" s="1"/>
  <c r="AT41" i="3" s="1"/>
  <c r="K10" i="3"/>
  <c r="AQ10" i="3" s="1"/>
  <c r="AU10" i="3" s="1"/>
  <c r="K7" i="3"/>
  <c r="AF130" i="3"/>
  <c r="AF129" i="3"/>
  <c r="AF128" i="3"/>
  <c r="AF127" i="3"/>
  <c r="AF126" i="3"/>
  <c r="AF125" i="3"/>
  <c r="AF124" i="3"/>
  <c r="AE123" i="3"/>
  <c r="AD123" i="3"/>
  <c r="AF122" i="3"/>
  <c r="AF120" i="3"/>
  <c r="AF119" i="3"/>
  <c r="AF116" i="3"/>
  <c r="AF114" i="3"/>
  <c r="AF113" i="3"/>
  <c r="AF112" i="3"/>
  <c r="AE111" i="3"/>
  <c r="AD111" i="3"/>
  <c r="AF110" i="3"/>
  <c r="AF109" i="3"/>
  <c r="AF108" i="3"/>
  <c r="AF105" i="3"/>
  <c r="AE104" i="3"/>
  <c r="AD104" i="3"/>
  <c r="AF103" i="3"/>
  <c r="AF101" i="3"/>
  <c r="AF102" i="3"/>
  <c r="AF100" i="3"/>
  <c r="AF99" i="3"/>
  <c r="AF97" i="3"/>
  <c r="AF96" i="3"/>
  <c r="AE95" i="3"/>
  <c r="AD95" i="3"/>
  <c r="AF94" i="3"/>
  <c r="AF93" i="3"/>
  <c r="AF92" i="3"/>
  <c r="AF90" i="3"/>
  <c r="AF89" i="3"/>
  <c r="AF88" i="3"/>
  <c r="AF87" i="3"/>
  <c r="AF85" i="3"/>
  <c r="AG85" i="3" s="1"/>
  <c r="AF84" i="3"/>
  <c r="AG84" i="3" s="1"/>
  <c r="AF78" i="3"/>
  <c r="AG78" i="3" s="1"/>
  <c r="AF83" i="3"/>
  <c r="AG83" i="3" s="1"/>
  <c r="AF82" i="3"/>
  <c r="AG82" i="3" s="1"/>
  <c r="AF81" i="3"/>
  <c r="AG81" i="3" s="1"/>
  <c r="AF80" i="3"/>
  <c r="AG80" i="3" s="1"/>
  <c r="AF76" i="3"/>
  <c r="AF74" i="3"/>
  <c r="AF73" i="3"/>
  <c r="AF72" i="3"/>
  <c r="AE71" i="3"/>
  <c r="AD71" i="3"/>
  <c r="AF70" i="3"/>
  <c r="AE69" i="3"/>
  <c r="AD69" i="3"/>
  <c r="AF68" i="3"/>
  <c r="AF66" i="3"/>
  <c r="AF65" i="3"/>
  <c r="AF63" i="3"/>
  <c r="AF62" i="3"/>
  <c r="AE61" i="3"/>
  <c r="AD61" i="3"/>
  <c r="AF60" i="3"/>
  <c r="AF51" i="3"/>
  <c r="AG51" i="3" s="1"/>
  <c r="AF59" i="3"/>
  <c r="AF58" i="3"/>
  <c r="AF57" i="3"/>
  <c r="AF56" i="3"/>
  <c r="AF54" i="3"/>
  <c r="AF53" i="3"/>
  <c r="AF55" i="3"/>
  <c r="AF50" i="3"/>
  <c r="AF49" i="3"/>
  <c r="AE48" i="3"/>
  <c r="AD48" i="3"/>
  <c r="AF47" i="3"/>
  <c r="AF46" i="3"/>
  <c r="AF45" i="3"/>
  <c r="AF44" i="3"/>
  <c r="AF43" i="3"/>
  <c r="AF41" i="3"/>
  <c r="AF40" i="3"/>
  <c r="AF39" i="3"/>
  <c r="AF36" i="3"/>
  <c r="AF35" i="3"/>
  <c r="AF33" i="3"/>
  <c r="AF32" i="3"/>
  <c r="AE31" i="3"/>
  <c r="AD31" i="3"/>
  <c r="AF30" i="3"/>
  <c r="AF28" i="3"/>
  <c r="AF25" i="3"/>
  <c r="AF24" i="3"/>
  <c r="AF27" i="3"/>
  <c r="AF19" i="3"/>
  <c r="AF18" i="3"/>
  <c r="AF17" i="3"/>
  <c r="AF16" i="3"/>
  <c r="AF15" i="3"/>
  <c r="AE14" i="3"/>
  <c r="AD14" i="3"/>
  <c r="AF13" i="3"/>
  <c r="AF12" i="3"/>
  <c r="AF11" i="3"/>
  <c r="AF10" i="3"/>
  <c r="AF9" i="3"/>
  <c r="AE8" i="3"/>
  <c r="AD8" i="3"/>
  <c r="AF7" i="3"/>
  <c r="AF6" i="3"/>
  <c r="AE5" i="3"/>
  <c r="AD5" i="3"/>
  <c r="K109" i="3"/>
  <c r="AQ109" i="3" s="1"/>
  <c r="AU109" i="3" s="1"/>
  <c r="K108" i="3"/>
  <c r="AQ108" i="3" s="1"/>
  <c r="AU108" i="3" s="1"/>
  <c r="J78" i="3"/>
  <c r="AP78" i="3" s="1"/>
  <c r="AT78" i="3" s="1"/>
  <c r="AI80" i="3"/>
  <c r="AI54" i="3"/>
  <c r="AI46" i="3"/>
  <c r="AI45" i="3"/>
  <c r="AI44" i="3"/>
  <c r="AI43" i="3"/>
  <c r="AI41" i="3"/>
  <c r="AI25" i="3"/>
  <c r="AI24" i="3"/>
  <c r="AI27" i="3"/>
  <c r="AI19" i="3"/>
  <c r="AI7" i="3"/>
  <c r="V153" i="2"/>
  <c r="H113" i="2"/>
  <c r="H114" i="2"/>
  <c r="H115" i="2"/>
  <c r="H116" i="2"/>
  <c r="H118" i="2"/>
  <c r="H133" i="2"/>
  <c r="H140" i="2"/>
  <c r="H138" i="2"/>
  <c r="H143" i="2"/>
  <c r="G153" i="2"/>
  <c r="G144" i="2"/>
  <c r="G159" i="2" s="1"/>
  <c r="G109" i="2"/>
  <c r="G156" i="2" s="1"/>
  <c r="G107" i="2"/>
  <c r="G158" i="2" s="1"/>
  <c r="G96" i="2"/>
  <c r="G87" i="2"/>
  <c r="G79" i="2"/>
  <c r="G62" i="2"/>
  <c r="G41" i="2"/>
  <c r="G36" i="2"/>
  <c r="G26" i="2"/>
  <c r="G14" i="2"/>
  <c r="G5" i="2"/>
  <c r="H103" i="2"/>
  <c r="Q103" i="2" s="1"/>
  <c r="H65" i="2"/>
  <c r="Q65" i="2" s="1"/>
  <c r="H66" i="2"/>
  <c r="Q66" i="2" s="1"/>
  <c r="H67" i="2"/>
  <c r="Q67" i="2" s="1"/>
  <c r="H44" i="2"/>
  <c r="Q44" i="2" s="1"/>
  <c r="H45" i="2"/>
  <c r="Q45" i="2" s="1"/>
  <c r="O153" i="2"/>
  <c r="O144" i="2"/>
  <c r="O159" i="2" s="1"/>
  <c r="O109" i="2"/>
  <c r="O156" i="2" s="1"/>
  <c r="O107" i="2"/>
  <c r="O158" i="2" s="1"/>
  <c r="M11" i="1" s="1"/>
  <c r="O96" i="2"/>
  <c r="O87" i="2"/>
  <c r="O62" i="2"/>
  <c r="O41" i="2"/>
  <c r="O36" i="2"/>
  <c r="O26" i="2"/>
  <c r="O14" i="2"/>
  <c r="O5" i="2"/>
  <c r="H130" i="2"/>
  <c r="H129" i="2"/>
  <c r="P129" i="2" l="1"/>
  <c r="Q129" i="2"/>
  <c r="T129" i="2"/>
  <c r="P133" i="2"/>
  <c r="Q133" i="2"/>
  <c r="P114" i="2"/>
  <c r="Q114" i="2"/>
  <c r="P130" i="2"/>
  <c r="Q130" i="2"/>
  <c r="T130" i="2"/>
  <c r="P143" i="2"/>
  <c r="Q143" i="2"/>
  <c r="P118" i="2"/>
  <c r="Q118" i="2"/>
  <c r="P113" i="2"/>
  <c r="Q113" i="2"/>
  <c r="P138" i="2"/>
  <c r="Q138" i="2"/>
  <c r="P116" i="2"/>
  <c r="Q116" i="2"/>
  <c r="P140" i="2"/>
  <c r="Q140" i="2"/>
  <c r="P115" i="2"/>
  <c r="Q115" i="2"/>
  <c r="AQ41" i="3"/>
  <c r="AU41" i="3" s="1"/>
  <c r="AP54" i="3"/>
  <c r="AT54" i="3" s="1"/>
  <c r="AQ95" i="3"/>
  <c r="AU101" i="3"/>
  <c r="L7" i="3"/>
  <c r="AU7" i="3"/>
  <c r="AQ48" i="3"/>
  <c r="L102" i="3"/>
  <c r="AC102" i="3" s="1"/>
  <c r="AP102" i="3"/>
  <c r="AT102" i="3" s="1"/>
  <c r="L46" i="3"/>
  <c r="AB46" i="3" s="1"/>
  <c r="AQ46" i="3"/>
  <c r="AU46" i="3" s="1"/>
  <c r="S138" i="2"/>
  <c r="T138" i="2" s="1"/>
  <c r="N138" i="2"/>
  <c r="S116" i="2"/>
  <c r="T116" i="2" s="1"/>
  <c r="N116" i="2"/>
  <c r="S140" i="2"/>
  <c r="T140" i="2" s="1"/>
  <c r="N140" i="2"/>
  <c r="T115" i="2"/>
  <c r="N115" i="2"/>
  <c r="N129" i="2"/>
  <c r="N133" i="2"/>
  <c r="S114" i="2"/>
  <c r="T114" i="2" s="1"/>
  <c r="N114" i="2"/>
  <c r="N130" i="2"/>
  <c r="T143" i="2"/>
  <c r="N143" i="2"/>
  <c r="S118" i="2"/>
  <c r="T118" i="2" s="1"/>
  <c r="N118" i="2"/>
  <c r="S113" i="2"/>
  <c r="T113" i="2" s="1"/>
  <c r="N113" i="2"/>
  <c r="J44" i="2"/>
  <c r="L44" i="2"/>
  <c r="J103" i="2"/>
  <c r="L140" i="2"/>
  <c r="L115" i="2"/>
  <c r="L129" i="2"/>
  <c r="L133" i="2"/>
  <c r="L114" i="2"/>
  <c r="L130" i="2"/>
  <c r="J66" i="2"/>
  <c r="L143" i="2"/>
  <c r="J143" i="2"/>
  <c r="L118" i="2"/>
  <c r="L113" i="2"/>
  <c r="J45" i="2"/>
  <c r="L45" i="2"/>
  <c r="J65" i="2"/>
  <c r="L138" i="2"/>
  <c r="J138" i="2"/>
  <c r="L116" i="2"/>
  <c r="AB20" i="3"/>
  <c r="J140" i="2"/>
  <c r="T66" i="2"/>
  <c r="T45" i="2"/>
  <c r="P45" i="2"/>
  <c r="T65" i="2"/>
  <c r="P65" i="2"/>
  <c r="T44" i="2"/>
  <c r="P44" i="2"/>
  <c r="P67" i="2"/>
  <c r="T103" i="2"/>
  <c r="P103" i="2"/>
  <c r="AE115" i="3"/>
  <c r="AE131" i="3" s="1"/>
  <c r="AB102" i="3"/>
  <c r="P20" i="3"/>
  <c r="S133" i="2"/>
  <c r="T133" i="2" s="1"/>
  <c r="L83" i="3"/>
  <c r="L82" i="3"/>
  <c r="AG7" i="3"/>
  <c r="L81" i="3"/>
  <c r="AC81" i="3" s="1"/>
  <c r="L100" i="3"/>
  <c r="AC100" i="3" s="1"/>
  <c r="AG27" i="3"/>
  <c r="AG65" i="3"/>
  <c r="AG62" i="3"/>
  <c r="AG66" i="3"/>
  <c r="AG68" i="3"/>
  <c r="AG46" i="3"/>
  <c r="AG54" i="3"/>
  <c r="L59" i="3"/>
  <c r="AC59" i="3" s="1"/>
  <c r="AG43" i="3"/>
  <c r="AG56" i="3"/>
  <c r="AG44" i="3"/>
  <c r="L56" i="3"/>
  <c r="AC56" i="3" s="1"/>
  <c r="AG41" i="3"/>
  <c r="AG45" i="3"/>
  <c r="AG53" i="3"/>
  <c r="L54" i="3"/>
  <c r="AC54" i="3" s="1"/>
  <c r="X20" i="3"/>
  <c r="L58" i="3"/>
  <c r="AC58" i="3" s="1"/>
  <c r="K11" i="1"/>
  <c r="N66" i="2"/>
  <c r="M12" i="1"/>
  <c r="N45" i="2"/>
  <c r="N65" i="2"/>
  <c r="N44" i="2"/>
  <c r="N103" i="2"/>
  <c r="K12" i="1"/>
  <c r="L103" i="2"/>
  <c r="L65" i="2"/>
  <c r="L78" i="3"/>
  <c r="AC78" i="3" s="1"/>
  <c r="J130" i="2"/>
  <c r="J133" i="2"/>
  <c r="J115" i="2"/>
  <c r="J116" i="2"/>
  <c r="J114" i="2"/>
  <c r="J129" i="2"/>
  <c r="J113" i="2"/>
  <c r="J99" i="3"/>
  <c r="AP99" i="3" s="1"/>
  <c r="AT99" i="3" s="1"/>
  <c r="L65" i="3"/>
  <c r="AC65" i="3" s="1"/>
  <c r="L62" i="3"/>
  <c r="AC62" i="3" s="1"/>
  <c r="L41" i="3"/>
  <c r="T80" i="3"/>
  <c r="AF123" i="3"/>
  <c r="J57" i="3"/>
  <c r="AP57" i="3" s="1"/>
  <c r="AT57" i="3" s="1"/>
  <c r="K63" i="3"/>
  <c r="AF61" i="3"/>
  <c r="AF69" i="3"/>
  <c r="AF71" i="3"/>
  <c r="AF111" i="3"/>
  <c r="M14" i="1"/>
  <c r="AF14" i="3"/>
  <c r="AF48" i="3"/>
  <c r="AF104" i="3"/>
  <c r="AF8" i="3"/>
  <c r="AF31" i="3"/>
  <c r="AF5" i="3"/>
  <c r="AF95" i="3"/>
  <c r="K27" i="3"/>
  <c r="AU27" i="3" s="1"/>
  <c r="G38" i="2"/>
  <c r="G154" i="2" s="1"/>
  <c r="G98" i="2"/>
  <c r="G155" i="2" s="1"/>
  <c r="H102" i="2"/>
  <c r="Q102" i="2" s="1"/>
  <c r="G150" i="2"/>
  <c r="O38" i="2"/>
  <c r="O154" i="2" s="1"/>
  <c r="M9" i="1" s="1"/>
  <c r="O98" i="2"/>
  <c r="O155" i="2" s="1"/>
  <c r="M10" i="1" s="1"/>
  <c r="K9" i="1"/>
  <c r="K10" i="1"/>
  <c r="O150" i="2"/>
  <c r="AC82" i="3" l="1"/>
  <c r="G14" i="14"/>
  <c r="AC83" i="3"/>
  <c r="G15" i="14"/>
  <c r="X46" i="3"/>
  <c r="AC41" i="3"/>
  <c r="AB41" i="3"/>
  <c r="P46" i="3"/>
  <c r="AC46" i="3"/>
  <c r="AC7" i="3"/>
  <c r="AB7" i="3"/>
  <c r="AI65" i="3"/>
  <c r="AI62" i="3"/>
  <c r="X7" i="3"/>
  <c r="X102" i="3"/>
  <c r="P102" i="3"/>
  <c r="T102" i="3"/>
  <c r="L63" i="3"/>
  <c r="AC63" i="3" s="1"/>
  <c r="AQ63" i="3"/>
  <c r="X78" i="3"/>
  <c r="X100" i="3"/>
  <c r="T46" i="3"/>
  <c r="T54" i="3"/>
  <c r="J102" i="2"/>
  <c r="AB59" i="3"/>
  <c r="X65" i="3"/>
  <c r="X54" i="3"/>
  <c r="X58" i="3"/>
  <c r="X56" i="3"/>
  <c r="T100" i="3"/>
  <c r="AB83" i="3"/>
  <c r="T81" i="3"/>
  <c r="P82" i="3"/>
  <c r="T102" i="2"/>
  <c r="P102" i="2"/>
  <c r="AB82" i="3"/>
  <c r="AF118" i="3"/>
  <c r="AB58" i="3"/>
  <c r="P81" i="3"/>
  <c r="AB54" i="3"/>
  <c r="AB62" i="3"/>
  <c r="AB80" i="3"/>
  <c r="T82" i="3"/>
  <c r="M15" i="1"/>
  <c r="T83" i="3"/>
  <c r="P83" i="3"/>
  <c r="AB65" i="3"/>
  <c r="AB81" i="3"/>
  <c r="AB56" i="3"/>
  <c r="AB78" i="3"/>
  <c r="P78" i="3"/>
  <c r="P100" i="3"/>
  <c r="X59" i="3"/>
  <c r="AG63" i="3"/>
  <c r="L27" i="3"/>
  <c r="AC27" i="3" s="1"/>
  <c r="X41" i="3"/>
  <c r="L57" i="3"/>
  <c r="L99" i="3"/>
  <c r="M13" i="1"/>
  <c r="N102" i="2"/>
  <c r="K13" i="1"/>
  <c r="T62" i="3"/>
  <c r="T65" i="3"/>
  <c r="P65" i="3"/>
  <c r="T78" i="3"/>
  <c r="P62" i="3"/>
  <c r="L102" i="2"/>
  <c r="P80" i="3"/>
  <c r="O132" i="3"/>
  <c r="G157" i="2"/>
  <c r="G160" i="2" s="1"/>
  <c r="AA132" i="3"/>
  <c r="S132" i="3"/>
  <c r="G151" i="2"/>
  <c r="O151" i="2"/>
  <c r="O157" i="2"/>
  <c r="O160" i="2" s="1"/>
  <c r="X63" i="3" l="1"/>
  <c r="AC57" i="3"/>
  <c r="G22" i="14"/>
  <c r="T99" i="3"/>
  <c r="AC99" i="3"/>
  <c r="AF115" i="3"/>
  <c r="AH118" i="3"/>
  <c r="AH115" i="3" s="1"/>
  <c r="AH131" i="3" s="1"/>
  <c r="AI63" i="3"/>
  <c r="T63" i="3"/>
  <c r="AB63" i="3"/>
  <c r="P63" i="3"/>
  <c r="AQ61" i="3"/>
  <c r="AU63" i="3"/>
  <c r="X99" i="3"/>
  <c r="AD115" i="3"/>
  <c r="AD131" i="3" s="1"/>
  <c r="AF132" i="3" s="1"/>
  <c r="P99" i="3"/>
  <c r="AB99" i="3"/>
  <c r="AB57" i="3"/>
  <c r="AB27" i="3"/>
  <c r="X27" i="3"/>
  <c r="AI57" i="3"/>
  <c r="X57" i="3"/>
  <c r="AF131" i="3" l="1"/>
  <c r="C22" i="22"/>
  <c r="C24" i="22" s="1"/>
  <c r="AI11" i="3"/>
  <c r="AG11" i="3"/>
  <c r="H95" i="2" l="1"/>
  <c r="Q95" i="2" s="1"/>
  <c r="W70" i="2" l="1"/>
  <c r="S24" i="1" l="1"/>
  <c r="S22" i="1"/>
  <c r="S101" i="2" l="1"/>
  <c r="S95" i="2" l="1"/>
  <c r="S86" i="2"/>
  <c r="S85" i="2"/>
  <c r="S83" i="2"/>
  <c r="S82" i="2"/>
  <c r="S80" i="2"/>
  <c r="S27" i="2"/>
  <c r="S26" i="2" s="1"/>
  <c r="X80" i="3" l="1"/>
  <c r="S88" i="2" l="1"/>
  <c r="S87" i="2" s="1"/>
  <c r="S81" i="2" l="1"/>
  <c r="S84" i="2"/>
  <c r="H89" i="2" l="1"/>
  <c r="Q89" i="2" s="1"/>
  <c r="H88" i="2"/>
  <c r="Q88" i="2" s="1"/>
  <c r="L89" i="2" l="1"/>
  <c r="J89" i="2"/>
  <c r="P88" i="2"/>
  <c r="T89" i="2"/>
  <c r="P89" i="2"/>
  <c r="H87" i="2"/>
  <c r="N88" i="2"/>
  <c r="N89" i="2"/>
  <c r="L88" i="2"/>
  <c r="S12" i="2"/>
  <c r="P87" i="2" l="1"/>
  <c r="J87" i="2"/>
  <c r="L87" i="2"/>
  <c r="N87" i="2"/>
  <c r="J130" i="3" l="1"/>
  <c r="AT130" i="3" s="1"/>
  <c r="AB51" i="3" l="1"/>
  <c r="X51" i="3"/>
  <c r="T51" i="3"/>
  <c r="J128" i="3" l="1"/>
  <c r="AP128" i="3" s="1"/>
  <c r="AT128" i="3" s="1"/>
  <c r="L128" i="3" l="1"/>
  <c r="AC128" i="3" s="1"/>
  <c r="AK123" i="3"/>
  <c r="AK115" i="3"/>
  <c r="AK111" i="3"/>
  <c r="AK104" i="3"/>
  <c r="AK95" i="3"/>
  <c r="AK71" i="3"/>
  <c r="AK69" i="3"/>
  <c r="AK61" i="3"/>
  <c r="AK48" i="3"/>
  <c r="AK31" i="3"/>
  <c r="AK14" i="3"/>
  <c r="AK8" i="3"/>
  <c r="AK5" i="3"/>
  <c r="J53" i="3"/>
  <c r="AP53" i="3" s="1"/>
  <c r="AT53" i="3" s="1"/>
  <c r="J17" i="3"/>
  <c r="AP17" i="3" s="1"/>
  <c r="AT17" i="3" s="1"/>
  <c r="K17" i="3"/>
  <c r="AU17" i="3" s="1"/>
  <c r="J19" i="3"/>
  <c r="AP19" i="3" s="1"/>
  <c r="AT19" i="3" s="1"/>
  <c r="K19" i="3"/>
  <c r="AU19" i="3" s="1"/>
  <c r="J24" i="3"/>
  <c r="AP24" i="3" s="1"/>
  <c r="AT24" i="3" s="1"/>
  <c r="K24" i="3"/>
  <c r="AQ24" i="3" s="1"/>
  <c r="AU24" i="3" s="1"/>
  <c r="J119" i="3"/>
  <c r="AP119" i="3" s="1"/>
  <c r="AT119" i="3" s="1"/>
  <c r="J120" i="3"/>
  <c r="AT120" i="3" s="1"/>
  <c r="J110" i="3"/>
  <c r="AP110" i="3" s="1"/>
  <c r="AT110" i="3" s="1"/>
  <c r="K110" i="3"/>
  <c r="AQ110" i="3" s="1"/>
  <c r="AQ104" i="3" l="1"/>
  <c r="AU110" i="3"/>
  <c r="X62" i="3"/>
  <c r="X83" i="3"/>
  <c r="X82" i="3"/>
  <c r="X81" i="3"/>
  <c r="T128" i="3"/>
  <c r="AB128" i="3"/>
  <c r="L53" i="3"/>
  <c r="AC53" i="3" s="1"/>
  <c r="X128" i="3"/>
  <c r="AK131" i="3"/>
  <c r="L24" i="3"/>
  <c r="AC24" i="3" s="1"/>
  <c r="L110" i="3"/>
  <c r="AC110" i="3" s="1"/>
  <c r="L19" i="3"/>
  <c r="AC19" i="3" s="1"/>
  <c r="L120" i="3"/>
  <c r="AC120" i="3" s="1"/>
  <c r="L17" i="3"/>
  <c r="AC17" i="3" s="1"/>
  <c r="L119" i="3"/>
  <c r="AC119" i="3" s="1"/>
  <c r="X53" i="3" l="1"/>
  <c r="T53" i="3"/>
  <c r="X24" i="3"/>
  <c r="K14" i="1"/>
  <c r="K15" i="1"/>
  <c r="AB53" i="3"/>
  <c r="P53" i="3"/>
  <c r="P119" i="3"/>
  <c r="W132" i="3"/>
  <c r="T110" i="3"/>
  <c r="X110" i="3"/>
  <c r="T119" i="3"/>
  <c r="T17" i="3"/>
  <c r="AB120" i="3"/>
  <c r="AB24" i="3"/>
  <c r="P110" i="3"/>
  <c r="P19" i="3"/>
  <c r="AB110" i="3"/>
  <c r="X119" i="3"/>
  <c r="T24" i="3"/>
  <c r="X19" i="3"/>
  <c r="P120" i="3"/>
  <c r="P17" i="3"/>
  <c r="X17" i="3"/>
  <c r="AB19" i="3"/>
  <c r="AB119" i="3"/>
  <c r="X120" i="3"/>
  <c r="T120" i="3"/>
  <c r="T19" i="3"/>
  <c r="AB17" i="3"/>
  <c r="M16" i="1" l="1"/>
  <c r="M18" i="1" s="1"/>
  <c r="K16" i="1"/>
  <c r="K18" i="1" s="1"/>
  <c r="K29" i="1" s="1"/>
  <c r="H5" i="3"/>
  <c r="I5" i="3"/>
  <c r="H8" i="3"/>
  <c r="I8" i="3"/>
  <c r="H14" i="3"/>
  <c r="I14" i="3"/>
  <c r="I31" i="3"/>
  <c r="H31" i="3"/>
  <c r="H48" i="3"/>
  <c r="I48" i="3"/>
  <c r="H61" i="3"/>
  <c r="I61" i="3"/>
  <c r="I69" i="3"/>
  <c r="H69" i="3"/>
  <c r="H71" i="3"/>
  <c r="I71" i="3"/>
  <c r="I95" i="3"/>
  <c r="H95" i="3"/>
  <c r="I104" i="3"/>
  <c r="H104" i="3"/>
  <c r="I111" i="3"/>
  <c r="H111" i="3"/>
  <c r="I115" i="3"/>
  <c r="H115" i="3"/>
  <c r="I123" i="3"/>
  <c r="H123" i="3"/>
  <c r="AG120" i="3"/>
  <c r="AG119" i="3"/>
  <c r="AG110" i="3"/>
  <c r="AG76" i="3"/>
  <c r="AG74" i="3"/>
  <c r="AI53" i="3"/>
  <c r="AG24" i="3"/>
  <c r="AG19" i="3"/>
  <c r="M29" i="1" l="1"/>
  <c r="AI15" i="3"/>
  <c r="AG15" i="3"/>
  <c r="AG17" i="3"/>
  <c r="AI17" i="3"/>
  <c r="AI31" i="3"/>
  <c r="AI8" i="3"/>
  <c r="I131" i="3"/>
  <c r="D15" i="1" s="1"/>
  <c r="H131" i="3"/>
  <c r="D14" i="1" s="1"/>
  <c r="P10" i="1"/>
  <c r="C5" i="22" s="1"/>
  <c r="D9" i="1"/>
  <c r="I10" i="1"/>
  <c r="D10" i="1"/>
  <c r="AG16" i="3"/>
  <c r="AG25" i="3"/>
  <c r="F35" i="14"/>
  <c r="F30" i="14"/>
  <c r="F20" i="14"/>
  <c r="F17" i="14"/>
  <c r="F19" i="14" s="1"/>
  <c r="AG116" i="3"/>
  <c r="W71" i="2"/>
  <c r="W107" i="2" s="1"/>
  <c r="K70" i="3"/>
  <c r="T95" i="2"/>
  <c r="F7" i="14"/>
  <c r="F8" i="14" s="1"/>
  <c r="F10" i="14"/>
  <c r="F12" i="14"/>
  <c r="F14" i="14"/>
  <c r="F15" i="14"/>
  <c r="F21" i="14"/>
  <c r="F23" i="14"/>
  <c r="F24" i="14"/>
  <c r="E27" i="14"/>
  <c r="F27" i="14"/>
  <c r="F29" i="14"/>
  <c r="H29" i="14"/>
  <c r="F32" i="14"/>
  <c r="F34" i="14"/>
  <c r="J6" i="3"/>
  <c r="AP6" i="3" s="1"/>
  <c r="AT6" i="3" s="1"/>
  <c r="K6" i="3"/>
  <c r="AQ6" i="3" s="1"/>
  <c r="AU6" i="3" s="1"/>
  <c r="H7" i="14"/>
  <c r="H8" i="14" s="1"/>
  <c r="J9" i="3"/>
  <c r="AP9" i="3" s="1"/>
  <c r="AT9" i="3" s="1"/>
  <c r="K9" i="3"/>
  <c r="AQ9" i="3" s="1"/>
  <c r="AU9" i="3" s="1"/>
  <c r="J11" i="3"/>
  <c r="AT11" i="3" s="1"/>
  <c r="K11" i="3"/>
  <c r="AQ11" i="3" s="1"/>
  <c r="AU11" i="3" s="1"/>
  <c r="AI12" i="3"/>
  <c r="J12" i="3"/>
  <c r="AP12" i="3" s="1"/>
  <c r="AT12" i="3" s="1"/>
  <c r="AG12" i="3"/>
  <c r="AI13" i="3"/>
  <c r="J13" i="3"/>
  <c r="AP13" i="3" s="1"/>
  <c r="AT13" i="3" s="1"/>
  <c r="K13" i="3"/>
  <c r="AQ13" i="3" s="1"/>
  <c r="AU13" i="3" s="1"/>
  <c r="AG13" i="3"/>
  <c r="K15" i="3"/>
  <c r="AU15" i="3" s="1"/>
  <c r="J15" i="3"/>
  <c r="AP15" i="3" s="1"/>
  <c r="AT15" i="3" s="1"/>
  <c r="K18" i="3"/>
  <c r="AQ18" i="3" s="1"/>
  <c r="AU18" i="3" s="1"/>
  <c r="J18" i="3"/>
  <c r="AP18" i="3" s="1"/>
  <c r="AT18" i="3" s="1"/>
  <c r="J16" i="3"/>
  <c r="AP16" i="3" s="1"/>
  <c r="AT16" i="3" s="1"/>
  <c r="K16" i="3"/>
  <c r="AQ16" i="3" s="1"/>
  <c r="AU16" i="3" s="1"/>
  <c r="J25" i="3"/>
  <c r="AP25" i="3" s="1"/>
  <c r="AT25" i="3" s="1"/>
  <c r="K25" i="3"/>
  <c r="AU25" i="3" s="1"/>
  <c r="AI28" i="3"/>
  <c r="J28" i="3"/>
  <c r="AP28" i="3" s="1"/>
  <c r="AT28" i="3" s="1"/>
  <c r="K28" i="3"/>
  <c r="AQ28" i="3" s="1"/>
  <c r="AU28" i="3" s="1"/>
  <c r="AI30" i="3"/>
  <c r="J30" i="3"/>
  <c r="AP30" i="3" s="1"/>
  <c r="AT30" i="3" s="1"/>
  <c r="K30" i="3"/>
  <c r="AU30" i="3" s="1"/>
  <c r="AI32" i="3"/>
  <c r="AI33" i="3"/>
  <c r="J33" i="3"/>
  <c r="AP33" i="3" s="1"/>
  <c r="AT33" i="3" s="1"/>
  <c r="J35" i="3"/>
  <c r="AT35" i="3" s="1"/>
  <c r="AI36" i="3"/>
  <c r="J36" i="3"/>
  <c r="AP36" i="3" s="1"/>
  <c r="AT36" i="3" s="1"/>
  <c r="AG36" i="3"/>
  <c r="J39" i="3"/>
  <c r="AP39" i="3" s="1"/>
  <c r="AT39" i="3" s="1"/>
  <c r="J40" i="3"/>
  <c r="AP40" i="3" s="1"/>
  <c r="AT40" i="3" s="1"/>
  <c r="J43" i="3"/>
  <c r="AP43" i="3" s="1"/>
  <c r="AT43" i="3" s="1"/>
  <c r="J44" i="3"/>
  <c r="AP44" i="3" s="1"/>
  <c r="AT44" i="3" s="1"/>
  <c r="K44" i="3"/>
  <c r="AU44" i="3" s="1"/>
  <c r="J45" i="3"/>
  <c r="AP45" i="3" s="1"/>
  <c r="AT45" i="3" s="1"/>
  <c r="AI47" i="3"/>
  <c r="J47" i="3"/>
  <c r="AP47" i="3" s="1"/>
  <c r="AT47" i="3" s="1"/>
  <c r="AG47" i="3"/>
  <c r="K48" i="3"/>
  <c r="AU48" i="3" s="1"/>
  <c r="J49" i="3"/>
  <c r="AI50" i="3"/>
  <c r="J50" i="3"/>
  <c r="AP50" i="3" s="1"/>
  <c r="AT50" i="3" s="1"/>
  <c r="AG50" i="3"/>
  <c r="AI55" i="3"/>
  <c r="J55" i="3"/>
  <c r="AI56" i="3"/>
  <c r="AI58" i="3"/>
  <c r="AG58" i="3"/>
  <c r="AI59" i="3"/>
  <c r="AI60" i="3"/>
  <c r="J60" i="3"/>
  <c r="AP60" i="3" s="1"/>
  <c r="AT60" i="3" s="1"/>
  <c r="AI66" i="3"/>
  <c r="J66" i="3"/>
  <c r="AP66" i="3" s="1"/>
  <c r="AT66" i="3" s="1"/>
  <c r="AI68" i="3"/>
  <c r="J68" i="3"/>
  <c r="AP68" i="3" s="1"/>
  <c r="AT68" i="3" s="1"/>
  <c r="J72" i="3"/>
  <c r="H12" i="14"/>
  <c r="AI73" i="3"/>
  <c r="J73" i="3"/>
  <c r="AT73" i="3" s="1"/>
  <c r="AG73" i="3"/>
  <c r="AI74" i="3"/>
  <c r="J74" i="3"/>
  <c r="AT74" i="3" s="1"/>
  <c r="J76" i="3"/>
  <c r="AP76" i="3" s="1"/>
  <c r="AT76" i="3" s="1"/>
  <c r="K76" i="3"/>
  <c r="AQ76" i="3" s="1"/>
  <c r="AU76" i="3" s="1"/>
  <c r="AI83" i="3"/>
  <c r="AI81" i="3"/>
  <c r="AI84" i="3"/>
  <c r="J84" i="3"/>
  <c r="AP84" i="3" s="1"/>
  <c r="AT84" i="3" s="1"/>
  <c r="AI85" i="3"/>
  <c r="J85" i="3"/>
  <c r="AP85" i="3" s="1"/>
  <c r="AT85" i="3" s="1"/>
  <c r="K85" i="3"/>
  <c r="AI87" i="3"/>
  <c r="J87" i="3"/>
  <c r="AP87" i="3" s="1"/>
  <c r="AT87" i="3" s="1"/>
  <c r="AI88" i="3"/>
  <c r="J88" i="3"/>
  <c r="AP88" i="3" s="1"/>
  <c r="AT88" i="3" s="1"/>
  <c r="AG88" i="3"/>
  <c r="AI89" i="3"/>
  <c r="J89" i="3"/>
  <c r="AT89" i="3" s="1"/>
  <c r="AI90" i="3"/>
  <c r="J90" i="3"/>
  <c r="AP90" i="3" s="1"/>
  <c r="AT90" i="3" s="1"/>
  <c r="J92" i="3"/>
  <c r="AP92" i="3" s="1"/>
  <c r="AT92" i="3" s="1"/>
  <c r="J93" i="3"/>
  <c r="AP93" i="3" s="1"/>
  <c r="AT93" i="3" s="1"/>
  <c r="AI94" i="3"/>
  <c r="J94" i="3"/>
  <c r="AP94" i="3" s="1"/>
  <c r="AT94" i="3" s="1"/>
  <c r="AG94" i="3"/>
  <c r="AG96" i="3"/>
  <c r="J103" i="3"/>
  <c r="AP103" i="3" s="1"/>
  <c r="AT103" i="3" s="1"/>
  <c r="AI100" i="3"/>
  <c r="AI101" i="3"/>
  <c r="J101" i="3"/>
  <c r="AG101" i="3"/>
  <c r="AI105" i="3"/>
  <c r="J105" i="3"/>
  <c r="AT105" i="3" s="1"/>
  <c r="AI108" i="3"/>
  <c r="K104" i="3"/>
  <c r="AU104" i="3" s="1"/>
  <c r="H33" i="14"/>
  <c r="J109" i="3"/>
  <c r="AP109" i="3" s="1"/>
  <c r="AT109" i="3" s="1"/>
  <c r="J112" i="3"/>
  <c r="AT112" i="3" s="1"/>
  <c r="K112" i="3"/>
  <c r="AQ112" i="3" s="1"/>
  <c r="AU112" i="3" s="1"/>
  <c r="J113" i="3"/>
  <c r="AP113" i="3" s="1"/>
  <c r="AT113" i="3" s="1"/>
  <c r="K113" i="3"/>
  <c r="AQ113" i="3" s="1"/>
  <c r="AU113" i="3" s="1"/>
  <c r="AI113" i="3"/>
  <c r="J114" i="3"/>
  <c r="AP114" i="3" s="1"/>
  <c r="AT114" i="3" s="1"/>
  <c r="J116" i="3"/>
  <c r="AP116" i="3" s="1"/>
  <c r="AT116" i="3" s="1"/>
  <c r="AI122" i="3"/>
  <c r="J122" i="3"/>
  <c r="AT122" i="3" s="1"/>
  <c r="K122" i="3"/>
  <c r="AQ122" i="3" s="1"/>
  <c r="AU122" i="3" s="1"/>
  <c r="AG122" i="3"/>
  <c r="AI123" i="3"/>
  <c r="AI124" i="3"/>
  <c r="J124" i="3"/>
  <c r="AP124" i="3" s="1"/>
  <c r="AT124" i="3" s="1"/>
  <c r="AI125" i="3"/>
  <c r="J125" i="3"/>
  <c r="AP125" i="3" s="1"/>
  <c r="AT125" i="3" s="1"/>
  <c r="AG125" i="3"/>
  <c r="AI126" i="3"/>
  <c r="J126" i="3"/>
  <c r="AP126" i="3" s="1"/>
  <c r="AT126" i="3" s="1"/>
  <c r="AG126" i="3"/>
  <c r="AI127" i="3"/>
  <c r="J127" i="3"/>
  <c r="AP127" i="3" s="1"/>
  <c r="AT127" i="3" s="1"/>
  <c r="AG127" i="3"/>
  <c r="AI129" i="3"/>
  <c r="J129" i="3"/>
  <c r="AP129" i="3" s="1"/>
  <c r="AT129" i="3" s="1"/>
  <c r="H6" i="2"/>
  <c r="Q6" i="2" s="1"/>
  <c r="V6" i="2"/>
  <c r="H7" i="2"/>
  <c r="Q7" i="2" s="1"/>
  <c r="V7" i="2"/>
  <c r="H8" i="2"/>
  <c r="Q8" i="2" s="1"/>
  <c r="V8" i="2"/>
  <c r="H9" i="2"/>
  <c r="Q9" i="2" s="1"/>
  <c r="V9" i="2"/>
  <c r="H10" i="2"/>
  <c r="Q10" i="2" s="1"/>
  <c r="V10" i="2"/>
  <c r="H11" i="2"/>
  <c r="Q11" i="2" s="1"/>
  <c r="V11" i="2"/>
  <c r="H12" i="2"/>
  <c r="Q12" i="2" s="1"/>
  <c r="V12" i="2"/>
  <c r="H15" i="2"/>
  <c r="Q15" i="2" s="1"/>
  <c r="V15" i="2"/>
  <c r="H16" i="2"/>
  <c r="Q16" i="2" s="1"/>
  <c r="V16" i="2"/>
  <c r="H17" i="2"/>
  <c r="Q17" i="2" s="1"/>
  <c r="V17" i="2"/>
  <c r="H18" i="2"/>
  <c r="Q18" i="2" s="1"/>
  <c r="V18" i="2"/>
  <c r="H19" i="2"/>
  <c r="Q19" i="2" s="1"/>
  <c r="V19" i="2"/>
  <c r="H20" i="2"/>
  <c r="Q20" i="2" s="1"/>
  <c r="V20" i="2"/>
  <c r="H21" i="2"/>
  <c r="Q21" i="2" s="1"/>
  <c r="V21" i="2"/>
  <c r="H22" i="2"/>
  <c r="Q22" i="2" s="1"/>
  <c r="V22" i="2"/>
  <c r="H23" i="2"/>
  <c r="Q23" i="2" s="1"/>
  <c r="V23" i="2"/>
  <c r="H24" i="2"/>
  <c r="Q24" i="2" s="1"/>
  <c r="H25" i="2"/>
  <c r="Q25" i="2" s="1"/>
  <c r="V26" i="2"/>
  <c r="H27" i="2"/>
  <c r="Q27" i="2" s="1"/>
  <c r="H28" i="2"/>
  <c r="Q28" i="2" s="1"/>
  <c r="V28" i="2"/>
  <c r="V29" i="2"/>
  <c r="H30" i="2"/>
  <c r="Q30" i="2" s="1"/>
  <c r="V30" i="2"/>
  <c r="H31" i="2"/>
  <c r="Q31" i="2" s="1"/>
  <c r="V31" i="2"/>
  <c r="H33" i="2"/>
  <c r="Q33" i="2" s="1"/>
  <c r="V33" i="2"/>
  <c r="H34" i="2"/>
  <c r="Q34" i="2" s="1"/>
  <c r="H35" i="2"/>
  <c r="Q35" i="2" s="1"/>
  <c r="V35" i="2"/>
  <c r="H37" i="2"/>
  <c r="Q37" i="2" s="1"/>
  <c r="V37" i="2"/>
  <c r="H42" i="2"/>
  <c r="Q42" i="2" s="1"/>
  <c r="V42" i="2"/>
  <c r="H43" i="2"/>
  <c r="Q43" i="2" s="1"/>
  <c r="V43" i="2"/>
  <c r="V47" i="2"/>
  <c r="V48" i="2"/>
  <c r="V49" i="2"/>
  <c r="V50" i="2"/>
  <c r="V51" i="2"/>
  <c r="V52" i="2"/>
  <c r="V53" i="2"/>
  <c r="V54" i="2"/>
  <c r="V55" i="2"/>
  <c r="V56" i="2"/>
  <c r="V58" i="2"/>
  <c r="V59" i="2"/>
  <c r="V61" i="2"/>
  <c r="H61" i="2"/>
  <c r="Q61" i="2" s="1"/>
  <c r="H63" i="2"/>
  <c r="Q63" i="2" s="1"/>
  <c r="V63" i="2"/>
  <c r="H64" i="2"/>
  <c r="Q64" i="2" s="1"/>
  <c r="V64" i="2"/>
  <c r="V67" i="2"/>
  <c r="H68" i="2"/>
  <c r="Q68" i="2" s="1"/>
  <c r="V68" i="2"/>
  <c r="H69" i="2"/>
  <c r="Q69" i="2" s="1"/>
  <c r="V69" i="2"/>
  <c r="H71" i="2"/>
  <c r="Q71" i="2" s="1"/>
  <c r="V71" i="2"/>
  <c r="H72" i="2"/>
  <c r="Q72" i="2" s="1"/>
  <c r="V72" i="2"/>
  <c r="H73" i="2"/>
  <c r="V73" i="2"/>
  <c r="V74" i="2"/>
  <c r="V75" i="2"/>
  <c r="V77" i="2"/>
  <c r="V78" i="2"/>
  <c r="H80" i="2"/>
  <c r="Q80" i="2" s="1"/>
  <c r="V80" i="2"/>
  <c r="H81" i="2"/>
  <c r="Q81" i="2" s="1"/>
  <c r="V81" i="2"/>
  <c r="H82" i="2"/>
  <c r="Q82" i="2" s="1"/>
  <c r="V82" i="2"/>
  <c r="H83" i="2"/>
  <c r="Q83" i="2" s="1"/>
  <c r="V83" i="2"/>
  <c r="H84" i="2"/>
  <c r="Q84" i="2" s="1"/>
  <c r="V84" i="2"/>
  <c r="H85" i="2"/>
  <c r="Q85" i="2" s="1"/>
  <c r="H86" i="2"/>
  <c r="Q86" i="2" s="1"/>
  <c r="V86" i="2"/>
  <c r="V96" i="2"/>
  <c r="H97" i="2"/>
  <c r="S96" i="2"/>
  <c r="H101" i="2"/>
  <c r="Q101" i="2" s="1"/>
  <c r="V101" i="2"/>
  <c r="H106" i="2"/>
  <c r="Q106" i="2" s="1"/>
  <c r="V106" i="2"/>
  <c r="H110" i="2"/>
  <c r="Q110" i="2" s="1"/>
  <c r="V110" i="2"/>
  <c r="V138" i="2"/>
  <c r="V159" i="2"/>
  <c r="V144" i="2"/>
  <c r="C11" i="1"/>
  <c r="D11" i="1"/>
  <c r="E21" i="1"/>
  <c r="E23" i="1"/>
  <c r="E25" i="1"/>
  <c r="AI93" i="3"/>
  <c r="AI82" i="3"/>
  <c r="AG59" i="3"/>
  <c r="H17" i="14"/>
  <c r="H19" i="14" s="1"/>
  <c r="AG32" i="3"/>
  <c r="J32" i="3"/>
  <c r="AP32" i="3" s="1"/>
  <c r="AT32" i="3" s="1"/>
  <c r="AG28" i="3"/>
  <c r="AG10" i="3"/>
  <c r="AI9" i="3"/>
  <c r="J10" i="3"/>
  <c r="AT10" i="3" s="1"/>
  <c r="AG9" i="3"/>
  <c r="AI76" i="3"/>
  <c r="AG55" i="3"/>
  <c r="D12" i="1"/>
  <c r="C12" i="1"/>
  <c r="I12" i="1"/>
  <c r="I11" i="1"/>
  <c r="H70" i="2"/>
  <c r="Q70" i="2" s="1"/>
  <c r="V57" i="2"/>
  <c r="V70" i="2"/>
  <c r="V14" i="2"/>
  <c r="S5" i="2"/>
  <c r="AG93" i="3"/>
  <c r="K95" i="3"/>
  <c r="AU95" i="3" s="1"/>
  <c r="AI130" i="3"/>
  <c r="AI39" i="3"/>
  <c r="AI16" i="3"/>
  <c r="AI18" i="3"/>
  <c r="AI40" i="3"/>
  <c r="AG89" i="3"/>
  <c r="AG57" i="3"/>
  <c r="AG40" i="3"/>
  <c r="AG30" i="3"/>
  <c r="V36" i="2"/>
  <c r="V5" i="2"/>
  <c r="V156" i="2"/>
  <c r="V107" i="2"/>
  <c r="V158" i="2"/>
  <c r="P11" i="1"/>
  <c r="C6" i="22" s="1"/>
  <c r="V79" i="2"/>
  <c r="AG33" i="3"/>
  <c r="V41" i="2"/>
  <c r="AG87" i="3"/>
  <c r="AG60" i="3"/>
  <c r="P12" i="1"/>
  <c r="C7" i="22" s="1"/>
  <c r="S14" i="2"/>
  <c r="H27" i="14"/>
  <c r="H10" i="14"/>
  <c r="F13" i="14"/>
  <c r="AG39" i="3"/>
  <c r="AG6" i="3"/>
  <c r="AG108" i="3"/>
  <c r="J97" i="3"/>
  <c r="AP97" i="3" s="1"/>
  <c r="AT97" i="3" s="1"/>
  <c r="AG97" i="3"/>
  <c r="J96" i="3"/>
  <c r="AP96" i="3" s="1"/>
  <c r="AT96" i="3" s="1"/>
  <c r="AG114" i="3"/>
  <c r="K114" i="3"/>
  <c r="AU114" i="3" s="1"/>
  <c r="AI35" i="3"/>
  <c r="H13" i="14"/>
  <c r="H34" i="14"/>
  <c r="H36" i="14" s="1"/>
  <c r="AI114" i="3"/>
  <c r="AI97" i="3"/>
  <c r="AI96" i="3"/>
  <c r="S23" i="1" l="1"/>
  <c r="O23" i="1"/>
  <c r="R21" i="1"/>
  <c r="S21" i="1" s="1"/>
  <c r="H21" i="1"/>
  <c r="K25" i="1"/>
  <c r="L25" i="1" s="1"/>
  <c r="O25" i="1"/>
  <c r="R25" i="1"/>
  <c r="S25" i="1" s="1"/>
  <c r="Q29" i="2"/>
  <c r="P97" i="2"/>
  <c r="Q97" i="2"/>
  <c r="Q96" i="2" s="1"/>
  <c r="AP72" i="3"/>
  <c r="AT72" i="3" s="1"/>
  <c r="AP49" i="3"/>
  <c r="AT49" i="3" s="1"/>
  <c r="AP55" i="3"/>
  <c r="AT55" i="3" s="1"/>
  <c r="AQ5" i="3"/>
  <c r="L101" i="3"/>
  <c r="AP101" i="3"/>
  <c r="AT101" i="3" s="1"/>
  <c r="L70" i="3"/>
  <c r="AC70" i="3" s="1"/>
  <c r="AQ70" i="3"/>
  <c r="T84" i="2"/>
  <c r="T82" i="2"/>
  <c r="T72" i="2"/>
  <c r="S106" i="2"/>
  <c r="T86" i="2"/>
  <c r="T85" i="2"/>
  <c r="T83" i="2"/>
  <c r="T81" i="2"/>
  <c r="T73" i="2"/>
  <c r="T71" i="2"/>
  <c r="Q79" i="2"/>
  <c r="L92" i="3"/>
  <c r="AC92" i="3" s="1"/>
  <c r="P69" i="2"/>
  <c r="T47" i="2"/>
  <c r="S144" i="2"/>
  <c r="S159" i="2" s="1"/>
  <c r="AQ111" i="3"/>
  <c r="AP123" i="3"/>
  <c r="AP61" i="3"/>
  <c r="K31" i="3"/>
  <c r="AQ31" i="3"/>
  <c r="AP48" i="3"/>
  <c r="L47" i="3"/>
  <c r="AC47" i="3" s="1"/>
  <c r="AQ8" i="3"/>
  <c r="AP5" i="3"/>
  <c r="J10" i="14"/>
  <c r="L103" i="3"/>
  <c r="AC103" i="3" s="1"/>
  <c r="AP95" i="3"/>
  <c r="AP14" i="3"/>
  <c r="AP8" i="3"/>
  <c r="L45" i="3"/>
  <c r="AC45" i="3" s="1"/>
  <c r="AQ14" i="3"/>
  <c r="AP111" i="3"/>
  <c r="T57" i="2"/>
  <c r="T53" i="2"/>
  <c r="S36" i="2"/>
  <c r="T106" i="2"/>
  <c r="T54" i="2"/>
  <c r="S35" i="2"/>
  <c r="T35" i="2" s="1"/>
  <c r="S30" i="2"/>
  <c r="T58" i="2"/>
  <c r="T55" i="2"/>
  <c r="S31" i="2"/>
  <c r="T31" i="2" s="1"/>
  <c r="T59" i="2"/>
  <c r="T56" i="2"/>
  <c r="T52" i="2"/>
  <c r="N21" i="1"/>
  <c r="L21" i="1"/>
  <c r="J21" i="1"/>
  <c r="K27" i="1"/>
  <c r="N47" i="2"/>
  <c r="H25" i="1"/>
  <c r="Q74" i="2"/>
  <c r="T16" i="2"/>
  <c r="J101" i="2"/>
  <c r="S74" i="2"/>
  <c r="T74" i="2" s="1"/>
  <c r="AG72" i="3"/>
  <c r="AI72" i="3"/>
  <c r="P22" i="2"/>
  <c r="P86" i="2"/>
  <c r="J9" i="2"/>
  <c r="L69" i="2"/>
  <c r="J67" i="2"/>
  <c r="J12" i="14"/>
  <c r="L10" i="3"/>
  <c r="AC10" i="3" s="1"/>
  <c r="L129" i="3"/>
  <c r="AC129" i="3" s="1"/>
  <c r="L125" i="3"/>
  <c r="AC125" i="3" s="1"/>
  <c r="K111" i="3"/>
  <c r="L116" i="3"/>
  <c r="AC116" i="3" s="1"/>
  <c r="L124" i="3"/>
  <c r="AC124" i="3" s="1"/>
  <c r="L105" i="3"/>
  <c r="AC105" i="3" s="1"/>
  <c r="J69" i="3"/>
  <c r="AT69" i="3" s="1"/>
  <c r="L127" i="3"/>
  <c r="AC127" i="3" s="1"/>
  <c r="L68" i="3"/>
  <c r="AC68" i="3" s="1"/>
  <c r="L126" i="3"/>
  <c r="AC126" i="3" s="1"/>
  <c r="T23" i="2"/>
  <c r="P10" i="2"/>
  <c r="F33" i="14"/>
  <c r="J33" i="14" s="1"/>
  <c r="L28" i="3"/>
  <c r="AC28" i="3" s="1"/>
  <c r="L56" i="2"/>
  <c r="T110" i="2"/>
  <c r="L109" i="3"/>
  <c r="AC109" i="3" s="1"/>
  <c r="L12" i="3"/>
  <c r="AC12" i="3" s="1"/>
  <c r="L59" i="2"/>
  <c r="L66" i="3"/>
  <c r="AC66" i="3" s="1"/>
  <c r="L97" i="3"/>
  <c r="AC97" i="3" s="1"/>
  <c r="L32" i="3"/>
  <c r="AC32" i="3" s="1"/>
  <c r="AL100" i="3"/>
  <c r="L93" i="3"/>
  <c r="AC93" i="3" s="1"/>
  <c r="AL81" i="3"/>
  <c r="L60" i="3"/>
  <c r="AC60" i="3" s="1"/>
  <c r="L43" i="3"/>
  <c r="AC43" i="3" s="1"/>
  <c r="L39" i="3"/>
  <c r="L33" i="3"/>
  <c r="AC33" i="3" s="1"/>
  <c r="L94" i="3"/>
  <c r="AC94" i="3" s="1"/>
  <c r="L84" i="3"/>
  <c r="AC84" i="3" s="1"/>
  <c r="L74" i="3"/>
  <c r="AC74" i="3" s="1"/>
  <c r="L73" i="3"/>
  <c r="AC73" i="3" s="1"/>
  <c r="L87" i="3"/>
  <c r="AC87" i="3" s="1"/>
  <c r="L72" i="3"/>
  <c r="AC72" i="3" s="1"/>
  <c r="L49" i="3"/>
  <c r="AC49" i="3" s="1"/>
  <c r="L89" i="3"/>
  <c r="AC89" i="3" s="1"/>
  <c r="L88" i="3"/>
  <c r="AC88" i="3" s="1"/>
  <c r="L50" i="3"/>
  <c r="AC50" i="3" s="1"/>
  <c r="L90" i="3"/>
  <c r="AC90" i="3" s="1"/>
  <c r="L36" i="3"/>
  <c r="L35" i="3"/>
  <c r="L40" i="3"/>
  <c r="L55" i="3"/>
  <c r="AC55" i="3" s="1"/>
  <c r="L25" i="3"/>
  <c r="AC25" i="3" s="1"/>
  <c r="L13" i="3"/>
  <c r="AC13" i="3" s="1"/>
  <c r="K8" i="3"/>
  <c r="N18" i="2"/>
  <c r="N78" i="2"/>
  <c r="T67" i="2"/>
  <c r="L70" i="2"/>
  <c r="L84" i="2"/>
  <c r="P56" i="2"/>
  <c r="N72" i="2"/>
  <c r="L67" i="2"/>
  <c r="N17" i="2"/>
  <c r="P16" i="2"/>
  <c r="I9" i="1"/>
  <c r="I13" i="1" s="1"/>
  <c r="G29" i="14"/>
  <c r="J27" i="14"/>
  <c r="E11" i="1"/>
  <c r="O11" i="1" s="1"/>
  <c r="K118" i="3"/>
  <c r="AQ118" i="3" s="1"/>
  <c r="AU118" i="3" s="1"/>
  <c r="AL103" i="3"/>
  <c r="J15" i="14"/>
  <c r="N69" i="2"/>
  <c r="L15" i="2"/>
  <c r="T22" i="2"/>
  <c r="J22" i="2"/>
  <c r="E20" i="14"/>
  <c r="N50" i="2"/>
  <c r="J16" i="2"/>
  <c r="T69" i="2"/>
  <c r="N57" i="2"/>
  <c r="J106" i="2"/>
  <c r="T20" i="2"/>
  <c r="F16" i="14"/>
  <c r="L19" i="2"/>
  <c r="V38" i="2"/>
  <c r="L43" i="2"/>
  <c r="N64" i="2"/>
  <c r="P9" i="2"/>
  <c r="J20" i="2"/>
  <c r="T6" i="2"/>
  <c r="J70" i="2"/>
  <c r="L57" i="2"/>
  <c r="P70" i="2"/>
  <c r="J86" i="2"/>
  <c r="N101" i="2"/>
  <c r="S79" i="2"/>
  <c r="P78" i="2"/>
  <c r="L77" i="2"/>
  <c r="N63" i="2"/>
  <c r="N53" i="2"/>
  <c r="E7" i="14"/>
  <c r="E8" i="14" s="1"/>
  <c r="H36" i="2"/>
  <c r="L36" i="2" s="1"/>
  <c r="P84" i="2"/>
  <c r="L68" i="2"/>
  <c r="N70" i="2"/>
  <c r="J72" i="2"/>
  <c r="N67" i="2"/>
  <c r="L55" i="2"/>
  <c r="T51" i="2"/>
  <c r="E17" i="14"/>
  <c r="E19" i="14" s="1"/>
  <c r="H96" i="2"/>
  <c r="P96" i="2" s="1"/>
  <c r="J56" i="2"/>
  <c r="N52" i="2"/>
  <c r="T28" i="2"/>
  <c r="Q26" i="2"/>
  <c r="N23" i="2"/>
  <c r="L18" i="2"/>
  <c r="L10" i="2"/>
  <c r="N16" i="2"/>
  <c r="J21" i="2"/>
  <c r="J17" i="2"/>
  <c r="L7" i="2"/>
  <c r="J5" i="3"/>
  <c r="J6" i="2"/>
  <c r="J19" i="14"/>
  <c r="J23" i="2"/>
  <c r="N22" i="2"/>
  <c r="P6" i="2"/>
  <c r="T10" i="2"/>
  <c r="E12" i="1"/>
  <c r="G12" i="1"/>
  <c r="N86" i="2"/>
  <c r="E14" i="14"/>
  <c r="T18" i="2"/>
  <c r="N56" i="2"/>
  <c r="J52" i="2"/>
  <c r="N110" i="2"/>
  <c r="P21" i="2"/>
  <c r="J8" i="2"/>
  <c r="J7" i="2"/>
  <c r="P53" i="2"/>
  <c r="N43" i="2"/>
  <c r="E29" i="14"/>
  <c r="G10" i="1"/>
  <c r="T9" i="2"/>
  <c r="L9" i="2"/>
  <c r="P58" i="2"/>
  <c r="AB101" i="3"/>
  <c r="L30" i="3"/>
  <c r="AC30" i="3" s="1"/>
  <c r="F25" i="14"/>
  <c r="J14" i="14"/>
  <c r="J25" i="1"/>
  <c r="L11" i="3"/>
  <c r="AC11" i="3" s="1"/>
  <c r="L9" i="3"/>
  <c r="AC9" i="3" s="1"/>
  <c r="L18" i="3"/>
  <c r="AC18" i="3" s="1"/>
  <c r="D16" i="1"/>
  <c r="K5" i="3"/>
  <c r="J111" i="3"/>
  <c r="J14" i="3"/>
  <c r="K14" i="3"/>
  <c r="K69" i="3"/>
  <c r="L15" i="3"/>
  <c r="AC15" i="3" s="1"/>
  <c r="L44" i="3"/>
  <c r="AC44" i="3" s="1"/>
  <c r="AG95" i="3"/>
  <c r="AG123" i="3"/>
  <c r="AG8" i="3"/>
  <c r="AI116" i="3"/>
  <c r="AG31" i="3"/>
  <c r="H16" i="14"/>
  <c r="J123" i="3"/>
  <c r="AG113" i="3"/>
  <c r="J31" i="3"/>
  <c r="I14" i="1"/>
  <c r="L122" i="3"/>
  <c r="AC122" i="3" s="1"/>
  <c r="L76" i="3"/>
  <c r="AC76" i="3" s="1"/>
  <c r="I15" i="1"/>
  <c r="G14" i="1"/>
  <c r="L114" i="3"/>
  <c r="AC114" i="3" s="1"/>
  <c r="J95" i="3"/>
  <c r="J8" i="3"/>
  <c r="P24" i="3"/>
  <c r="L113" i="3"/>
  <c r="AC113" i="3" s="1"/>
  <c r="L85" i="3"/>
  <c r="AC85" i="3" s="1"/>
  <c r="L6" i="3"/>
  <c r="AC6" i="3" s="1"/>
  <c r="L16" i="3"/>
  <c r="AC16" i="3" s="1"/>
  <c r="J61" i="3"/>
  <c r="J118" i="3"/>
  <c r="AP118" i="3" s="1"/>
  <c r="AI95" i="3"/>
  <c r="AG109" i="3"/>
  <c r="AG99" i="3"/>
  <c r="AI99" i="3"/>
  <c r="AI10" i="3"/>
  <c r="J48" i="3"/>
  <c r="AG124" i="3"/>
  <c r="L112" i="3"/>
  <c r="AC112" i="3" s="1"/>
  <c r="AG105" i="3"/>
  <c r="L96" i="3"/>
  <c r="AC96" i="3" s="1"/>
  <c r="AL101" i="3"/>
  <c r="K130" i="3"/>
  <c r="AQ130" i="3" s="1"/>
  <c r="AU130" i="3" s="1"/>
  <c r="J13" i="14"/>
  <c r="K71" i="3"/>
  <c r="AI49" i="3"/>
  <c r="AG90" i="3"/>
  <c r="J8" i="14"/>
  <c r="AG104" i="3"/>
  <c r="K61" i="3"/>
  <c r="AU61" i="3" s="1"/>
  <c r="J29" i="14"/>
  <c r="AG100" i="3"/>
  <c r="P52" i="2"/>
  <c r="T50" i="2"/>
  <c r="L86" i="2"/>
  <c r="L23" i="2"/>
  <c r="P19" i="2"/>
  <c r="T24" i="2"/>
  <c r="E10" i="14"/>
  <c r="P47" i="2"/>
  <c r="E12" i="14"/>
  <c r="H107" i="2"/>
  <c r="H158" i="2" s="1"/>
  <c r="E32" i="14"/>
  <c r="L101" i="2"/>
  <c r="N8" i="2"/>
  <c r="N9" i="2"/>
  <c r="T8" i="2"/>
  <c r="L20" i="2"/>
  <c r="T15" i="2"/>
  <c r="J19" i="2"/>
  <c r="V109" i="2"/>
  <c r="P101" i="2"/>
  <c r="P55" i="2"/>
  <c r="L52" i="2"/>
  <c r="P50" i="2"/>
  <c r="L37" i="2"/>
  <c r="D13" i="1"/>
  <c r="P9" i="1"/>
  <c r="Q12" i="1"/>
  <c r="Q11" i="1"/>
  <c r="J63" i="2"/>
  <c r="L106" i="2"/>
  <c r="N106" i="2"/>
  <c r="L51" i="2"/>
  <c r="E34" i="14"/>
  <c r="P49" i="2"/>
  <c r="P63" i="2"/>
  <c r="L78" i="2"/>
  <c r="J110" i="2"/>
  <c r="P15" i="2"/>
  <c r="N10" i="2"/>
  <c r="L8" i="2"/>
  <c r="J50" i="2"/>
  <c r="N20" i="2"/>
  <c r="L6" i="2"/>
  <c r="N6" i="2"/>
  <c r="L16" i="2"/>
  <c r="J10" i="2"/>
  <c r="T43" i="2"/>
  <c r="N37" i="2"/>
  <c r="V150" i="2"/>
  <c r="P110" i="2"/>
  <c r="P59" i="2"/>
  <c r="Q87" i="2"/>
  <c r="F22" i="14"/>
  <c r="J22" i="14" s="1"/>
  <c r="F36" i="14"/>
  <c r="J36" i="14" s="1"/>
  <c r="T88" i="2"/>
  <c r="T87" i="2" s="1"/>
  <c r="N82" i="2"/>
  <c r="N81" i="2"/>
  <c r="H79" i="2"/>
  <c r="H41" i="2"/>
  <c r="L41" i="2" s="1"/>
  <c r="N42" i="2"/>
  <c r="J30" i="2"/>
  <c r="N30" i="2"/>
  <c r="E23" i="14"/>
  <c r="L30" i="2"/>
  <c r="T25" i="2"/>
  <c r="N21" i="2"/>
  <c r="L21" i="2"/>
  <c r="P17" i="2"/>
  <c r="H14" i="2"/>
  <c r="J14" i="2" s="1"/>
  <c r="L17" i="2"/>
  <c r="J12" i="2"/>
  <c r="L12" i="2"/>
  <c r="P12" i="2"/>
  <c r="N12" i="2"/>
  <c r="T12" i="2"/>
  <c r="J83" i="2"/>
  <c r="P83" i="2"/>
  <c r="L83" i="2"/>
  <c r="N83" i="2"/>
  <c r="N73" i="2"/>
  <c r="L73" i="2"/>
  <c r="P73" i="2"/>
  <c r="E24" i="14"/>
  <c r="P61" i="2"/>
  <c r="L61" i="2"/>
  <c r="N61" i="2"/>
  <c r="P48" i="2"/>
  <c r="E21" i="14"/>
  <c r="J28" i="2"/>
  <c r="P28" i="2"/>
  <c r="L28" i="2"/>
  <c r="N28" i="2"/>
  <c r="V98" i="2"/>
  <c r="H109" i="2"/>
  <c r="P109" i="2" s="1"/>
  <c r="P71" i="2"/>
  <c r="L71" i="2"/>
  <c r="N71" i="2"/>
  <c r="L33" i="2"/>
  <c r="N33" i="2"/>
  <c r="T33" i="2"/>
  <c r="P33" i="2"/>
  <c r="N11" i="2"/>
  <c r="L11" i="2"/>
  <c r="J11" i="2"/>
  <c r="T11" i="2"/>
  <c r="N7" i="2"/>
  <c r="H5" i="2"/>
  <c r="T7" i="2"/>
  <c r="P7" i="2"/>
  <c r="N51" i="2"/>
  <c r="T63" i="2"/>
  <c r="P43" i="2"/>
  <c r="P51" i="2"/>
  <c r="E15" i="14"/>
  <c r="E13" i="14"/>
  <c r="H62" i="2"/>
  <c r="J62" i="2" s="1"/>
  <c r="N77" i="2"/>
  <c r="T19" i="2"/>
  <c r="N19" i="2"/>
  <c r="P23" i="2"/>
  <c r="L22" i="2"/>
  <c r="P8" i="2"/>
  <c r="J15" i="2"/>
  <c r="N15" i="2"/>
  <c r="P18" i="2"/>
  <c r="J18" i="2"/>
  <c r="V62" i="2"/>
  <c r="V154" i="2"/>
  <c r="C9" i="1"/>
  <c r="T21" i="2"/>
  <c r="T97" i="2"/>
  <c r="T96" i="2" s="1"/>
  <c r="P106" i="2"/>
  <c r="T101" i="2"/>
  <c r="N84" i="2"/>
  <c r="J82" i="2"/>
  <c r="J81" i="2"/>
  <c r="T80" i="2"/>
  <c r="L80" i="2"/>
  <c r="L72" i="2"/>
  <c r="P68" i="2"/>
  <c r="J64" i="2"/>
  <c r="N54" i="2"/>
  <c r="L42" i="2"/>
  <c r="T27" i="2"/>
  <c r="P82" i="2"/>
  <c r="P81" i="2"/>
  <c r="P80" i="2"/>
  <c r="T42" i="2"/>
  <c r="P35" i="2"/>
  <c r="P31" i="2"/>
  <c r="H29" i="2"/>
  <c r="P11" i="2"/>
  <c r="L110" i="2"/>
  <c r="L82" i="2"/>
  <c r="L81" i="2"/>
  <c r="N80" i="2"/>
  <c r="P72" i="2"/>
  <c r="J71" i="2"/>
  <c r="L64" i="2"/>
  <c r="T61" i="2"/>
  <c r="N55" i="2"/>
  <c r="P54" i="2"/>
  <c r="T49" i="2"/>
  <c r="P42" i="2"/>
  <c r="N35" i="2"/>
  <c r="N31" i="2"/>
  <c r="P30" i="2"/>
  <c r="T17" i="2"/>
  <c r="G11" i="1"/>
  <c r="H144" i="2"/>
  <c r="J84" i="2"/>
  <c r="J78" i="2"/>
  <c r="J77" i="2"/>
  <c r="J68" i="2"/>
  <c r="L63" i="2"/>
  <c r="J59" i="2"/>
  <c r="J58" i="2"/>
  <c r="J57" i="2"/>
  <c r="J55" i="2"/>
  <c r="J54" i="2"/>
  <c r="L53" i="2"/>
  <c r="J51" i="2"/>
  <c r="N49" i="2"/>
  <c r="J48" i="2"/>
  <c r="J43" i="2"/>
  <c r="P37" i="2"/>
  <c r="J35" i="2"/>
  <c r="T34" i="2"/>
  <c r="J33" i="2"/>
  <c r="J31" i="2"/>
  <c r="H26" i="2"/>
  <c r="P57" i="2"/>
  <c r="J53" i="2"/>
  <c r="J49" i="2"/>
  <c r="T48" i="2"/>
  <c r="N48" i="2"/>
  <c r="P20" i="2"/>
  <c r="E30" i="14"/>
  <c r="E35" i="14"/>
  <c r="P77" i="2"/>
  <c r="N68" i="2"/>
  <c r="N59" i="2"/>
  <c r="N58" i="2"/>
  <c r="Q36" i="2"/>
  <c r="J80" i="2"/>
  <c r="J73" i="2"/>
  <c r="J69" i="2"/>
  <c r="T68" i="2"/>
  <c r="T64" i="2"/>
  <c r="P64" i="2"/>
  <c r="J61" i="2"/>
  <c r="L58" i="2"/>
  <c r="L54" i="2"/>
  <c r="J42" i="2"/>
  <c r="J37" i="2"/>
  <c r="L35" i="2"/>
  <c r="L31" i="2"/>
  <c r="AI104" i="3"/>
  <c r="AI109" i="3"/>
  <c r="AG18" i="3"/>
  <c r="AG130" i="3"/>
  <c r="AG92" i="3"/>
  <c r="AI6" i="3"/>
  <c r="J108" i="3"/>
  <c r="AP108" i="3" s="1"/>
  <c r="AG35" i="3"/>
  <c r="AG129" i="3"/>
  <c r="J71" i="3"/>
  <c r="H25" i="14"/>
  <c r="P13" i="1" l="1"/>
  <c r="C4" i="22"/>
  <c r="C8" i="22" s="1"/>
  <c r="C25" i="22" s="1"/>
  <c r="AC35" i="3"/>
  <c r="AB35" i="3"/>
  <c r="AC36" i="3"/>
  <c r="AB36" i="3"/>
  <c r="AC40" i="3"/>
  <c r="AB40" i="3"/>
  <c r="AC39" i="3"/>
  <c r="AB39" i="3"/>
  <c r="S29" i="2"/>
  <c r="J79" i="2"/>
  <c r="T101" i="3"/>
  <c r="AC101" i="3"/>
  <c r="X97" i="3"/>
  <c r="AB70" i="3"/>
  <c r="P101" i="3"/>
  <c r="AU31" i="3"/>
  <c r="AP71" i="3"/>
  <c r="AT71" i="3" s="1"/>
  <c r="AQ69" i="3"/>
  <c r="AU69" i="3" s="1"/>
  <c r="AU70" i="3"/>
  <c r="AU111" i="3"/>
  <c r="AQ71" i="3"/>
  <c r="AU71" i="3" s="1"/>
  <c r="AU85" i="3"/>
  <c r="AU14" i="3"/>
  <c r="AU8" i="3"/>
  <c r="AU5" i="3"/>
  <c r="AT118" i="3"/>
  <c r="X76" i="3"/>
  <c r="AT8" i="3"/>
  <c r="AT48" i="3"/>
  <c r="AT123" i="3"/>
  <c r="X101" i="3"/>
  <c r="AT111" i="3"/>
  <c r="AT14" i="3"/>
  <c r="AT5" i="3"/>
  <c r="AP104" i="3"/>
  <c r="AT108" i="3"/>
  <c r="AT95" i="3"/>
  <c r="AT61" i="3"/>
  <c r="O12" i="1"/>
  <c r="S38" i="2"/>
  <c r="S154" i="2" s="1"/>
  <c r="R9" i="1" s="1"/>
  <c r="AL129" i="3"/>
  <c r="T129" i="3"/>
  <c r="AP31" i="3"/>
  <c r="AB129" i="3"/>
  <c r="X129" i="3"/>
  <c r="AB84" i="3"/>
  <c r="K123" i="3"/>
  <c r="AQ123" i="3"/>
  <c r="AO127" i="3"/>
  <c r="AB10" i="3"/>
  <c r="G10" i="14"/>
  <c r="I10" i="14" s="1"/>
  <c r="K10" i="14" s="1"/>
  <c r="AL10" i="3"/>
  <c r="K115" i="3"/>
  <c r="AQ115" i="3"/>
  <c r="T30" i="2"/>
  <c r="T29" i="2" s="1"/>
  <c r="N36" i="2"/>
  <c r="S41" i="2"/>
  <c r="N25" i="1"/>
  <c r="M27" i="1"/>
  <c r="J11" i="1"/>
  <c r="L11" i="1"/>
  <c r="N11" i="1"/>
  <c r="N12" i="1"/>
  <c r="L12" i="1"/>
  <c r="T66" i="3"/>
  <c r="P66" i="3"/>
  <c r="T76" i="3"/>
  <c r="T84" i="3"/>
  <c r="P84" i="3"/>
  <c r="P85" i="3"/>
  <c r="T90" i="3"/>
  <c r="X94" i="3"/>
  <c r="AB126" i="3"/>
  <c r="AL105" i="3"/>
  <c r="X125" i="3"/>
  <c r="AL97" i="3"/>
  <c r="P12" i="3"/>
  <c r="X68" i="3"/>
  <c r="T124" i="3"/>
  <c r="X74" i="3"/>
  <c r="AL66" i="3"/>
  <c r="X127" i="3"/>
  <c r="T116" i="3"/>
  <c r="X10" i="3"/>
  <c r="N74" i="2"/>
  <c r="P126" i="3"/>
  <c r="AL127" i="3"/>
  <c r="P10" i="3"/>
  <c r="P50" i="3"/>
  <c r="AB127" i="3"/>
  <c r="P116" i="3"/>
  <c r="T126" i="3"/>
  <c r="X116" i="3"/>
  <c r="X35" i="3"/>
  <c r="T125" i="3"/>
  <c r="AB12" i="3"/>
  <c r="P125" i="3"/>
  <c r="X13" i="3"/>
  <c r="X105" i="3"/>
  <c r="X109" i="3"/>
  <c r="T105" i="3"/>
  <c r="P105" i="3"/>
  <c r="AL126" i="3"/>
  <c r="AB116" i="3"/>
  <c r="N79" i="2"/>
  <c r="T37" i="2"/>
  <c r="T36" i="2" s="1"/>
  <c r="Q107" i="2"/>
  <c r="Q158" i="2" s="1"/>
  <c r="T144" i="2"/>
  <c r="T159" i="2" s="1"/>
  <c r="L29" i="2"/>
  <c r="T107" i="2"/>
  <c r="T158" i="2" s="1"/>
  <c r="S107" i="2"/>
  <c r="P13" i="3"/>
  <c r="AL13" i="3"/>
  <c r="AL88" i="3"/>
  <c r="P90" i="3"/>
  <c r="P109" i="3"/>
  <c r="AL116" i="3"/>
  <c r="AB13" i="3"/>
  <c r="AB28" i="3"/>
  <c r="AB68" i="3"/>
  <c r="AB100" i="3"/>
  <c r="X12" i="3"/>
  <c r="AB125" i="3"/>
  <c r="G12" i="14"/>
  <c r="I12" i="14" s="1"/>
  <c r="AB32" i="3"/>
  <c r="X89" i="3"/>
  <c r="T109" i="3"/>
  <c r="X49" i="3"/>
  <c r="X126" i="3"/>
  <c r="AL124" i="3"/>
  <c r="X90" i="3"/>
  <c r="X124" i="3"/>
  <c r="T12" i="3"/>
  <c r="X72" i="3"/>
  <c r="AL74" i="3"/>
  <c r="AL109" i="3"/>
  <c r="AB109" i="3"/>
  <c r="AL36" i="3"/>
  <c r="AL39" i="3"/>
  <c r="T40" i="3"/>
  <c r="AL33" i="3"/>
  <c r="AL35" i="3"/>
  <c r="P56" i="3"/>
  <c r="X32" i="3"/>
  <c r="X25" i="3"/>
  <c r="P28" i="3"/>
  <c r="T25" i="3"/>
  <c r="X40" i="3"/>
  <c r="P97" i="3"/>
  <c r="P58" i="3"/>
  <c r="T68" i="3"/>
  <c r="X93" i="3"/>
  <c r="T50" i="3"/>
  <c r="AB88" i="3"/>
  <c r="T59" i="3"/>
  <c r="X88" i="3"/>
  <c r="P57" i="3"/>
  <c r="AB97" i="3"/>
  <c r="AL32" i="3"/>
  <c r="P32" i="3"/>
  <c r="AB33" i="3"/>
  <c r="X28" i="3"/>
  <c r="P124" i="3"/>
  <c r="P92" i="3"/>
  <c r="T127" i="3"/>
  <c r="T97" i="3"/>
  <c r="X66" i="3"/>
  <c r="AL68" i="3"/>
  <c r="AB124" i="3"/>
  <c r="AB50" i="3"/>
  <c r="P68" i="3"/>
  <c r="T89" i="3"/>
  <c r="AB49" i="3"/>
  <c r="AB105" i="3"/>
  <c r="T10" i="3"/>
  <c r="P49" i="3"/>
  <c r="P129" i="3"/>
  <c r="P127" i="3"/>
  <c r="AL125" i="3"/>
  <c r="P88" i="3"/>
  <c r="AL28" i="3"/>
  <c r="AL57" i="3"/>
  <c r="AB45" i="3"/>
  <c r="AB66" i="3"/>
  <c r="T57" i="3"/>
  <c r="T88" i="3"/>
  <c r="T28" i="3"/>
  <c r="T87" i="3"/>
  <c r="AL12" i="3"/>
  <c r="AL47" i="3"/>
  <c r="AL92" i="3"/>
  <c r="X73" i="3"/>
  <c r="X84" i="3"/>
  <c r="T43" i="3"/>
  <c r="AB47" i="3"/>
  <c r="AB60" i="3"/>
  <c r="AB93" i="3"/>
  <c r="X92" i="3"/>
  <c r="AL93" i="3"/>
  <c r="X36" i="3"/>
  <c r="AL59" i="3"/>
  <c r="AL43" i="3"/>
  <c r="AL60" i="3"/>
  <c r="P60" i="3"/>
  <c r="T73" i="3"/>
  <c r="T33" i="3"/>
  <c r="X43" i="3"/>
  <c r="X47" i="3"/>
  <c r="X60" i="3"/>
  <c r="T55" i="3"/>
  <c r="AB92" i="3"/>
  <c r="AL73" i="3"/>
  <c r="AL40" i="3"/>
  <c r="X39" i="3"/>
  <c r="P33" i="3"/>
  <c r="P43" i="3"/>
  <c r="P55" i="3"/>
  <c r="AL83" i="3"/>
  <c r="AB73" i="3"/>
  <c r="X33" i="3"/>
  <c r="AB43" i="3"/>
  <c r="T47" i="3"/>
  <c r="T60" i="3"/>
  <c r="T93" i="3"/>
  <c r="AL55" i="3"/>
  <c r="P93" i="3"/>
  <c r="I15" i="14"/>
  <c r="T92" i="3"/>
  <c r="P47" i="3"/>
  <c r="AL84" i="3"/>
  <c r="G13" i="14"/>
  <c r="I13" i="14" s="1"/>
  <c r="P73" i="3"/>
  <c r="I29" i="14"/>
  <c r="K29" i="14" s="1"/>
  <c r="J16" i="14"/>
  <c r="T36" i="3"/>
  <c r="AL87" i="3"/>
  <c r="AL56" i="3"/>
  <c r="AL94" i="3"/>
  <c r="T94" i="3"/>
  <c r="T45" i="3"/>
  <c r="AB72" i="3"/>
  <c r="P87" i="3"/>
  <c r="AL58" i="3"/>
  <c r="AL49" i="3"/>
  <c r="G17" i="14"/>
  <c r="G19" i="14" s="1"/>
  <c r="I19" i="14" s="1"/>
  <c r="K19" i="14" s="1"/>
  <c r="P94" i="3"/>
  <c r="L48" i="3"/>
  <c r="X48" i="3" s="1"/>
  <c r="P25" i="3"/>
  <c r="AL25" i="3"/>
  <c r="P35" i="3"/>
  <c r="P45" i="3"/>
  <c r="P72" i="3"/>
  <c r="P89" i="3"/>
  <c r="AB74" i="3"/>
  <c r="AB94" i="3"/>
  <c r="T39" i="3"/>
  <c r="AB90" i="3"/>
  <c r="T32" i="3"/>
  <c r="X55" i="3"/>
  <c r="T35" i="3"/>
  <c r="T49" i="3"/>
  <c r="AB87" i="3"/>
  <c r="P59" i="3"/>
  <c r="AL89" i="3"/>
  <c r="AL72" i="3"/>
  <c r="T56" i="3"/>
  <c r="AL90" i="3"/>
  <c r="AL50" i="3"/>
  <c r="P39" i="3"/>
  <c r="P74" i="3"/>
  <c r="T74" i="3"/>
  <c r="AB25" i="3"/>
  <c r="X45" i="3"/>
  <c r="X50" i="3"/>
  <c r="AB55" i="3"/>
  <c r="T58" i="3"/>
  <c r="AB89" i="3"/>
  <c r="T72" i="3"/>
  <c r="X87" i="3"/>
  <c r="AL45" i="3"/>
  <c r="AL99" i="3"/>
  <c r="P36" i="3"/>
  <c r="P40" i="3"/>
  <c r="J115" i="3"/>
  <c r="AL9" i="3"/>
  <c r="T13" i="3"/>
  <c r="H11" i="1"/>
  <c r="AL15" i="3"/>
  <c r="P30" i="3"/>
  <c r="P18" i="3"/>
  <c r="AG118" i="3"/>
  <c r="T26" i="2"/>
  <c r="E22" i="14"/>
  <c r="H98" i="2"/>
  <c r="H155" i="2" s="1"/>
  <c r="J155" i="2" s="1"/>
  <c r="L74" i="2"/>
  <c r="V151" i="2"/>
  <c r="N62" i="2"/>
  <c r="P107" i="2"/>
  <c r="J74" i="2"/>
  <c r="P74" i="2"/>
  <c r="P36" i="2"/>
  <c r="J36" i="2"/>
  <c r="J25" i="14"/>
  <c r="J12" i="1"/>
  <c r="H12" i="1"/>
  <c r="D18" i="1"/>
  <c r="L62" i="2"/>
  <c r="E36" i="14"/>
  <c r="T14" i="2"/>
  <c r="AB6" i="3"/>
  <c r="T6" i="3"/>
  <c r="X6" i="3"/>
  <c r="AB76" i="3"/>
  <c r="AB11" i="3"/>
  <c r="X11" i="3"/>
  <c r="T11" i="3"/>
  <c r="AB85" i="3"/>
  <c r="T85" i="3"/>
  <c r="X85" i="3"/>
  <c r="L8" i="3"/>
  <c r="P8" i="3" s="1"/>
  <c r="T122" i="3"/>
  <c r="X122" i="3"/>
  <c r="AB122" i="3"/>
  <c r="Q9" i="1"/>
  <c r="AB112" i="3"/>
  <c r="X112" i="3"/>
  <c r="T112" i="3"/>
  <c r="X16" i="3"/>
  <c r="AB16" i="3"/>
  <c r="T16" i="3"/>
  <c r="T113" i="3"/>
  <c r="X113" i="3"/>
  <c r="AB113" i="3"/>
  <c r="L61" i="3"/>
  <c r="P61" i="3" s="1"/>
  <c r="L31" i="3"/>
  <c r="AB44" i="3"/>
  <c r="X44" i="3"/>
  <c r="T44" i="3"/>
  <c r="AL11" i="3"/>
  <c r="T18" i="3"/>
  <c r="AB18" i="3"/>
  <c r="X18" i="3"/>
  <c r="J29" i="2"/>
  <c r="AB96" i="3"/>
  <c r="T96" i="3"/>
  <c r="X96" i="3"/>
  <c r="AB114" i="3"/>
  <c r="T114" i="3"/>
  <c r="X114" i="3"/>
  <c r="AB15" i="3"/>
  <c r="X15" i="3"/>
  <c r="T15" i="3"/>
  <c r="T9" i="3"/>
  <c r="AB9" i="3"/>
  <c r="X9" i="3"/>
  <c r="X30" i="3"/>
  <c r="T30" i="3"/>
  <c r="AB30" i="3"/>
  <c r="AL30" i="3"/>
  <c r="P15" i="1"/>
  <c r="P9" i="3"/>
  <c r="P11" i="3"/>
  <c r="AL18" i="3"/>
  <c r="I16" i="1"/>
  <c r="I18" i="1" s="1"/>
  <c r="I29" i="1" s="1"/>
  <c r="I27" i="1" s="1"/>
  <c r="P44" i="3"/>
  <c r="L69" i="3"/>
  <c r="AC69" i="3"/>
  <c r="P15" i="3"/>
  <c r="AG14" i="3"/>
  <c r="P76" i="3"/>
  <c r="AL76" i="3"/>
  <c r="P122" i="3"/>
  <c r="AL122" i="3"/>
  <c r="AL24" i="3"/>
  <c r="L95" i="3"/>
  <c r="G25" i="14"/>
  <c r="AL114" i="3"/>
  <c r="P6" i="3"/>
  <c r="L118" i="3"/>
  <c r="P114" i="3"/>
  <c r="G7" i="14"/>
  <c r="G8" i="14" s="1"/>
  <c r="I8" i="14" s="1"/>
  <c r="K8" i="14" s="1"/>
  <c r="AC5" i="3"/>
  <c r="AL6" i="3"/>
  <c r="AL16" i="3"/>
  <c r="P16" i="3"/>
  <c r="L14" i="3"/>
  <c r="AL85" i="3"/>
  <c r="G27" i="14"/>
  <c r="I27" i="14" s="1"/>
  <c r="K27" i="14" s="1"/>
  <c r="G34" i="14"/>
  <c r="G36" i="14" s="1"/>
  <c r="P113" i="3"/>
  <c r="C15" i="1"/>
  <c r="L5" i="3"/>
  <c r="AI92" i="3"/>
  <c r="L130" i="3"/>
  <c r="AC130" i="3" s="1"/>
  <c r="AL112" i="3"/>
  <c r="AG112" i="3"/>
  <c r="AI112" i="3"/>
  <c r="AI48" i="3"/>
  <c r="L111" i="3"/>
  <c r="P112" i="3"/>
  <c r="P96" i="3"/>
  <c r="AG49" i="3"/>
  <c r="AG48" i="3"/>
  <c r="G15" i="1"/>
  <c r="G16" i="1" s="1"/>
  <c r="N158" i="2"/>
  <c r="J158" i="2"/>
  <c r="L107" i="2"/>
  <c r="E33" i="14"/>
  <c r="Q5" i="2"/>
  <c r="P62" i="2"/>
  <c r="E25" i="14"/>
  <c r="J107" i="2"/>
  <c r="N107" i="2"/>
  <c r="E9" i="1"/>
  <c r="O9" i="1" s="1"/>
  <c r="V155" i="2"/>
  <c r="C10" i="1"/>
  <c r="C13" i="1" s="1"/>
  <c r="L79" i="2"/>
  <c r="P79" i="2"/>
  <c r="L109" i="2"/>
  <c r="P14" i="2"/>
  <c r="N14" i="2"/>
  <c r="L14" i="2"/>
  <c r="E16" i="14"/>
  <c r="T5" i="2"/>
  <c r="J109" i="2"/>
  <c r="H156" i="2"/>
  <c r="N109" i="2"/>
  <c r="J41" i="2"/>
  <c r="P41" i="2"/>
  <c r="N41" i="2"/>
  <c r="P5" i="2"/>
  <c r="N5" i="2"/>
  <c r="J5" i="2"/>
  <c r="L5" i="2"/>
  <c r="P158" i="2"/>
  <c r="L158" i="2"/>
  <c r="T79" i="2"/>
  <c r="Q144" i="2"/>
  <c r="Q159" i="2" s="1"/>
  <c r="Q14" i="2"/>
  <c r="T41" i="2"/>
  <c r="P29" i="2"/>
  <c r="N29" i="2"/>
  <c r="G9" i="1"/>
  <c r="G13" i="1" s="1"/>
  <c r="S62" i="2"/>
  <c r="T70" i="2"/>
  <c r="T62" i="2" s="1"/>
  <c r="Q62" i="2"/>
  <c r="T109" i="2"/>
  <c r="S109" i="2"/>
  <c r="J26" i="2"/>
  <c r="L26" i="2"/>
  <c r="N26" i="2"/>
  <c r="P26" i="2"/>
  <c r="H38" i="2"/>
  <c r="Q41" i="2"/>
  <c r="N144" i="2"/>
  <c r="H159" i="2"/>
  <c r="P144" i="2"/>
  <c r="J144" i="2"/>
  <c r="L144" i="2"/>
  <c r="H150" i="2"/>
  <c r="Q109" i="2"/>
  <c r="C14" i="1"/>
  <c r="L71" i="3"/>
  <c r="AI14" i="3"/>
  <c r="L108" i="3"/>
  <c r="AC108" i="3" s="1"/>
  <c r="J104" i="3"/>
  <c r="AG5" i="3"/>
  <c r="AI5" i="3"/>
  <c r="AG61" i="3"/>
  <c r="AI61" i="3"/>
  <c r="AC118" i="3" l="1"/>
  <c r="AB118" i="3"/>
  <c r="AU123" i="3"/>
  <c r="AU115" i="3"/>
  <c r="AT31" i="3"/>
  <c r="AT104" i="3"/>
  <c r="AP115" i="3"/>
  <c r="AT115" i="3" s="1"/>
  <c r="S98" i="2"/>
  <c r="S155" i="2" s="1"/>
  <c r="R10" i="1" s="1"/>
  <c r="K131" i="3"/>
  <c r="AQ131" i="3"/>
  <c r="AC123" i="3"/>
  <c r="S158" i="2"/>
  <c r="R11" i="1"/>
  <c r="S11" i="1" s="1"/>
  <c r="N9" i="1"/>
  <c r="L9" i="1"/>
  <c r="AC8" i="3"/>
  <c r="AL8" i="3"/>
  <c r="AC95" i="3"/>
  <c r="P14" i="1"/>
  <c r="Q14" i="1" s="1"/>
  <c r="AC48" i="3"/>
  <c r="AB69" i="3"/>
  <c r="P31" i="3"/>
  <c r="AC61" i="3"/>
  <c r="I22" i="14"/>
  <c r="K22" i="14" s="1"/>
  <c r="I36" i="14"/>
  <c r="K36" i="14" s="1"/>
  <c r="GP57" i="3"/>
  <c r="P48" i="3"/>
  <c r="S9" i="1"/>
  <c r="AL48" i="3"/>
  <c r="AC31" i="3"/>
  <c r="T48" i="3"/>
  <c r="J131" i="3"/>
  <c r="AB48" i="3"/>
  <c r="L98" i="2"/>
  <c r="L155" i="2"/>
  <c r="AC115" i="3"/>
  <c r="P155" i="2"/>
  <c r="N98" i="2"/>
  <c r="N155" i="2"/>
  <c r="J98" i="2"/>
  <c r="P98" i="2"/>
  <c r="D29" i="1"/>
  <c r="D27" i="1" s="1"/>
  <c r="AL61" i="3"/>
  <c r="Q15" i="1"/>
  <c r="F9" i="1"/>
  <c r="F11" i="1"/>
  <c r="X95" i="3"/>
  <c r="AB95" i="3"/>
  <c r="T95" i="3"/>
  <c r="T71" i="3"/>
  <c r="X71" i="3"/>
  <c r="AB71" i="3"/>
  <c r="T61" i="3"/>
  <c r="AB61" i="3"/>
  <c r="X61" i="3"/>
  <c r="P111" i="3"/>
  <c r="T111" i="3"/>
  <c r="AB111" i="3"/>
  <c r="X111" i="3"/>
  <c r="X118" i="3"/>
  <c r="T118" i="3"/>
  <c r="AB130" i="3"/>
  <c r="T130" i="3"/>
  <c r="X130" i="3"/>
  <c r="T31" i="3"/>
  <c r="X31" i="3"/>
  <c r="AB31" i="3"/>
  <c r="T14" i="3"/>
  <c r="AB14" i="3"/>
  <c r="X14" i="3"/>
  <c r="AB108" i="3"/>
  <c r="T108" i="3"/>
  <c r="X108" i="3"/>
  <c r="T5" i="3"/>
  <c r="X5" i="3"/>
  <c r="AB5" i="3"/>
  <c r="I25" i="14"/>
  <c r="K25" i="14" s="1"/>
  <c r="AB8" i="3"/>
  <c r="X8" i="3"/>
  <c r="T8" i="3"/>
  <c r="AC14" i="3"/>
  <c r="AL69" i="3"/>
  <c r="AL14" i="3"/>
  <c r="AL44" i="3"/>
  <c r="AL31" i="3" s="1"/>
  <c r="AC71" i="3"/>
  <c r="P118" i="3"/>
  <c r="P95" i="3"/>
  <c r="G18" i="1"/>
  <c r="G29" i="1" s="1"/>
  <c r="G27" i="1" s="1"/>
  <c r="AL5" i="3"/>
  <c r="AG115" i="3"/>
  <c r="L115" i="3"/>
  <c r="AL118" i="3"/>
  <c r="AL115" i="3" s="1"/>
  <c r="AC111" i="3"/>
  <c r="AL113" i="3"/>
  <c r="AL111" i="3" s="1"/>
  <c r="P14" i="3"/>
  <c r="E15" i="1"/>
  <c r="AL96" i="3"/>
  <c r="AL95" i="3" s="1"/>
  <c r="P130" i="3"/>
  <c r="L123" i="3"/>
  <c r="AL130" i="3"/>
  <c r="AL123" i="3" s="1"/>
  <c r="AI111" i="3"/>
  <c r="AG111" i="3"/>
  <c r="AI71" i="3"/>
  <c r="AG71" i="3"/>
  <c r="P5" i="3"/>
  <c r="L132" i="3"/>
  <c r="F12" i="1"/>
  <c r="Q13" i="1"/>
  <c r="T38" i="2"/>
  <c r="T154" i="2" s="1"/>
  <c r="H9" i="1"/>
  <c r="Q38" i="2"/>
  <c r="Q154" i="2" s="1"/>
  <c r="L156" i="2"/>
  <c r="N156" i="2"/>
  <c r="P156" i="2"/>
  <c r="J156" i="2"/>
  <c r="J9" i="1"/>
  <c r="Q10" i="1"/>
  <c r="E10" i="1"/>
  <c r="O10" i="1" s="1"/>
  <c r="F10" i="1"/>
  <c r="L38" i="2"/>
  <c r="V160" i="2"/>
  <c r="V157" i="2"/>
  <c r="Q98" i="2"/>
  <c r="Q155" i="2" s="1"/>
  <c r="P38" i="2"/>
  <c r="T98" i="2"/>
  <c r="T155" i="2" s="1"/>
  <c r="N38" i="2"/>
  <c r="T156" i="2"/>
  <c r="T150" i="2"/>
  <c r="J150" i="2"/>
  <c r="L150" i="2"/>
  <c r="N150" i="2"/>
  <c r="P150" i="2"/>
  <c r="L159" i="2"/>
  <c r="J159" i="2"/>
  <c r="P159" i="2"/>
  <c r="N159" i="2"/>
  <c r="H154" i="2"/>
  <c r="H151" i="2"/>
  <c r="J38" i="2"/>
  <c r="S156" i="2"/>
  <c r="R12" i="1" s="1"/>
  <c r="S150" i="2"/>
  <c r="Q150" i="2"/>
  <c r="Q156" i="2"/>
  <c r="C16" i="1"/>
  <c r="F14" i="1" s="1"/>
  <c r="E14" i="1"/>
  <c r="O14" i="1" s="1"/>
  <c r="P71" i="3"/>
  <c r="G16" i="14"/>
  <c r="I16" i="14" s="1"/>
  <c r="K16" i="14" s="1"/>
  <c r="I14" i="14"/>
  <c r="P108" i="3"/>
  <c r="G33" i="14"/>
  <c r="I33" i="14" s="1"/>
  <c r="K33" i="14" s="1"/>
  <c r="AC104" i="3"/>
  <c r="L104" i="3"/>
  <c r="AL82" i="3"/>
  <c r="AL71" i="3" s="1"/>
  <c r="AG131" i="3"/>
  <c r="AU131" i="3" l="1"/>
  <c r="AT131" i="3"/>
  <c r="AP131" i="3"/>
  <c r="AP132" i="3" s="1"/>
  <c r="S151" i="2"/>
  <c r="O15" i="1"/>
  <c r="L15" i="1"/>
  <c r="N15" i="1"/>
  <c r="L14" i="1"/>
  <c r="N14" i="1"/>
  <c r="L10" i="1"/>
  <c r="N10" i="1"/>
  <c r="P16" i="1"/>
  <c r="P18" i="1" s="1"/>
  <c r="P29" i="1" s="1"/>
  <c r="P27" i="1" s="1"/>
  <c r="S10" i="1"/>
  <c r="R13" i="1"/>
  <c r="S12" i="1"/>
  <c r="AQ132" i="3"/>
  <c r="R15" i="1"/>
  <c r="H15" i="1"/>
  <c r="F13" i="1"/>
  <c r="P115" i="3"/>
  <c r="AB115" i="3"/>
  <c r="T115" i="3"/>
  <c r="X115" i="3"/>
  <c r="X104" i="3"/>
  <c r="T104" i="3"/>
  <c r="AB104" i="3"/>
  <c r="AB123" i="3"/>
  <c r="T123" i="3"/>
  <c r="X123" i="3"/>
  <c r="AI118" i="3"/>
  <c r="AC131" i="3"/>
  <c r="J15" i="1"/>
  <c r="P123" i="3"/>
  <c r="L131" i="3"/>
  <c r="AL108" i="3"/>
  <c r="AL104" i="3" s="1"/>
  <c r="AL131" i="3" s="1"/>
  <c r="J10" i="1"/>
  <c r="H10" i="1"/>
  <c r="E13" i="1"/>
  <c r="Q151" i="2"/>
  <c r="T151" i="2"/>
  <c r="T157" i="2"/>
  <c r="T160" i="2" s="1"/>
  <c r="J151" i="2"/>
  <c r="P151" i="2"/>
  <c r="N151" i="2"/>
  <c r="L151" i="2"/>
  <c r="N154" i="2"/>
  <c r="L154" i="2"/>
  <c r="H157" i="2"/>
  <c r="J154" i="2"/>
  <c r="P154" i="2"/>
  <c r="Q157" i="2"/>
  <c r="Q160" i="2" s="1"/>
  <c r="S157" i="2"/>
  <c r="S160" i="2" s="1"/>
  <c r="J14" i="1"/>
  <c r="E16" i="1"/>
  <c r="O16" i="1" s="1"/>
  <c r="H14" i="1"/>
  <c r="C18" i="1"/>
  <c r="C29" i="1" s="1"/>
  <c r="C27" i="1" s="1"/>
  <c r="F15" i="1"/>
  <c r="P104" i="3"/>
  <c r="AI115" i="3"/>
  <c r="R14" i="1" l="1"/>
  <c r="S14" i="1" s="1"/>
  <c r="O13" i="1"/>
  <c r="L16" i="1"/>
  <c r="N16" i="1"/>
  <c r="N13" i="1"/>
  <c r="L13" i="1"/>
  <c r="Q16" i="1"/>
  <c r="S13" i="1"/>
  <c r="S15" i="1"/>
  <c r="AB131" i="3"/>
  <c r="T131" i="3"/>
  <c r="X131" i="3"/>
  <c r="P131" i="3"/>
  <c r="J13" i="1"/>
  <c r="H13" i="1"/>
  <c r="P157" i="2"/>
  <c r="H160" i="2"/>
  <c r="N157" i="2"/>
  <c r="L157" i="2"/>
  <c r="J157" i="2"/>
  <c r="E18" i="1"/>
  <c r="O18" i="1" s="1"/>
  <c r="O29" i="1" s="1"/>
  <c r="O27" i="1" s="1"/>
  <c r="J16" i="1"/>
  <c r="H16" i="1"/>
  <c r="R16" i="1" l="1"/>
  <c r="R18" i="1" s="1"/>
  <c r="R29" i="1" s="1"/>
  <c r="R27" i="1" s="1"/>
  <c r="S16" i="1"/>
  <c r="L160" i="2"/>
  <c r="J160" i="2"/>
  <c r="P160" i="2"/>
  <c r="N160" i="2"/>
  <c r="E29" i="1"/>
  <c r="E27" i="1" s="1"/>
  <c r="S27" i="1" l="1"/>
  <c r="S29" i="1"/>
  <c r="S18" i="1"/>
</calcChain>
</file>

<file path=xl/comments1.xml><?xml version="1.0" encoding="utf-8"?>
<comments xmlns="http://schemas.openxmlformats.org/spreadsheetml/2006/main">
  <authors>
    <author>Ing. Miroslava Kynčlová</author>
    <author>Kynčlová</author>
    <author>Město Jilemnice</author>
  </authors>
  <commentList>
    <comment ref="E15" author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7" authorId="1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O1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132,815 org. 23
</t>
        </r>
      </text>
    </comment>
    <comment ref="E22" author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F2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pouze 1 herna, povolení platné do r. 2020</t>
        </r>
      </text>
    </comment>
    <comment ref="E25" authorId="0">
      <text>
        <r>
          <rPr>
            <sz val="8"/>
            <color indexed="81"/>
            <rFont val="Tahoma"/>
            <family val="2"/>
            <charset val="238"/>
          </rPr>
          <t xml:space="preserve">13- 
19-vydání průkazů-soc
27-povolení tomboly
314-správa
</t>
        </r>
      </text>
    </comment>
    <comment ref="E27" authorId="0">
      <text>
        <r>
          <rPr>
            <sz val="8"/>
            <color indexed="81"/>
            <rFont val="Tahoma"/>
            <family val="2"/>
            <charset val="238"/>
          </rPr>
          <t xml:space="preserve">23 1332- za znečištní žp
12 1334 org 12 za odnětí půdy
</t>
        </r>
      </text>
    </comment>
    <comment ref="O2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25,7356 popl. za odnětí ze ZPF</t>
        </r>
      </text>
    </comment>
    <comment ref="U3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snížení sazby, nové osvobození ze zákona</t>
        </r>
      </text>
    </comment>
    <comment ref="W4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DPH spočítané na příjem 400 tis.
</t>
        </r>
      </text>
    </comment>
    <comment ref="U4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Valorizace?
</t>
        </r>
      </text>
    </comment>
    <comment ref="U4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výdaje energie 298</t>
        </r>
      </text>
    </comment>
    <comment ref="K4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44,892 náhrada</t>
        </r>
      </text>
    </comment>
    <comment ref="U4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saldo služeb -57 tis.</t>
        </r>
      </text>
    </comment>
    <comment ref="I4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4,489
 náhrada</t>
        </r>
      </text>
    </comment>
    <comment ref="K4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4,489
 náhrada</t>
        </r>
      </text>
    </comment>
    <comment ref="K5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12,732 náhrady
</t>
        </r>
      </text>
    </comment>
    <comment ref="O5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37,895 náhrady za soc. pohřby</t>
        </r>
      </text>
    </comment>
    <comment ref="F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18 org. 21
48 org. 319
</t>
        </r>
      </text>
    </comment>
    <comment ref="M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27,225 org 319</t>
        </r>
      </text>
    </comment>
    <comment ref="O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55,837 org. 21
25,4592 org. 319</t>
        </r>
      </text>
    </comment>
    <comment ref="U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36 - org. 319 restaurace pod radnicí
91 - org. 21 (DC, KRNAP, Kiosek)</t>
        </r>
      </text>
    </comment>
    <comment ref="I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23,1482 náhrada</t>
        </r>
      </text>
    </comment>
    <comment ref="K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23,1482 náhrada</t>
        </r>
      </text>
    </comment>
    <comment ref="O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požární ochrana
25 místní hospodářství</t>
        </r>
      </text>
    </comment>
    <comment ref="U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již se nepronajímají stánky</t>
        </r>
      </text>
    </comment>
    <comment ref="G5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 RO č. 2/2019
50 dar
</t>
        </r>
      </text>
    </comment>
    <comment ref="M5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175 dary
24,756 náhrady
</t>
        </r>
      </text>
    </comment>
    <comment ref="O5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225 dary
24,756 náhrada</t>
        </r>
      </text>
    </comment>
    <comment ref="F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140 služby sňatky</t>
        </r>
      </text>
    </comment>
    <comment ref="I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služby sňatky
3,5 náhrada odbor dopravy
1,786 služby
6,8 prodej majetku
21.6881 náhrada
0,29 kopírování</t>
        </r>
      </text>
    </comment>
    <comment ref="K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0,8 neidentif příjmy (karty)
115 služby sňatky
3,5 náhrada odbor dopravy
0,16 prodej receptů
9,88 exekuce Tužová
1,886 služby
12,8 prodej majetku
21.6881 náhrady
0,695 kopírování</t>
        </r>
      </text>
    </comment>
    <comment ref="M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127 služby sňatky
3,5 náhrada odbor dopravy
0,16 prodej receptů
15,808 exekuce Tužová
2,186 služby
25 prodej dr. majetku
21,9381 náhrada
1,03 kopírování</t>
        </r>
      </text>
    </comment>
    <comment ref="O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127 služby sňatky
3,5 náhrada odbor dopravy
1,24 prodej receptů
25,688 exekuce Tužová
2,516 služby
26,2 prodej drobného majetku
40,0276 náhrada
1,140 kopírování</t>
        </r>
      </text>
    </comment>
    <comment ref="U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130 služby sňatky
70 ostatní</t>
        </r>
      </text>
    </comment>
    <comment ref="U59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231 MŠ
661 ZŠ I
657 SDJilm
462 ZŠ II
66 ZUŠ</t>
        </r>
      </text>
    </comment>
    <comment ref="G6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29,960 odměna program Elektrowin</t>
        </r>
      </text>
    </comment>
    <comment ref="O6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36,93984 služby
1,703 náhrada</t>
        </r>
      </text>
    </comment>
    <comment ref="U6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možno 1400+50
</t>
        </r>
      </text>
    </comment>
    <comment ref="W70" authorId="1">
      <text>
        <r>
          <rPr>
            <sz val="10"/>
            <color indexed="81"/>
            <rFont val="Tahoma"/>
            <family val="2"/>
            <charset val="238"/>
          </rPr>
          <t xml:space="preserve">48 jilemnická obch.
22 Žalý operátoři
</t>
        </r>
      </text>
    </comment>
    <comment ref="W7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48 DPH z nájemného
</t>
        </r>
      </text>
    </comment>
    <comment ref="U7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smlouva ukončena
</t>
        </r>
      </text>
    </comment>
    <comment ref="E81" authorId="1">
      <text>
        <r>
          <rPr>
            <sz val="8"/>
            <color indexed="81"/>
            <rFont val="Tahoma"/>
            <family val="2"/>
            <charset val="238"/>
          </rPr>
          <t>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G8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Město Jilemnice:
</t>
        </r>
        <r>
          <rPr>
            <sz val="9"/>
            <color indexed="81"/>
            <rFont val="Tahoma"/>
            <family val="2"/>
            <charset val="238"/>
          </rPr>
          <t xml:space="preserve">10 dar od spol. Duha na dětský den
30 dar na odpadové hospodářství
</t>
        </r>
      </text>
    </comment>
    <comment ref="K88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 dar na odpadové hospodářství
10 na dětský den</t>
        </r>
      </text>
    </comment>
    <comment ref="M88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 dar na odpadové hospodářství
10 na dětský den</t>
        </r>
      </text>
    </comment>
    <comment ref="G9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59,7618 vratka dotace MŠ potravinová pomoc</t>
        </r>
      </text>
    </comment>
    <comment ref="I9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35,219 vratka dodate Dech hor</t>
        </r>
      </text>
    </comment>
    <comment ref="K9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35,219 vratka dodate Dech hor</t>
        </r>
      </text>
    </comment>
    <comment ref="M9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35,219 vratka dodate Dech hor</t>
        </r>
      </text>
    </comment>
    <comment ref="O9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59,7618 vratka dotace potravinová pomoc MŠ
35,219 vratka dotace Dech hor</t>
        </r>
      </text>
    </comment>
    <comment ref="I9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8,193 náhrada za el. čp. 85
1,82 náhrada u čp. 256
8,2625 náhrada policie</t>
        </r>
      </text>
    </comment>
    <comment ref="K9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4,309 náhrada za budovu čp. 85
0,677 ZŠ spec.
1,82 náhrada budova čp. 256
8,2625 náhrada policie
</t>
        </r>
      </text>
    </comment>
    <comment ref="M94" authorId="2">
      <text>
        <r>
          <rPr>
            <sz val="9"/>
            <color indexed="81"/>
            <rFont val="Tahoma"/>
            <family val="2"/>
            <charset val="238"/>
          </rPr>
          <t xml:space="preserve">44,8692 náhrada org. 216
25,464 náhrada pohřebnictví
23,148 náhrady komunální služby energ zahradní domek
4,309 náhrada za čp. 85
1,820 náhrada čp. 259
8,2625 náhrada policie
4,489 náhrada knihovna
</t>
        </r>
      </text>
    </comment>
    <comment ref="O9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44,892 náhrada org. 216 Hraběnka
11,2 náhrada požární ochrana
36,8817 náhrada místní hospodářství
60,255 náhrada školní stravování
4,309 náhrada čp. 85
7,290 náhrada org. 316 - gymnázium
8,2625 náhrada policie
4,817 náhrada knihovna
2 náhrada za katalogy org. 650</t>
        </r>
      </text>
    </comment>
    <comment ref="F10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návrh až 9130 vč. DPH</t>
        </r>
      </text>
    </comment>
    <comment ref="F10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3x dražba + byty</t>
        </r>
      </text>
    </comment>
    <comment ref="F106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 bytů dle spl. kalendáře</t>
        </r>
      </text>
    </comment>
    <comment ref="O118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230 org 102 obnova zahradního domku</t>
        </r>
      </text>
    </comment>
    <comment ref="U129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500 přestupky
40 rušení TP</t>
        </r>
      </text>
    </comment>
    <comment ref="U13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90,- Kč na občana ORP Jilemnice mimo Paseky</t>
        </r>
      </text>
    </comment>
    <comment ref="G140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804 od Královehradeckého kraje</t>
        </r>
      </text>
    </comment>
  </commentList>
</comments>
</file>

<file path=xl/comments2.xml><?xml version="1.0" encoding="utf-8"?>
<comments xmlns="http://schemas.openxmlformats.org/spreadsheetml/2006/main">
  <authors>
    <author>Město Jilemnice</author>
    <author>Notebook pracovní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57,120 dotace MZČR
</t>
        </r>
      </text>
    </comment>
    <comment ref="AD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636 mzdy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dar na dětský den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470 opěrná zeď Pod Hatí
120 oprava protihlukové stěny Král</t>
        </r>
      </text>
    </comment>
    <comment ref="AD1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500 chodníky Za Lázněmi
</t>
        </r>
      </text>
    </comment>
    <comment ref="Z1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vše Spořilov projekce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400 odkup komunikace pro 5 RD</t>
        </r>
      </text>
    </comment>
    <comment ref="AD2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2886 dotace VHS</t>
        </r>
      </text>
    </comment>
    <comment ref="AE2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7514 dotace VHS
1500 VO
600 ostatní projekce
</t>
        </r>
      </text>
    </comment>
    <comment ref="F2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150 automat u pošty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stavba na rok 2020?
</t>
        </r>
      </text>
    </comment>
    <comment ref="AE25" authorId="0">
      <text>
        <r>
          <rPr>
            <b/>
            <sz val="9"/>
            <color indexed="81"/>
            <rFont val="Tahoma"/>
            <family val="2"/>
            <charset val="238"/>
          </rPr>
          <t>příslib dotace LK ve výši 120 tis. na rok 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2800 u pošty, u Zolmana
105 pozstávka u gymnázia</t>
        </r>
      </text>
    </comment>
    <comment ref="AE3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kanalizace čp. 64, Sokolská , na Račanech a na Kozinci
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823,334 dotace MŠMT "Šablony"
73,3824 dotace LK potravinová pomoc 
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300 projektová dokumentace</t>
        </r>
      </text>
    </comment>
    <comment ref="AD3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4500 jižní pavilon
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3150 střecha čp. 103,101
100 ostatní
</t>
        </r>
      </text>
    </comment>
    <comment ref="AD3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3200 1. etapa opravy střechy čp.101,103
100 ostatní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1666,486 dotace MŠMT ůŠablony"</t>
        </r>
        <r>
          <rPr>
            <sz val="9"/>
            <color indexed="81"/>
            <rFont val="Tahoma"/>
            <family val="2"/>
            <charset val="238"/>
          </rPr>
          <t xml:space="preserve">
149 příspěvek na projekt Vybudování multimediální učebny</t>
        </r>
      </text>
    </comment>
    <comment ref="E3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462 ZŚ II
647 ZŠ I
</t>
        </r>
      </text>
    </comment>
    <comment ref="AD3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661 ZŠ I
462 ZŠ II</t>
        </r>
      </text>
    </comment>
    <comment ref="AH3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661 ZŠ I
462 ZŠ II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1550 investiční příspěvek na horolezeckou stěnu- přesun z roku 2018
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1379,77 dotace MŠMT "Šablony"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1600 myčka nádobí </t>
        </r>
      </text>
    </comment>
    <comment ref="H4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10,277 dotace LK na projekt Cestou tradičních řemesel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soutěž 1820 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1218 schváleno zatím
</t>
        </r>
      </text>
    </comment>
    <comment ref="AD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Město Jilemnice:
</t>
        </r>
        <r>
          <rPr>
            <sz val="9"/>
            <color indexed="81"/>
            <rFont val="Tahoma"/>
            <family val="2"/>
            <charset val="238"/>
          </rPr>
          <t>211 provoz
40 DHIM židle
80 služby akce knihovny
1404 mzdy</t>
        </r>
      </text>
    </comment>
    <comment ref="AE4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80 programové vybavení TRITIUS </t>
        </r>
      </text>
    </comment>
    <comment ref="E5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"Podvečer - dotace Jilemnicko- svazek"
53 dotace myslivci na opravu majetku
</t>
        </r>
      </text>
    </comment>
    <comment ref="I53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-293 RO č. 10/2019</t>
        </r>
      </text>
    </comment>
    <comment ref="H5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293 RO č. 10/2019 na komíny čp. 288</t>
        </r>
      </text>
    </comment>
    <comment ref="E5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včetně 29 OOV</t>
        </r>
      </text>
    </comment>
    <comment ref="H58" authorId="0">
      <text>
        <r>
          <rPr>
            <sz val="9"/>
            <color indexed="81"/>
            <rFont val="Tahoma"/>
            <family val="2"/>
            <charset val="238"/>
          </rPr>
          <t xml:space="preserve">23,57239 + 24,99519 projekt Alternativa bez hranic
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včetně slouvy na Hraběku</t>
        </r>
      </text>
    </comment>
    <comment ref="E6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185 energie
73 služby</t>
        </r>
      </text>
    </comment>
    <comment ref="AD6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172 energie
73 služby</t>
        </r>
      </text>
    </comment>
    <comment ref="AH6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172 energie
73 služby</t>
        </r>
      </text>
    </comment>
    <comment ref="E6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na úpravu lyžařských běžeckých tras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320 reko 1.a2. NP v sokolovně</t>
        </r>
      </text>
    </comment>
    <comment ref="E6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SKI Jilemnická 50
30 SKI Hančův memoriál a MČR v běhu na 50 km
20 Klub biatlonu - ČP b biatlonu</t>
        </r>
      </text>
    </comment>
    <comment ref="AD6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OK Jilemmnice - MS O-B
45 Klub biatlonu - MS O-B
20 Klub biatlonu - ČP v biatlonu
50 SKI Jilemnická 50
30 SKI Hančův memoriál
</t>
        </r>
      </text>
    </comment>
    <comment ref="AD7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221 právnické služby
130 ocenění akcií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saldo 2950</t>
        </r>
      </text>
    </comment>
    <comment ref="AD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Město Jilemnice:
</t>
        </r>
        <r>
          <rPr>
            <sz val="9"/>
            <color indexed="81"/>
            <rFont val="Tahoma"/>
            <family val="2"/>
            <charset val="238"/>
          </rPr>
          <t>včetně výměny oken čp. 381/2 2200 tis. a čp. 41 2200 tis.
saldo 517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277 úroky
146 en. management</t>
        </r>
      </text>
    </comment>
    <comment ref="AD7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243 úroky
146 en. magagement</t>
        </r>
      </text>
    </comment>
    <comment ref="AH7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243 úroky
146 en. magagement</t>
        </r>
      </text>
    </comment>
    <comment ref="E8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saldo 400</t>
        </r>
      </text>
    </comment>
    <comment ref="AD8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saldo 450
</t>
        </r>
      </text>
    </comment>
    <comment ref="F8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250 odkup VO Za Lázněmi</t>
        </r>
      </text>
    </comment>
    <comment ref="F8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přístřešek na kontejnery</t>
        </r>
      </text>
    </comment>
    <comment ref="AE8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50 přístřešek na kontejnery</t>
        </r>
      </text>
    </comment>
    <comment ref="H8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31,416 Dotace LK Poradna zdraví</t>
        </r>
      </text>
    </comment>
    <comment ref="AD8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450 střecha čp.70
200 komín čp. 70
20 ostatní
130 čp. 70 ostatní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9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315 mzdy</t>
        </r>
      </text>
    </comment>
    <comment ref="E9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18 org. 21
48 org. 319
</t>
        </r>
      </text>
    </comment>
    <comment ref="AD9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 org. 319 (restaurace pod radnicí)
91 org. 21 (DC, KRNAP, Kiosek)</t>
        </r>
      </text>
    </comment>
    <comment ref="AH9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36 org. 319 (restaurace pod radnicí)
91 org. 21 (DC, KRNAP, Kiosek)</t>
        </r>
      </text>
    </comment>
    <comment ref="H9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 dar pro odp. hosp.
29,96 odměna z programu Elektrowin</t>
        </r>
      </text>
    </comment>
    <comment ref="AD9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2364 mzdy
</t>
        </r>
      </text>
    </comment>
    <comment ref="AD10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650 demolice
140 studie prostoru pod domkem</t>
        </r>
      </text>
    </comment>
    <comment ref="H10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a 50 dary</t>
        </r>
      </text>
    </comment>
    <comment ref="AD10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mzdy 5447</t>
        </r>
      </text>
    </comment>
    <comment ref="H10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804 od Královehradeckého kraje</t>
        </r>
      </text>
    </comment>
    <comment ref="AD113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2011 mzdy</t>
        </r>
      </text>
    </comment>
    <comment ref="H114" authorId="0">
      <text>
        <r>
          <rPr>
            <sz val="9"/>
            <color indexed="81"/>
            <rFont val="Tahoma"/>
            <family val="2"/>
            <charset val="238"/>
          </rPr>
          <t>150 dotace na akcechopnost
33,725 dotace LK
95,837 dotace od MVČR</t>
        </r>
      </text>
    </comment>
    <comment ref="I11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160 RO č. 4/2019 na soc. zařízení</t>
        </r>
      </text>
    </comment>
    <comment ref="AE114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150 nová vstupní brána do objektu</t>
        </r>
      </text>
    </comment>
    <comment ref="H11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733,2 dotace OSPOD
14,894 dotace na soc. 
Práci
40,180 dotace pro stavební úřad (sčítání lidu 2021)
70 RO RM č. 8/19 na provoz zahradního domku
</t>
        </r>
      </text>
    </comment>
    <comment ref="H12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-160 RO č. 4/2019</t>
        </r>
      </text>
    </comment>
  </commentList>
</comments>
</file>

<file path=xl/comments3.xml><?xml version="1.0" encoding="utf-8"?>
<comments xmlns="http://schemas.openxmlformats.org/spreadsheetml/2006/main">
  <authors>
    <author>Město Jilemnice</author>
    <author>Kynčlová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prodej pozemků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7763 výkup r. 2015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46000 podíl LK
7500 chodníky a VO město
5500 kruhový objezd město
4687 dotace VHS kanalizace a voda
1800 projekce
4000 dešť. kanalizace a retenční nádrž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podíl Lib. kraje</t>
        </r>
      </text>
    </comment>
    <comment ref="O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3000 VHS kanalizace
</t>
        </r>
      </text>
    </comment>
    <comment ref="P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1687 doplatek VHS  vodovod
220 projekce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7998 podíl VHS
</t>
        </r>
      </text>
    </comment>
    <comment ref="R1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bez služeb en. Magagementu
</t>
        </r>
      </text>
    </comment>
    <comment ref="S1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bez služeb en. Magagementu
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744 kanalizační přípojka</t>
        </r>
      </text>
    </comment>
    <comment ref="H26" authorId="1">
      <text>
        <r>
          <rPr>
            <sz val="10"/>
            <color indexed="81"/>
            <rFont val="Tahoma"/>
            <family val="2"/>
            <charset val="238"/>
          </rPr>
          <t xml:space="preserve">2500 dotace LK
25000 dotace státní
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část k čerpací stanici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ošetření jilmové aleje
</t>
        </r>
      </text>
    </comment>
    <comment ref="N2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1514 VHS kanalizace</t>
        </r>
      </text>
    </comment>
  </commentList>
</comments>
</file>

<file path=xl/sharedStrings.xml><?xml version="1.0" encoding="utf-8"?>
<sst xmlns="http://schemas.openxmlformats.org/spreadsheetml/2006/main" count="996" uniqueCount="621">
  <si>
    <t xml:space="preserve">                                 </t>
  </si>
  <si>
    <t xml:space="preserve">                           </t>
  </si>
  <si>
    <t>Rozpočet</t>
  </si>
  <si>
    <t>změna</t>
  </si>
  <si>
    <t>%</t>
  </si>
  <si>
    <t>Plnění</t>
  </si>
  <si>
    <t>k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</si>
  <si>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</si>
  <si>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</si>
  <si>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</si>
  <si>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</si>
  <si>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</si>
  <si>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</si>
  <si>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</si>
  <si>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</si>
  <si>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</si>
  <si>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</si>
  <si>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</si>
  <si>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</si>
  <si>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</si>
  <si>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</si>
  <si>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</si>
  <si>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</si>
  <si>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</si>
  <si>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</si>
  <si>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</si>
  <si>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</si>
  <si>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</si>
  <si>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</si>
  <si>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</si>
  <si>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</si>
  <si>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Hrací automaty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</si>
  <si>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</si>
  <si>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</si>
  <si>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</si>
  <si>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</si>
  <si>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</si>
  <si>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</si>
  <si>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</si>
  <si>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</si>
  <si>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</si>
  <si>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</si>
  <si>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</si>
  <si>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</si>
  <si>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</si>
  <si>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</si>
  <si>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</si>
  <si>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</si>
  <si>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</si>
  <si>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</si>
  <si>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</si>
  <si>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</si>
  <si>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</si>
  <si>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</si>
  <si>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</si>
  <si>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</si>
  <si>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</si>
  <si>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</si>
  <si>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</si>
  <si>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</si>
  <si>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</si>
  <si>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</si>
  <si>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</si>
  <si>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</si>
  <si>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</si>
  <si>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</si>
  <si>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</si>
  <si>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</si>
  <si>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</si>
  <si>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Faistauer</t>
  </si>
  <si>
    <t>Doprava,vodovody,kanalizace</t>
  </si>
  <si>
    <t>Kynčlová</t>
  </si>
  <si>
    <t>Kultura, církve a sdělovací  prostř.</t>
  </si>
  <si>
    <t>Vydávání zpravodaje</t>
  </si>
  <si>
    <t>Tělovýchova a zájmová činnost</t>
  </si>
  <si>
    <t>Bydlení, komunální služby a územní rozvoj</t>
  </si>
  <si>
    <t>Bytové hospodářství</t>
  </si>
  <si>
    <t>Veřejné osvětlení- provoz ,opravy</t>
  </si>
  <si>
    <t>Sběr a svoz komun. odpadů</t>
  </si>
  <si>
    <t>Péče o vzhled obcí a veřejnou zeleň</t>
  </si>
  <si>
    <t>Sociální péče</t>
  </si>
  <si>
    <t xml:space="preserve">Obecní policie </t>
  </si>
  <si>
    <t>Státní správa, územní samospráva</t>
  </si>
  <si>
    <t>Místní zastupitelské orgány</t>
  </si>
  <si>
    <t>63,64</t>
  </si>
  <si>
    <t>Finanční operace, ostatní činnosti</t>
  </si>
  <si>
    <t>Daň z příjmu práv. osob za obce</t>
  </si>
  <si>
    <t>Celkem výdaje</t>
  </si>
  <si>
    <t>kontrola</t>
  </si>
  <si>
    <t>Příjmy z úroků a fin. majetku</t>
  </si>
  <si>
    <t>rozdíl</t>
  </si>
  <si>
    <t>Výkup pozemků</t>
  </si>
  <si>
    <t>Příjem z veřejných WC</t>
  </si>
  <si>
    <t>rozpočet</t>
  </si>
  <si>
    <t>Lesní hospodářství</t>
  </si>
  <si>
    <t>Opravy pronajímaných nebyt. prostor</t>
  </si>
  <si>
    <t>Projekty do 60000,-/ nad 60000</t>
  </si>
  <si>
    <t xml:space="preserve">Činnost místní správy </t>
  </si>
  <si>
    <t>Upravený</t>
  </si>
  <si>
    <t>Upr. rozp.</t>
  </si>
  <si>
    <t>Upravený rozpočet</t>
  </si>
  <si>
    <t>Ost. poplatky</t>
  </si>
  <si>
    <t xml:space="preserve">SPOZ </t>
  </si>
  <si>
    <t>Popl. za komunální odpad</t>
  </si>
  <si>
    <t>Bezpečnost, požár. ochrana</t>
  </si>
  <si>
    <t>k sestavení rozpočtu</t>
  </si>
  <si>
    <t>Poplatek ze psů</t>
  </si>
  <si>
    <t>Popl. za užívání veřejného prostranství</t>
  </si>
  <si>
    <t>Popl. ze vstupného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</si>
  <si>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</si>
  <si>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</si>
  <si>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</si>
  <si>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</si>
  <si>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</si>
  <si>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</si>
  <si>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</si>
  <si>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</si>
  <si>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 xml:space="preserve">Knihovna </t>
  </si>
  <si>
    <t>Šnorbert</t>
  </si>
  <si>
    <t xml:space="preserve">Dopravní obslužnost </t>
  </si>
  <si>
    <t>Kompenzace za tříděný odpad</t>
  </si>
  <si>
    <t>index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</si>
  <si>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</si>
  <si>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</si>
  <si>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</si>
  <si>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</si>
  <si>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</si>
  <si>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</si>
  <si>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</si>
  <si>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Zvelebilová</t>
  </si>
  <si>
    <t>Změna</t>
  </si>
  <si>
    <t>požadavek/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</si>
  <si>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</si>
  <si>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</si>
  <si>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</si>
  <si>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</si>
  <si>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</si>
  <si>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</si>
  <si>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</si>
  <si>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3,4,6,8,9</t>
  </si>
  <si>
    <t>Pokuty živnost.úřad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</si>
  <si>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</si>
  <si>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</si>
  <si>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</si>
  <si>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</si>
  <si>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</si>
  <si>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</si>
  <si>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Příjmy - výdaje = - financování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</si>
  <si>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</si>
  <si>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</si>
  <si>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</si>
  <si>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</si>
  <si>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</si>
  <si>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</si>
  <si>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Provoz veř. WC</t>
  </si>
  <si>
    <t>daň vlastní</t>
  </si>
  <si>
    <t>operace</t>
  </si>
  <si>
    <t>Zelinka</t>
  </si>
  <si>
    <t>Augustin</t>
  </si>
  <si>
    <t>Cerman</t>
  </si>
  <si>
    <t>Platby do svazků obcí, sdružení</t>
  </si>
  <si>
    <t>příkazce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</si>
  <si>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</si>
  <si>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</si>
  <si>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</si>
  <si>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</si>
  <si>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</si>
  <si>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</si>
  <si>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</si>
  <si>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Městská knihovna</t>
  </si>
  <si>
    <t>Parkovné</t>
  </si>
  <si>
    <t>Nájemné z reklamních ploch</t>
  </si>
  <si>
    <t>Nájemné z ost. nemovitostí</t>
  </si>
  <si>
    <t>Daň z nemovitostí</t>
  </si>
  <si>
    <t>BH - služby byt. prostory</t>
  </si>
  <si>
    <t>BH - služby nebyt. prostory</t>
  </si>
  <si>
    <t>Kopírování, ost příjmy správy</t>
  </si>
  <si>
    <t>Příjmy z úroků - akce Roztocká</t>
  </si>
  <si>
    <t>Prodej pozemků</t>
  </si>
  <si>
    <t>Prodej nemovitostí - bytů,domů</t>
  </si>
  <si>
    <t>Inv. příspěvky 32b.j.</t>
  </si>
  <si>
    <t xml:space="preserve">Souhrnná neinvestiční dotace </t>
  </si>
  <si>
    <t>dle rozpisu položek v tabulce správa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</si>
  <si>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</si>
  <si>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</si>
  <si>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</si>
  <si>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</si>
  <si>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</si>
  <si>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Rozdíl</t>
  </si>
  <si>
    <t>Pěstební činnost v lesnictví</t>
  </si>
  <si>
    <t xml:space="preserve">Požární ochrana </t>
  </si>
  <si>
    <t>Pojistění majetku města</t>
  </si>
  <si>
    <t>stejná v příjmech</t>
  </si>
  <si>
    <t>13,14,19,27</t>
  </si>
  <si>
    <t>Zkoušky OZ řidičské průkazy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</si>
  <si>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</si>
  <si>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</si>
  <si>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</si>
  <si>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</si>
  <si>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Opravy budov škol</t>
  </si>
  <si>
    <t>Výdaje,daň za prodej majetku</t>
  </si>
  <si>
    <t>Mečíř</t>
  </si>
  <si>
    <t>Bedrníková</t>
  </si>
  <si>
    <t>Územní plánování</t>
  </si>
  <si>
    <t xml:space="preserve">Ost. sociální péče </t>
  </si>
  <si>
    <t>MŠ Jilemnice - příspěvek na provoz</t>
  </si>
  <si>
    <t>ZŠ Komenského- příspěvek na provoz</t>
  </si>
  <si>
    <t>ZŠ Harracha- příspěvek na provoz</t>
  </si>
  <si>
    <t>Příjmy</t>
  </si>
  <si>
    <t>Výdaje</t>
  </si>
  <si>
    <t>Plánovaná ztráta/zisk</t>
  </si>
  <si>
    <t>upravený</t>
  </si>
  <si>
    <t>plánované</t>
  </si>
  <si>
    <t>(+ uspoření</t>
  </si>
  <si>
    <t>skutečnost</t>
  </si>
  <si>
    <t>saldo</t>
  </si>
  <si>
    <t>- překročení )</t>
  </si>
  <si>
    <t>celkem příjmy</t>
  </si>
  <si>
    <t>Aareál služeb</t>
  </si>
  <si>
    <t>služby byty</t>
  </si>
  <si>
    <t>nájemné nebyty</t>
  </si>
  <si>
    <t>služby nebyty</t>
  </si>
  <si>
    <t>celkem BH</t>
  </si>
  <si>
    <t>Knihovna</t>
  </si>
  <si>
    <t>příjmy</t>
  </si>
  <si>
    <t>dar</t>
  </si>
  <si>
    <t>Zpravodaj</t>
  </si>
  <si>
    <t>příjmy za prodej</t>
  </si>
  <si>
    <t>příjmy z reklam</t>
  </si>
  <si>
    <t>Komunální odpad</t>
  </si>
  <si>
    <t>poplatek</t>
  </si>
  <si>
    <t>kompenzace za třídění</t>
  </si>
  <si>
    <t>Provoz veřejných WC</t>
  </si>
  <si>
    <t>Czech Point poplatky</t>
  </si>
  <si>
    <t>Příjmy z věcných břemen pozemků</t>
  </si>
  <si>
    <t>Chodník Čsl. Legií - zvýšení bezpečnosti</t>
  </si>
  <si>
    <t>Obnova a zachování kult. hodnot</t>
  </si>
  <si>
    <t>Opravy budov MÚ</t>
  </si>
  <si>
    <t>Právní zastoupení města</t>
  </si>
  <si>
    <t>nájemné byty vč. penále</t>
  </si>
  <si>
    <t>Péče o stromovou zeleň</t>
  </si>
  <si>
    <t>Dětské centrum příspěvek na provoz</t>
  </si>
  <si>
    <t>Platba DPH za ekonomické činnosti</t>
  </si>
  <si>
    <t>Pokuty správní odbor, přestupky</t>
  </si>
  <si>
    <t>Odvody příspěvkových organizací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</si>
  <si>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</si>
  <si>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</si>
  <si>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</si>
  <si>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</si>
  <si>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312,orj.10</t>
  </si>
  <si>
    <t>103, orj1,2,3,4,1111</t>
  </si>
  <si>
    <t>Stavebnictví, cestovní ruch, služby</t>
  </si>
  <si>
    <t>DPH</t>
  </si>
  <si>
    <t>Územní rozvoj ( Zdravá města)</t>
  </si>
  <si>
    <t>Veřejnopr. smlouvy správní odbor</t>
  </si>
  <si>
    <t>SD Jilm - příspěvek na provoz</t>
  </si>
  <si>
    <t>Příspěvek na činnost Krkonošského muzea</t>
  </si>
  <si>
    <t xml:space="preserve">poznámka k rozpočtu </t>
  </si>
  <si>
    <t>Provoz informačního centra pro mládež</t>
  </si>
  <si>
    <t xml:space="preserve">Odvody z vybraných činností </t>
  </si>
  <si>
    <t xml:space="preserve">Odhad </t>
  </si>
  <si>
    <t>Příjmy za služby pronajímaných prostor</t>
  </si>
  <si>
    <t>Služby pronajímaných prostor</t>
  </si>
  <si>
    <t>Nájemné restaurace pod radnicí</t>
  </si>
  <si>
    <t>Opravy restaurace pod radnicí</t>
  </si>
  <si>
    <t>R-odhad</t>
  </si>
  <si>
    <t>Přijaté dary a ost. příjmy</t>
  </si>
  <si>
    <t>560Kč/os/rok</t>
  </si>
  <si>
    <t>Stravovadlo - Scolarest, ZŠ</t>
  </si>
  <si>
    <t>Nájemné PO města</t>
  </si>
  <si>
    <t>Kozáková</t>
  </si>
  <si>
    <t>Nováková</t>
  </si>
  <si>
    <t>Informační systém</t>
  </si>
  <si>
    <t>šetří se</t>
  </si>
  <si>
    <t>3,14,26</t>
  </si>
  <si>
    <t>Příjmy z úroků ( vč. fondů)</t>
  </si>
  <si>
    <t>Kompostárna - provoz (příspěvek svazku)</t>
  </si>
  <si>
    <t>Zámecký park - podium, cesty</t>
  </si>
  <si>
    <t>Jandurová</t>
  </si>
  <si>
    <t xml:space="preserve">akce města u SPOZ </t>
  </si>
  <si>
    <t>Steinerová</t>
  </si>
  <si>
    <t>13011</t>
  </si>
  <si>
    <t>3349</t>
  </si>
  <si>
    <t>Kursové rozdíly</t>
  </si>
  <si>
    <t>307</t>
  </si>
  <si>
    <t>z toho 100 tis. nadále propagace</t>
  </si>
  <si>
    <t>vč. akcí města</t>
  </si>
  <si>
    <t>Vinklář</t>
  </si>
  <si>
    <t>dotace MPSV</t>
  </si>
  <si>
    <t>příjmy za služby</t>
  </si>
  <si>
    <t>Vávrová</t>
  </si>
  <si>
    <t>700,701,702</t>
  </si>
  <si>
    <t>Ulice Žižkova - rekonstrukce</t>
  </si>
  <si>
    <t>příspěvek spolku</t>
  </si>
  <si>
    <t>Dotace na výkon st. správy -  soc. práci</t>
  </si>
  <si>
    <t>Vébrová</t>
  </si>
  <si>
    <t>RM,ZM</t>
  </si>
  <si>
    <t>Vohnická</t>
  </si>
  <si>
    <t>saldo 0</t>
  </si>
  <si>
    <t>700-702</t>
  </si>
  <si>
    <t>Městská policie</t>
  </si>
  <si>
    <t>veř. smlouvy</t>
  </si>
  <si>
    <t>sankční platby</t>
  </si>
  <si>
    <t>Cyklostezka "Za prací" - projekce</t>
  </si>
  <si>
    <t>dle spl. kalendáře</t>
  </si>
  <si>
    <t>Novotná</t>
  </si>
  <si>
    <t>Fűri</t>
  </si>
  <si>
    <t>garant</t>
  </si>
  <si>
    <t>Přijaté náhrady</t>
  </si>
  <si>
    <t>org</t>
  </si>
  <si>
    <t xml:space="preserve">Dotace LK na pečovatelskou službu </t>
  </si>
  <si>
    <t>Dotace LK na soc. služby pro DC</t>
  </si>
  <si>
    <t xml:space="preserve">Pokuty ostatní </t>
  </si>
  <si>
    <t>MMN,a.s. - příplatek mimo zákl. kapitál</t>
  </si>
  <si>
    <t>Langová</t>
  </si>
  <si>
    <t>Obnova zahr. domku a vytvoření expozice</t>
  </si>
  <si>
    <t>přesun již  z roku 2015</t>
  </si>
  <si>
    <t>VHS - příspěvky (úroky k úvěru Čistá Jizera)</t>
  </si>
  <si>
    <t xml:space="preserve">Rekonstrukce čp.64 - rozvoj soc. služeb </t>
  </si>
  <si>
    <t>Šolcová</t>
  </si>
  <si>
    <t>Chodník ul. Roztocká - projekce</t>
  </si>
  <si>
    <t>ul. Na Kozinci - chodník a veř. osvětlení</t>
  </si>
  <si>
    <t>Projekt "Rozvoj MA21 v Jilemnici"</t>
  </si>
  <si>
    <t>Projekt "Podpora sociální práce v Jilenici"</t>
  </si>
  <si>
    <t>Dotace na projekt "Rozvoj MA21 v Jilemnici"</t>
  </si>
  <si>
    <t>Dotace na projekt "Podpopra sociální práce v Jilemnici"</t>
  </si>
  <si>
    <t>Popl. z ubytovacích kapacit a rekreační pobyt</t>
  </si>
  <si>
    <t>Revitalizace sídliště Spořilov - projekty</t>
  </si>
  <si>
    <t>Bulušek</t>
  </si>
  <si>
    <t>odhad</t>
  </si>
  <si>
    <t>Finanční vypořádání z minulých let</t>
  </si>
  <si>
    <t>Dotace na výkon st. správy - soc. právní ochranu dětí</t>
  </si>
  <si>
    <t>Dotace MK ČR na obnovu památek</t>
  </si>
  <si>
    <t>Odhad</t>
  </si>
  <si>
    <t>Provoz čp. 259 (staré gymnázium)</t>
  </si>
  <si>
    <t>Rekonstrukce lesní cesty</t>
  </si>
  <si>
    <t>Prodej pozemků Nouzov</t>
  </si>
  <si>
    <t>Nájemné ZŠ Libereckého kraje</t>
  </si>
  <si>
    <t>Služby ZŠ Libereckého kraje</t>
  </si>
  <si>
    <t>Nájemné budovy čp. 259</t>
  </si>
  <si>
    <t>Služby nájemníků čp. 259</t>
  </si>
  <si>
    <r>
      <t>M</t>
    </r>
    <r>
      <rPr>
        <sz val="9"/>
        <rFont val="Times New Roman"/>
        <family val="1"/>
        <charset val="238"/>
      </rPr>
      <t>ű</t>
    </r>
    <r>
      <rPr>
        <sz val="9"/>
        <rFont val="Arial CE"/>
        <family val="2"/>
        <charset val="238"/>
      </rPr>
      <t>llerová</t>
    </r>
  </si>
  <si>
    <t>Obnova starého hřbitova</t>
  </si>
  <si>
    <t>Dotace LK na obnovu zahradního domku</t>
  </si>
  <si>
    <t>z toho 300 dotace na soc. služby</t>
  </si>
  <si>
    <t>Revitalizace parku U Labutě</t>
  </si>
  <si>
    <t xml:space="preserve">Nová parkoviště </t>
  </si>
  <si>
    <t>ZUŠ - příspěvek na provoz, čp. 85</t>
  </si>
  <si>
    <t>Projekt EPC</t>
  </si>
  <si>
    <t>dle splátkového kalendáře do r. 2026</t>
  </si>
  <si>
    <t>Sportovní centrum Jilemnice, s.r.o</t>
  </si>
  <si>
    <t>ZŠ Harracha - projekt IROP</t>
  </si>
  <si>
    <t>vyrovnávací platba</t>
  </si>
  <si>
    <t>Rekonstrukce budovy čp. 85</t>
  </si>
  <si>
    <t>Nonnerová</t>
  </si>
  <si>
    <t>Lambertová</t>
  </si>
  <si>
    <t>Areál Hraběnka - provoz</t>
  </si>
  <si>
    <t>R 2019</t>
  </si>
  <si>
    <t>Rozpočet 2019</t>
  </si>
  <si>
    <t xml:space="preserve">SC,s.r.o -obnova a investice sportovních zařízení </t>
  </si>
  <si>
    <t>Dotace pro SDJilm - projekt Alternativa bez hranic</t>
  </si>
  <si>
    <t>Daň z hazardních her</t>
  </si>
  <si>
    <t>ostatní příjmy</t>
  </si>
  <si>
    <t>Splátky úvěrů, dl. závazků</t>
  </si>
  <si>
    <t>Dotace MV ČR pro požární ochranu</t>
  </si>
  <si>
    <t xml:space="preserve">Dotace MŠMTz OP vzdělávání pro MŠ  </t>
  </si>
  <si>
    <t>Dotace MŠMTz OP vzdělávání pro ZŠ II</t>
  </si>
  <si>
    <t>ul. Metyšova - obnova vodohosp. sítí, povrchu</t>
  </si>
  <si>
    <t>Příjem ze zrušené ZŠ spec. a MŠ spec.</t>
  </si>
  <si>
    <t>Dotace na Chodník Čsl. legií</t>
  </si>
  <si>
    <t>Dotace MŠMTz OP vzdělávání pro ZŠ I</t>
  </si>
  <si>
    <t>13015</t>
  </si>
  <si>
    <t>Služby Hraběnka</t>
  </si>
  <si>
    <t>Grantový program Sport</t>
  </si>
  <si>
    <t>Sociální byty (čp. 70)</t>
  </si>
  <si>
    <t>žádost výzva MAS, dotace v r. 2020</t>
  </si>
  <si>
    <t>Komunální služby - nákladní vozidlo</t>
  </si>
  <si>
    <t>Dotace na pořízení nákladního vozidla pro MATES</t>
  </si>
  <si>
    <t>Plán rozvoje sportu - dotace na akce</t>
  </si>
  <si>
    <t>Přijatá náhrada za neplnění úspor z projektu EPC</t>
  </si>
  <si>
    <t>projekt OPLZZ - ukončeno</t>
  </si>
  <si>
    <t>Rekonstrukce MŠ Zámecká</t>
  </si>
  <si>
    <t>příplatek mimo základní kapitál - částečný přesun</t>
  </si>
  <si>
    <t>Richter</t>
  </si>
  <si>
    <t>Hegrová</t>
  </si>
  <si>
    <t>Příprava území k bytové výstavbě - Nouzov</t>
  </si>
  <si>
    <t>Přijatá návratná fin. výpomoc ZŠ Komenského</t>
  </si>
  <si>
    <t>ZŠ Komenského - poskytnutí NFV na projekt IROP</t>
  </si>
  <si>
    <t>Doplatek volby do Parlamentu ČR, ZM</t>
  </si>
  <si>
    <t>Grantový program Zdravé město</t>
  </si>
  <si>
    <t>50 SKI - úprava tratí</t>
  </si>
  <si>
    <t>Individuální dotace kultura a ost.</t>
  </si>
  <si>
    <t>Individuální dotace tělových. a záj. činnost</t>
  </si>
  <si>
    <t>R 2020</t>
  </si>
  <si>
    <t>1.Q.2019</t>
  </si>
  <si>
    <t>2.Q.2019</t>
  </si>
  <si>
    <t>3.Q.2019</t>
  </si>
  <si>
    <t>4.Q.2019</t>
  </si>
  <si>
    <t>Vratka dotace od DC - vypořádání za rok 2018</t>
  </si>
  <si>
    <t>Příjmy z úroků -z poskytn. půjček, dividend</t>
  </si>
  <si>
    <t>Rozpočet 2020</t>
  </si>
  <si>
    <t>Čerpání 1.Q.2019</t>
  </si>
  <si>
    <t>Čerpání 2.Q.2019</t>
  </si>
  <si>
    <t>Čerpání 3.Q.2019</t>
  </si>
  <si>
    <t>Čerpání 4.Q.2019</t>
  </si>
  <si>
    <t>Požadavek 2020</t>
  </si>
  <si>
    <t>rozp 19</t>
  </si>
  <si>
    <t xml:space="preserve">Přijetí  úvěru </t>
  </si>
  <si>
    <t>rozp. 2020/</t>
  </si>
  <si>
    <t>rozp.2019</t>
  </si>
  <si>
    <t>rozdíl plnění 2019</t>
  </si>
  <si>
    <t>proti rozpočtu 2019</t>
  </si>
  <si>
    <t>301, orj. 11</t>
  </si>
  <si>
    <t>Vratka dotace z r. 2018</t>
  </si>
  <si>
    <t>Dotace  MPO na zavedení energ. managementu</t>
  </si>
  <si>
    <t>Dotace na volby do Evrospkého parlamentu</t>
  </si>
  <si>
    <t>Zavedení systému energetického managementu</t>
  </si>
  <si>
    <t>Volby do Evropského parlamentu</t>
  </si>
  <si>
    <t>Dotace na Chodník Čsl. legií - neinv. část</t>
  </si>
  <si>
    <t>Prodej automobilu</t>
  </si>
  <si>
    <t>Příjem z prodeje akcie Severočeské vod. a kan.</t>
  </si>
  <si>
    <t xml:space="preserve">Dotace LK pro městské lesy - doplatek </t>
  </si>
  <si>
    <t>Dotace MMR ČR pro SDJilm "Alternativa bez hranic"</t>
  </si>
  <si>
    <t>Projekt "Předcházení vzniku odpadů"</t>
  </si>
  <si>
    <t>Dotace LK na projekt "Předcházení vzniku odpadů"</t>
  </si>
  <si>
    <t>Poznámka</t>
  </si>
  <si>
    <t xml:space="preserve">Dotace LK pro ZUŠ </t>
  </si>
  <si>
    <t>Dotace KL pro požární ochranu</t>
  </si>
  <si>
    <t>Dotace na výkon státní správy - stav. úřad</t>
  </si>
  <si>
    <t>Dotace LK pro MŠ - potravinivá pomoc</t>
  </si>
  <si>
    <t>2019</t>
  </si>
  <si>
    <t>odhad-R19</t>
  </si>
  <si>
    <t>O-R19</t>
  </si>
  <si>
    <t>s odkupem 1800</t>
  </si>
  <si>
    <t>Projekt SFŽP - ukončeno</t>
  </si>
  <si>
    <t>R 20/19</t>
  </si>
  <si>
    <t>bez vybavení</t>
  </si>
  <si>
    <t>ukončeno v r. 2019</t>
  </si>
  <si>
    <t>výsadba stromu na nám (200)</t>
  </si>
  <si>
    <t>Financování soc. služeb v ORP Jilemnice</t>
  </si>
  <si>
    <t>Projekt "MAS Sociání práce v Jilemnici"</t>
  </si>
  <si>
    <t>projekt OPLZZ- vratka dotace</t>
  </si>
  <si>
    <t>Veřejnopr. smlouvy soc. služby ORP Jilemnice</t>
  </si>
  <si>
    <t>792 příplatek MZK</t>
  </si>
  <si>
    <t>ukončeno</t>
  </si>
  <si>
    <t>Veřejnopr. smlouvy pečovatelská služba ORP Jilemnice</t>
  </si>
  <si>
    <t>stejné v příjmech</t>
  </si>
  <si>
    <t>Projekt 4 byty, dotace v r. 2021</t>
  </si>
  <si>
    <t>Popl. z pobytu</t>
  </si>
  <si>
    <t>nový popl. ze zákona</t>
  </si>
  <si>
    <t>zrušen, platba za 4. Q. 2019</t>
  </si>
  <si>
    <t xml:space="preserve">Dotace na projekt Rekonstrukce čp.64 - rozvoj soc. služeb </t>
  </si>
  <si>
    <t>50 přesun z r. 2019 - přístřešek</t>
  </si>
  <si>
    <t>saldo - 248</t>
  </si>
  <si>
    <t>odhad 2019</t>
  </si>
  <si>
    <t xml:space="preserve">nový projekt </t>
  </si>
  <si>
    <t>Dotace na projekt "MAS Sociání práce v Jilemnici"</t>
  </si>
  <si>
    <t>včetně ověřování</t>
  </si>
  <si>
    <t>Dotace LK pro zdravá města</t>
  </si>
  <si>
    <t>včetně projektu poradna zdraví</t>
  </si>
  <si>
    <t>Most U Jarmary, v ul. J. Weisse</t>
  </si>
  <si>
    <t>Obnova retenční nádrže nad školou</t>
  </si>
  <si>
    <t>Spořilov - komunikace a kanalizace</t>
  </si>
  <si>
    <t>doplatek</t>
  </si>
  <si>
    <t>nový grantový program</t>
  </si>
  <si>
    <t>smlouva ukončena</t>
  </si>
  <si>
    <t>smlouva na 3 roky do r. 2023</t>
  </si>
  <si>
    <t>v r. 2019 střecha, ukončeno</t>
  </si>
  <si>
    <t>ukončení</t>
  </si>
  <si>
    <t>Grant. program ORP, saldo 485</t>
  </si>
  <si>
    <t>z toho 296 dotace na sportoviště</t>
  </si>
  <si>
    <t xml:space="preserve">saldo 450 </t>
  </si>
  <si>
    <t>40 dotace Svazku na podvečery</t>
  </si>
  <si>
    <t>dokončení akce</t>
  </si>
  <si>
    <t>ostatní z GP soc. služeb</t>
  </si>
  <si>
    <t>Dotace na projekt Rekonstrukce čp.64 - rozvoj soc. služeb - neinv. část</t>
  </si>
  <si>
    <t>na projekt z roku 2019</t>
  </si>
  <si>
    <t>Zůstatek z depozitního účtu z r. 2018</t>
  </si>
  <si>
    <t>Dotace LK na projekt "Cykostezka za prací"</t>
  </si>
  <si>
    <t>Charitní taxi</t>
  </si>
  <si>
    <t>Dotace na projekt Multimediální učebny pro ZŠ I</t>
  </si>
  <si>
    <t xml:space="preserve">Dotace MZČR na obnovu, zajištění a výchovu lesních porostů </t>
  </si>
  <si>
    <t>650, 301</t>
  </si>
  <si>
    <t>Popl. za znečišť. životního  prostř. a odnětí ZPF</t>
  </si>
  <si>
    <t>Příjmy místního hospodářství a pož. ochrany</t>
  </si>
  <si>
    <t>Přijatá pojistní náhrada za automobil</t>
  </si>
  <si>
    <t>včetně pouti a SC</t>
  </si>
  <si>
    <t>vratka projektu "Podpora soc. práce"</t>
  </si>
  <si>
    <t>Seifertová</t>
  </si>
  <si>
    <t>Projekt OPŽP - hl. část v roce 2021</t>
  </si>
  <si>
    <t xml:space="preserve">doplatek </t>
  </si>
  <si>
    <t>Nouzov komunikace - rekonstrukce</t>
  </si>
  <si>
    <t>Udržitelná mobilita - projekt</t>
  </si>
  <si>
    <t>ZŠ při dětském centru - přístavba</t>
  </si>
  <si>
    <t>projektové práce</t>
  </si>
  <si>
    <t>900 modernizace zařízení</t>
  </si>
  <si>
    <t>vč. provozu zahr. domku</t>
  </si>
  <si>
    <t>úhrada ztráty za energie za rok 2019</t>
  </si>
  <si>
    <t>Smuteční síň - studie, projekt</t>
  </si>
  <si>
    <t>Příprava území k bytové výstavbě - Buben</t>
  </si>
  <si>
    <t>Legie přesun</t>
  </si>
  <si>
    <t>projekt 2020-2021</t>
  </si>
  <si>
    <t>přesun z min. let</t>
  </si>
  <si>
    <t>3200 střecha čp. 103,101</t>
  </si>
  <si>
    <t>z toho 142 dotace na sportoviště a 1550 hor. stěna</t>
  </si>
  <si>
    <t>Rejlová</t>
  </si>
  <si>
    <t>saldo 517</t>
  </si>
  <si>
    <t>indiv. dotace</t>
  </si>
  <si>
    <t>Otáhalová</t>
  </si>
  <si>
    <t>MĚSTO JILEMNICE -  Rozpočet 2019 -  Hospodaření 2019  - Rozpočet 2020 - sumář</t>
  </si>
  <si>
    <t>MĚSTO JILEMNICE -  Rozpočet 2019 -  Hospodaření 2019  - Rozpočet 2020 - příjmy</t>
  </si>
  <si>
    <t>MĚSTO JILEMNICE -   Rozpočet 2019 - Hospodaření 2019  - Rozpočet 2020 - výdaje</t>
  </si>
  <si>
    <t>Okruhy plnění rozpočtu 2019 u vybraných organizací v Jilemnici</t>
  </si>
  <si>
    <t>Šimková</t>
  </si>
  <si>
    <t>projekt ukončen</t>
  </si>
  <si>
    <t>k 31.12.</t>
  </si>
  <si>
    <t>Realizované, podané či připravované projektové žádosti města Jilemnice</t>
  </si>
  <si>
    <t>Informace k 31.12.2019</t>
  </si>
  <si>
    <t>Název projektu</t>
  </si>
  <si>
    <t xml:space="preserve">Inv., Nein. </t>
  </si>
  <si>
    <t>Kdo žádá</t>
  </si>
  <si>
    <t xml:space="preserve">Od koho se žádá </t>
  </si>
  <si>
    <t>Stav projednání</t>
  </si>
  <si>
    <t xml:space="preserve"> Předpokládaná výše projektu</t>
  </si>
  <si>
    <t>Předpokládaná  dotace</t>
  </si>
  <si>
    <t>Předpokládaný vlastní podíl</t>
  </si>
  <si>
    <t>Podíl ostatní</t>
  </si>
  <si>
    <t>Realizace v letech</t>
  </si>
  <si>
    <t>Vlastní podíl v letech</t>
  </si>
  <si>
    <t>Systém financování</t>
  </si>
  <si>
    <t>Program</t>
  </si>
  <si>
    <t xml:space="preserve"> do r.2014</t>
  </si>
  <si>
    <t>Infrastruktura pro bytovou výstavbu (Nouzov)</t>
  </si>
  <si>
    <t>I</t>
  </si>
  <si>
    <t>město Jilemnice</t>
  </si>
  <si>
    <t>realizace</t>
  </si>
  <si>
    <t>Šn</t>
  </si>
  <si>
    <t>Infrastruktura pro bytovou výstavbu Buben</t>
  </si>
  <si>
    <t>zatím pozastaveno</t>
  </si>
  <si>
    <t>Žižkova ulice a kruhový objezd</t>
  </si>
  <si>
    <t>investor LK, Jil. podíl na VO, chodnících</t>
  </si>
  <si>
    <t>realizováno, dofinancování 2020</t>
  </si>
  <si>
    <t>2015-19</t>
  </si>
  <si>
    <t>spolupr. s VHS a LK</t>
  </si>
  <si>
    <t>Chodník ulice Roztocká</t>
  </si>
  <si>
    <t>zadání proj. dokumentace</t>
  </si>
  <si>
    <t>2017-…</t>
  </si>
  <si>
    <t>Spořilov- komunikace,kanalizace, vodovod</t>
  </si>
  <si>
    <t>I,N</t>
  </si>
  <si>
    <t>spolupráce s VHS</t>
  </si>
  <si>
    <t>realizace I. Etapy</t>
  </si>
  <si>
    <t>2019-2022</t>
  </si>
  <si>
    <t>financování s VHS</t>
  </si>
  <si>
    <t>realizace, od r. 2018 splácení</t>
  </si>
  <si>
    <t>2018-26</t>
  </si>
  <si>
    <t>od r. 2019 hrazeno z úspor</t>
  </si>
  <si>
    <t>Šo</t>
  </si>
  <si>
    <t>IROP- výzva MAS</t>
  </si>
  <si>
    <t>ukončení, v r. 2020 kan. přípojka</t>
  </si>
  <si>
    <t>2017-19</t>
  </si>
  <si>
    <t>No</t>
  </si>
  <si>
    <t>projekt IROP</t>
  </si>
  <si>
    <t>2019-20</t>
  </si>
  <si>
    <t>úvěr 18000 tis.</t>
  </si>
  <si>
    <t>MMR ČR</t>
  </si>
  <si>
    <t>Koupaliště - biotop</t>
  </si>
  <si>
    <t>SC, s.r.o</t>
  </si>
  <si>
    <t>2019-</t>
  </si>
  <si>
    <t>příplatkem MZK SC,s.r.o.</t>
  </si>
  <si>
    <t>Opravy budov škol - střecha čp.101,103</t>
  </si>
  <si>
    <t>N</t>
  </si>
  <si>
    <t>odsoutěženo, realizace</t>
  </si>
  <si>
    <t>2020-21</t>
  </si>
  <si>
    <t>Au</t>
  </si>
  <si>
    <t>finalizace proj. dokumentace</t>
  </si>
  <si>
    <t>2019-21</t>
  </si>
  <si>
    <t>projekt OPZ</t>
  </si>
  <si>
    <t>projekt schválen</t>
  </si>
  <si>
    <t>2020-22</t>
  </si>
  <si>
    <t>Ja</t>
  </si>
  <si>
    <t>Celkem</t>
  </si>
  <si>
    <t>výše projektu</t>
  </si>
  <si>
    <t>přijatá dotace</t>
  </si>
  <si>
    <t>vl. podíl</t>
  </si>
  <si>
    <t>Vodohospodářská infrastruktura</t>
  </si>
  <si>
    <t>investor VHS, Jil. podíl</t>
  </si>
  <si>
    <t>vodovod Bátovka</t>
  </si>
  <si>
    <t>dotace VHS</t>
  </si>
  <si>
    <t>projekt OPLZZ</t>
  </si>
  <si>
    <t>Projekt "Podpopra sociální práce v Jilemnici"</t>
  </si>
  <si>
    <t>ukončeno, v r. 2020 vratka dotace</t>
  </si>
  <si>
    <t>Liberecký kraj, MK ČR</t>
  </si>
  <si>
    <t>Non</t>
  </si>
  <si>
    <t>Zvýšení bezpečnosti chodců (chodník Čsl. Legií)</t>
  </si>
  <si>
    <t xml:space="preserve">Liberecký kraj, IROP výzva č. 18 </t>
  </si>
  <si>
    <t>2008-19</t>
  </si>
  <si>
    <t>Ukončené, či vyřazené  projekty po roce 2019:</t>
  </si>
  <si>
    <t>Zůstatek z roku 2018,19</t>
  </si>
  <si>
    <t>Příjmy:</t>
  </si>
  <si>
    <t>Výdaje:</t>
  </si>
  <si>
    <t>Sk:</t>
  </si>
  <si>
    <t>Vzdělávání</t>
  </si>
  <si>
    <t>Příjmy - výdaje:</t>
  </si>
  <si>
    <t>Závazné ukazatele rozpočtu na rok 2020 (tis. Kč)</t>
  </si>
  <si>
    <t>Zůstatek z roku 2019</t>
  </si>
  <si>
    <t>Financování (vyrovnání rozdílu příjmy - výdaje):</t>
  </si>
  <si>
    <t>V elektronické podobě vyvěšeno od 11. 2. 2020</t>
  </si>
  <si>
    <t>Určeno k vyvěšení a projednání v ZM dne 26. 2. 2020</t>
  </si>
  <si>
    <t>Návrh rozpočtu na rok 2020 projednán a doporučen FV dne 10. 2. 2020</t>
  </si>
  <si>
    <t>Návrh rozpočtu na rok  2020 projednán a doporučen ve vedení města 30. 1. 2020.</t>
  </si>
  <si>
    <t>Ing. Miroslava Kynčlová</t>
  </si>
  <si>
    <t>vedoucí finančního odboru</t>
  </si>
  <si>
    <t>odhad nákladů</t>
  </si>
  <si>
    <t>Třída 1 - Daňové příjmy (rámcový ukazatel)</t>
  </si>
  <si>
    <t>Třída 2 - Nedaňové příjmy (rámcový ukazatel)</t>
  </si>
  <si>
    <t>Třída 3 - Kapitálové příjmy (rámcový ukazatel)</t>
  </si>
  <si>
    <t>53-55</t>
  </si>
  <si>
    <t>Bezpečnost, požární  ochrana</t>
  </si>
  <si>
    <t>Splátky úvěrů, dlouhodobých závazků</t>
  </si>
  <si>
    <t>Zemědělství a lesní hospodářství</t>
  </si>
  <si>
    <t>V Jilemnici 11. 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</si>
</sst>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0.0"/>
    <numFmt numFmtId="166" formatCode="#,##0.0000000"/>
    <numFmt numFmtId="167" formatCode="#,##0.000000"/>
    <numFmt numFmtId="168" formatCode="#,##0.00000"/>
    <numFmt numFmtId="169" formatCode="#,##0.000"/>
    <numFmt numFmtId="170" formatCode="0.0%"/>
    <numFmt numFmtId="171" formatCode="#,##0_ ;[Red]\-#,##0\ "/>
    <numFmt numFmtId="172" formatCode="0_ ;[Red]\-0\ "/>
    <numFmt numFmtId="173" formatCode="d/m/yy;@"/>
    <numFmt numFmtId="174" formatCode="#,##0.0000"/>
  </numFmts>
  <fonts count="35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0"/>
      <color indexed="81"/>
      <name val="Tahoma"/>
      <family val="2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 CE"/>
      <charset val="238"/>
    </font>
    <font>
      <sz val="10"/>
      <name val="Arial"/>
      <family val="2"/>
      <charset val="238"/>
    </font>
    <font>
      <sz val="7"/>
      <color indexed="8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9"/>
      <name val="Arial CE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6" fillId="0" borderId="0"/>
    <xf numFmtId="9" fontId="1" fillId="0" borderId="0" applyFont="0" applyFill="0" applyBorder="0" applyAlignment="0" applyProtection="0"/>
  </cellStyleXfs>
  <cellXfs count="65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5" fillId="0" borderId="7" xfId="0" applyNumberFormat="1" applyFont="1" applyBorder="1"/>
    <xf numFmtId="165" fontId="5" fillId="0" borderId="8" xfId="0" applyNumberFormat="1" applyFont="1" applyBorder="1" applyAlignment="1">
      <alignment horizontal="center"/>
    </xf>
    <xf numFmtId="0" fontId="3" fillId="0" borderId="9" xfId="0" applyFont="1" applyBorder="1"/>
    <xf numFmtId="3" fontId="4" fillId="0" borderId="7" xfId="0" applyNumberFormat="1" applyFont="1" applyBorder="1"/>
    <xf numFmtId="165" fontId="4" fillId="0" borderId="8" xfId="0" applyNumberFormat="1" applyFont="1" applyBorder="1" applyAlignment="1">
      <alignment horizontal="center"/>
    </xf>
    <xf numFmtId="0" fontId="3" fillId="0" borderId="0" xfId="0" applyFont="1" applyBorder="1"/>
    <xf numFmtId="3" fontId="5" fillId="0" borderId="10" xfId="0" applyNumberFormat="1" applyFont="1" applyFill="1" applyBorder="1" applyAlignment="1" applyProtection="1"/>
    <xf numFmtId="3" fontId="5" fillId="0" borderId="7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165" fontId="4" fillId="0" borderId="6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0" fontId="3" fillId="0" borderId="11" xfId="0" applyFont="1" applyBorder="1"/>
    <xf numFmtId="0" fontId="5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164" fontId="4" fillId="0" borderId="12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/>
    <xf numFmtId="164" fontId="9" fillId="2" borderId="10" xfId="0" applyNumberFormat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164" fontId="10" fillId="0" borderId="10" xfId="0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/>
    <xf numFmtId="164" fontId="9" fillId="0" borderId="14" xfId="0" applyNumberFormat="1" applyFont="1" applyFill="1" applyBorder="1" applyAlignment="1" applyProtection="1">
      <alignment horizontal="right"/>
    </xf>
    <xf numFmtId="164" fontId="10" fillId="2" borderId="10" xfId="0" applyNumberFormat="1" applyFont="1" applyFill="1" applyBorder="1" applyAlignment="1" applyProtection="1">
      <alignment horizontal="right"/>
    </xf>
    <xf numFmtId="164" fontId="10" fillId="0" borderId="15" xfId="0" applyNumberFormat="1" applyFont="1" applyFill="1" applyBorder="1" applyAlignment="1" applyProtection="1">
      <alignment horizontal="right"/>
    </xf>
    <xf numFmtId="0" fontId="11" fillId="3" borderId="16" xfId="0" applyNumberFormat="1" applyFont="1" applyFill="1" applyBorder="1" applyAlignment="1" applyProtection="1"/>
    <xf numFmtId="0" fontId="12" fillId="3" borderId="11" xfId="0" applyNumberFormat="1" applyFont="1" applyFill="1" applyBorder="1" applyAlignment="1" applyProtection="1"/>
    <xf numFmtId="0" fontId="12" fillId="3" borderId="13" xfId="0" applyNumberFormat="1" applyFont="1" applyFill="1" applyBorder="1" applyAlignment="1" applyProtection="1"/>
    <xf numFmtId="164" fontId="12" fillId="3" borderId="1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/>
    <xf numFmtId="164" fontId="13" fillId="0" borderId="18" xfId="0" applyNumberFormat="1" applyFont="1" applyFill="1" applyBorder="1" applyAlignment="1" applyProtection="1">
      <alignment horizontal="right"/>
    </xf>
    <xf numFmtId="0" fontId="4" fillId="0" borderId="19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3" fontId="5" fillId="0" borderId="23" xfId="0" applyNumberFormat="1" applyFont="1" applyFill="1" applyBorder="1" applyAlignment="1" applyProtection="1"/>
    <xf numFmtId="3" fontId="5" fillId="0" borderId="13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3" fontId="5" fillId="0" borderId="0" xfId="0" applyNumberFormat="1" applyFont="1"/>
    <xf numFmtId="4" fontId="5" fillId="0" borderId="0" xfId="0" applyNumberFormat="1" applyFont="1"/>
    <xf numFmtId="0" fontId="4" fillId="0" borderId="2" xfId="0" applyNumberFormat="1" applyFont="1" applyFill="1" applyBorder="1" applyAlignment="1" applyProtection="1"/>
    <xf numFmtId="3" fontId="10" fillId="0" borderId="10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0" fontId="3" fillId="0" borderId="8" xfId="0" applyFont="1" applyBorder="1"/>
    <xf numFmtId="0" fontId="16" fillId="0" borderId="8" xfId="0" applyFont="1" applyBorder="1"/>
    <xf numFmtId="0" fontId="5" fillId="0" borderId="11" xfId="0" applyFont="1" applyBorder="1"/>
    <xf numFmtId="3" fontId="9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0" fontId="3" fillId="0" borderId="25" xfId="0" applyFont="1" applyBorder="1"/>
    <xf numFmtId="0" fontId="3" fillId="0" borderId="26" xfId="0" applyFont="1" applyBorder="1"/>
    <xf numFmtId="3" fontId="5" fillId="0" borderId="26" xfId="0" applyNumberFormat="1" applyFont="1" applyBorder="1"/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3" fontId="4" fillId="0" borderId="8" xfId="0" applyNumberFormat="1" applyFont="1" applyBorder="1"/>
    <xf numFmtId="0" fontId="5" fillId="0" borderId="6" xfId="0" applyFont="1" applyBorder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0" fontId="5" fillId="0" borderId="27" xfId="0" applyFont="1" applyBorder="1"/>
    <xf numFmtId="3" fontId="4" fillId="0" borderId="10" xfId="0" applyNumberFormat="1" applyFont="1" applyFill="1" applyBorder="1"/>
    <xf numFmtId="3" fontId="16" fillId="0" borderId="10" xfId="0" applyNumberFormat="1" applyFont="1" applyFill="1" applyBorder="1"/>
    <xf numFmtId="3" fontId="3" fillId="0" borderId="10" xfId="0" applyNumberFormat="1" applyFont="1" applyFill="1" applyBorder="1"/>
    <xf numFmtId="0" fontId="16" fillId="0" borderId="0" xfId="0" applyFont="1"/>
    <xf numFmtId="0" fontId="3" fillId="0" borderId="10" xfId="0" applyNumberFormat="1" applyFont="1" applyFill="1" applyBorder="1" applyAlignment="1" applyProtection="1"/>
    <xf numFmtId="0" fontId="16" fillId="0" borderId="10" xfId="0" applyFont="1" applyBorder="1"/>
    <xf numFmtId="0" fontId="5" fillId="0" borderId="0" xfId="0" applyFont="1" applyFill="1"/>
    <xf numFmtId="0" fontId="4" fillId="0" borderId="19" xfId="0" applyNumberFormat="1" applyFont="1" applyFill="1" applyBorder="1" applyAlignment="1" applyProtection="1"/>
    <xf numFmtId="0" fontId="5" fillId="0" borderId="28" xfId="0" applyNumberFormat="1" applyFont="1" applyFill="1" applyBorder="1" applyAlignment="1" applyProtection="1"/>
    <xf numFmtId="0" fontId="4" fillId="0" borderId="29" xfId="0" applyNumberFormat="1" applyFont="1" applyFill="1" applyBorder="1" applyAlignment="1" applyProtection="1"/>
    <xf numFmtId="0" fontId="16" fillId="0" borderId="9" xfId="0" applyFont="1" applyBorder="1"/>
    <xf numFmtId="164" fontId="16" fillId="0" borderId="0" xfId="0" applyNumberFormat="1" applyFont="1"/>
    <xf numFmtId="0" fontId="4" fillId="2" borderId="10" xfId="0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>
      <alignment horizontal="right"/>
    </xf>
    <xf numFmtId="0" fontId="16" fillId="0" borderId="10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164" fontId="3" fillId="2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right"/>
    </xf>
    <xf numFmtId="3" fontId="16" fillId="0" borderId="0" xfId="0" applyNumberFormat="1" applyFont="1"/>
    <xf numFmtId="0" fontId="5" fillId="0" borderId="10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16" fillId="0" borderId="0" xfId="0" applyFont="1" applyFill="1"/>
    <xf numFmtId="0" fontId="5" fillId="0" borderId="14" xfId="0" applyNumberFormat="1" applyFont="1" applyFill="1" applyBorder="1" applyAlignment="1" applyProtection="1"/>
    <xf numFmtId="0" fontId="16" fillId="0" borderId="14" xfId="0" applyNumberFormat="1" applyFont="1" applyFill="1" applyBorder="1" applyAlignment="1" applyProtection="1"/>
    <xf numFmtId="0" fontId="16" fillId="2" borderId="10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>
      <alignment horizontal="right"/>
    </xf>
    <xf numFmtId="0" fontId="3" fillId="0" borderId="9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" fontId="16" fillId="0" borderId="0" xfId="0" applyNumberFormat="1" applyFont="1"/>
    <xf numFmtId="0" fontId="5" fillId="0" borderId="7" xfId="0" applyNumberFormat="1" applyFont="1" applyFill="1" applyBorder="1" applyAlignment="1" applyProtection="1">
      <alignment horizontal="right"/>
    </xf>
    <xf numFmtId="3" fontId="9" fillId="3" borderId="13" xfId="0" applyNumberFormat="1" applyFont="1" applyFill="1" applyBorder="1" applyAlignment="1" applyProtection="1">
      <alignment horizontal="right"/>
    </xf>
    <xf numFmtId="0" fontId="16" fillId="0" borderId="4" xfId="0" applyFont="1" applyBorder="1"/>
    <xf numFmtId="0" fontId="16" fillId="0" borderId="0" xfId="0" applyFont="1" applyBorder="1"/>
    <xf numFmtId="0" fontId="16" fillId="0" borderId="30" xfId="0" applyFont="1" applyBorder="1"/>
    <xf numFmtId="0" fontId="16" fillId="0" borderId="11" xfId="0" applyFont="1" applyBorder="1"/>
    <xf numFmtId="0" fontId="16" fillId="0" borderId="8" xfId="0" applyFont="1" applyFill="1" applyBorder="1"/>
    <xf numFmtId="0" fontId="16" fillId="0" borderId="31" xfId="0" applyFont="1" applyBorder="1"/>
    <xf numFmtId="0" fontId="4" fillId="0" borderId="3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16" fillId="0" borderId="22" xfId="0" applyNumberFormat="1" applyFont="1" applyFill="1" applyBorder="1" applyAlignment="1" applyProtection="1"/>
    <xf numFmtId="0" fontId="5" fillId="0" borderId="33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169" fontId="4" fillId="0" borderId="5" xfId="0" applyNumberFormat="1" applyFont="1" applyFill="1" applyBorder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right"/>
    </xf>
    <xf numFmtId="169" fontId="4" fillId="0" borderId="12" xfId="0" applyNumberFormat="1" applyFont="1" applyFill="1" applyBorder="1" applyAlignment="1" applyProtection="1">
      <alignment horizontal="center"/>
    </xf>
    <xf numFmtId="169" fontId="9" fillId="2" borderId="10" xfId="0" applyNumberFormat="1" applyFont="1" applyFill="1" applyBorder="1" applyAlignment="1" applyProtection="1">
      <alignment horizontal="right"/>
    </xf>
    <xf numFmtId="169" fontId="16" fillId="0" borderId="0" xfId="0" applyNumberFormat="1" applyFont="1" applyFill="1"/>
    <xf numFmtId="3" fontId="16" fillId="0" borderId="0" xfId="0" applyNumberFormat="1" applyFont="1" applyFill="1"/>
    <xf numFmtId="3" fontId="10" fillId="0" borderId="15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right"/>
    </xf>
    <xf numFmtId="3" fontId="4" fillId="0" borderId="35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/>
    <xf numFmtId="9" fontId="16" fillId="0" borderId="0" xfId="2" applyFont="1" applyFill="1" applyBorder="1" applyAlignment="1" applyProtection="1">
      <alignment horizontal="right"/>
    </xf>
    <xf numFmtId="9" fontId="9" fillId="2" borderId="10" xfId="2" applyFont="1" applyFill="1" applyBorder="1" applyAlignment="1" applyProtection="1">
      <alignment horizontal="right"/>
    </xf>
    <xf numFmtId="9" fontId="9" fillId="0" borderId="10" xfId="2" applyFont="1" applyFill="1" applyBorder="1" applyAlignment="1" applyProtection="1">
      <alignment horizontal="right"/>
    </xf>
    <xf numFmtId="9" fontId="10" fillId="0" borderId="10" xfId="2" applyFont="1" applyFill="1" applyBorder="1" applyAlignment="1" applyProtection="1">
      <alignment horizontal="right"/>
    </xf>
    <xf numFmtId="9" fontId="9" fillId="0" borderId="14" xfId="2" applyFont="1" applyFill="1" applyBorder="1" applyAlignment="1" applyProtection="1">
      <alignment horizontal="right"/>
    </xf>
    <xf numFmtId="9" fontId="10" fillId="2" borderId="10" xfId="2" applyFont="1" applyFill="1" applyBorder="1" applyAlignment="1" applyProtection="1">
      <alignment horizontal="right"/>
    </xf>
    <xf numFmtId="9" fontId="10" fillId="0" borderId="15" xfId="2" applyFont="1" applyFill="1" applyBorder="1" applyAlignment="1" applyProtection="1">
      <alignment horizontal="right"/>
    </xf>
    <xf numFmtId="9" fontId="13" fillId="0" borderId="15" xfId="2" applyFont="1" applyFill="1" applyBorder="1" applyAlignment="1" applyProtection="1">
      <alignment horizontal="right"/>
    </xf>
    <xf numFmtId="9" fontId="13" fillId="0" borderId="18" xfId="2" applyFont="1" applyFill="1" applyBorder="1" applyAlignment="1" applyProtection="1">
      <alignment horizontal="right"/>
    </xf>
    <xf numFmtId="3" fontId="4" fillId="0" borderId="10" xfId="0" applyNumberFormat="1" applyFont="1" applyBorder="1"/>
    <xf numFmtId="3" fontId="5" fillId="0" borderId="10" xfId="0" applyNumberFormat="1" applyFont="1" applyFill="1" applyBorder="1"/>
    <xf numFmtId="0" fontId="3" fillId="0" borderId="26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3" xfId="0" applyFont="1" applyBorder="1"/>
    <xf numFmtId="9" fontId="5" fillId="0" borderId="8" xfId="2" applyFont="1" applyBorder="1"/>
    <xf numFmtId="9" fontId="4" fillId="0" borderId="8" xfId="2" applyFont="1" applyBorder="1"/>
    <xf numFmtId="0" fontId="16" fillId="0" borderId="6" xfId="0" applyFont="1" applyBorder="1"/>
    <xf numFmtId="3" fontId="4" fillId="0" borderId="18" xfId="0" applyNumberFormat="1" applyFont="1" applyFill="1" applyBorder="1" applyAlignment="1" applyProtection="1">
      <alignment horizontal="right"/>
    </xf>
    <xf numFmtId="0" fontId="3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37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3" fontId="5" fillId="0" borderId="5" xfId="0" applyNumberFormat="1" applyFont="1" applyFill="1" applyBorder="1"/>
    <xf numFmtId="49" fontId="4" fillId="4" borderId="5" xfId="0" applyNumberFormat="1" applyFont="1" applyFill="1" applyBorder="1" applyAlignment="1" applyProtection="1">
      <alignment horizontal="center"/>
    </xf>
    <xf numFmtId="164" fontId="16" fillId="4" borderId="0" xfId="0" applyNumberFormat="1" applyFont="1" applyFill="1"/>
    <xf numFmtId="3" fontId="4" fillId="0" borderId="15" xfId="0" applyNumberFormat="1" applyFont="1" applyFill="1" applyBorder="1" applyAlignment="1" applyProtection="1">
      <alignment horizontal="right"/>
    </xf>
    <xf numFmtId="3" fontId="4" fillId="0" borderId="33" xfId="0" applyNumberFormat="1" applyFont="1" applyFill="1" applyBorder="1" applyAlignment="1" applyProtection="1"/>
    <xf numFmtId="0" fontId="4" fillId="3" borderId="20" xfId="0" applyNumberFormat="1" applyFont="1" applyFill="1" applyBorder="1" applyAlignment="1" applyProtection="1">
      <alignment horizontal="center"/>
    </xf>
    <xf numFmtId="0" fontId="4" fillId="3" borderId="21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/>
    <xf numFmtId="3" fontId="4" fillId="3" borderId="3" xfId="0" applyNumberFormat="1" applyFont="1" applyFill="1" applyBorder="1" applyAlignment="1" applyProtection="1"/>
    <xf numFmtId="0" fontId="5" fillId="3" borderId="9" xfId="0" applyNumberFormat="1" applyFont="1" applyFill="1" applyBorder="1" applyAlignment="1" applyProtection="1"/>
    <xf numFmtId="0" fontId="5" fillId="3" borderId="8" xfId="0" applyNumberFormat="1" applyFont="1" applyFill="1" applyBorder="1" applyAlignment="1" applyProtection="1"/>
    <xf numFmtId="3" fontId="5" fillId="3" borderId="9" xfId="0" applyNumberFormat="1" applyFont="1" applyFill="1" applyBorder="1" applyAlignment="1" applyProtection="1"/>
    <xf numFmtId="3" fontId="5" fillId="3" borderId="8" xfId="0" applyNumberFormat="1" applyFont="1" applyFill="1" applyBorder="1" applyAlignment="1" applyProtection="1"/>
    <xf numFmtId="3" fontId="4" fillId="3" borderId="20" xfId="0" applyNumberFormat="1" applyFont="1" applyFill="1" applyBorder="1" applyAlignment="1" applyProtection="1"/>
    <xf numFmtId="3" fontId="4" fillId="3" borderId="21" xfId="0" applyNumberFormat="1" applyFont="1" applyFill="1" applyBorder="1" applyAlignment="1" applyProtection="1"/>
    <xf numFmtId="1" fontId="5" fillId="3" borderId="9" xfId="0" applyNumberFormat="1" applyFont="1" applyFill="1" applyBorder="1" applyAlignment="1" applyProtection="1"/>
    <xf numFmtId="3" fontId="4" fillId="3" borderId="12" xfId="0" applyNumberFormat="1" applyFont="1" applyFill="1" applyBorder="1" applyAlignment="1" applyProtection="1"/>
    <xf numFmtId="0" fontId="5" fillId="3" borderId="23" xfId="0" applyNumberFormat="1" applyFont="1" applyFill="1" applyBorder="1" applyAlignment="1" applyProtection="1"/>
    <xf numFmtId="3" fontId="4" fillId="3" borderId="9" xfId="0" applyNumberFormat="1" applyFont="1" applyFill="1" applyBorder="1" applyAlignment="1" applyProtection="1"/>
    <xf numFmtId="3" fontId="4" fillId="3" borderId="8" xfId="0" applyNumberFormat="1" applyFont="1" applyFill="1" applyBorder="1" applyAlignment="1" applyProtection="1"/>
    <xf numFmtId="0" fontId="5" fillId="3" borderId="2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16" fillId="3" borderId="0" xfId="0" applyFont="1" applyFill="1"/>
    <xf numFmtId="3" fontId="6" fillId="0" borderId="9" xfId="0" applyNumberFormat="1" applyFont="1" applyFill="1" applyBorder="1" applyAlignment="1" applyProtection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18" fillId="0" borderId="10" xfId="0" applyNumberFormat="1" applyFont="1" applyFill="1" applyBorder="1" applyAlignment="1" applyProtection="1">
      <alignment horizontal="right"/>
    </xf>
    <xf numFmtId="0" fontId="5" fillId="0" borderId="39" xfId="0" applyNumberFormat="1" applyFont="1" applyFill="1" applyBorder="1" applyAlignment="1" applyProtection="1"/>
    <xf numFmtId="9" fontId="9" fillId="3" borderId="13" xfId="2" applyFont="1" applyFill="1" applyBorder="1" applyAlignment="1" applyProtection="1">
      <alignment horizontal="right"/>
    </xf>
    <xf numFmtId="9" fontId="19" fillId="0" borderId="10" xfId="2" applyFont="1" applyFill="1" applyBorder="1" applyAlignment="1" applyProtection="1">
      <alignment horizontal="right"/>
    </xf>
    <xf numFmtId="164" fontId="9" fillId="0" borderId="15" xfId="0" applyNumberFormat="1" applyFont="1" applyFill="1" applyBorder="1" applyAlignment="1" applyProtection="1">
      <alignment horizontal="right"/>
    </xf>
    <xf numFmtId="164" fontId="16" fillId="4" borderId="0" xfId="0" applyNumberFormat="1" applyFont="1" applyFill="1" applyBorder="1"/>
    <xf numFmtId="0" fontId="3" fillId="0" borderId="38" xfId="0" applyFont="1" applyBorder="1"/>
    <xf numFmtId="0" fontId="3" fillId="0" borderId="40" xfId="0" applyFont="1" applyBorder="1"/>
    <xf numFmtId="0" fontId="16" fillId="0" borderId="41" xfId="0" applyFont="1" applyBorder="1"/>
    <xf numFmtId="0" fontId="3" fillId="0" borderId="41" xfId="0" applyFont="1" applyBorder="1"/>
    <xf numFmtId="0" fontId="3" fillId="0" borderId="41" xfId="0" applyFont="1" applyBorder="1" applyAlignment="1">
      <alignment horizontal="right"/>
    </xf>
    <xf numFmtId="49" fontId="16" fillId="0" borderId="41" xfId="0" applyNumberFormat="1" applyFont="1" applyBorder="1" applyAlignment="1">
      <alignment horizontal="right"/>
    </xf>
    <xf numFmtId="0" fontId="16" fillId="0" borderId="40" xfId="0" applyFont="1" applyBorder="1"/>
    <xf numFmtId="0" fontId="4" fillId="0" borderId="2" xfId="0" applyFont="1" applyBorder="1" applyAlignment="1">
      <alignment horizontal="left"/>
    </xf>
    <xf numFmtId="0" fontId="5" fillId="0" borderId="0" xfId="0" applyFont="1" applyFill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169" fontId="5" fillId="0" borderId="7" xfId="0" applyNumberFormat="1" applyFont="1" applyBorder="1"/>
    <xf numFmtId="169" fontId="4" fillId="0" borderId="7" xfId="0" applyNumberFormat="1" applyFont="1" applyBorder="1"/>
    <xf numFmtId="169" fontId="4" fillId="0" borderId="7" xfId="0" applyNumberFormat="1" applyFont="1" applyFill="1" applyBorder="1" applyAlignment="1" applyProtection="1"/>
    <xf numFmtId="169" fontId="5" fillId="0" borderId="5" xfId="0" applyNumberFormat="1" applyFont="1" applyBorder="1"/>
    <xf numFmtId="49" fontId="16" fillId="0" borderId="10" xfId="0" applyNumberFormat="1" applyFont="1" applyFill="1" applyBorder="1" applyAlignment="1" applyProtection="1">
      <alignment horizontal="left"/>
    </xf>
    <xf numFmtId="3" fontId="5" fillId="2" borderId="10" xfId="0" applyNumberFormat="1" applyFont="1" applyFill="1" applyBorder="1"/>
    <xf numFmtId="3" fontId="8" fillId="2" borderId="10" xfId="0" applyNumberFormat="1" applyFont="1" applyFill="1" applyBorder="1"/>
    <xf numFmtId="0" fontId="5" fillId="0" borderId="0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right"/>
    </xf>
    <xf numFmtId="164" fontId="16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right"/>
    </xf>
    <xf numFmtId="166" fontId="10" fillId="0" borderId="10" xfId="0" applyNumberFormat="1" applyFont="1" applyFill="1" applyBorder="1" applyAlignment="1" applyProtection="1">
      <alignment horizontal="right"/>
    </xf>
    <xf numFmtId="9" fontId="5" fillId="0" borderId="10" xfId="0" applyNumberFormat="1" applyFont="1" applyFill="1" applyBorder="1" applyAlignment="1" applyProtection="1">
      <alignment horizontal="right"/>
    </xf>
    <xf numFmtId="167" fontId="5" fillId="0" borderId="10" xfId="0" applyNumberFormat="1" applyFont="1" applyFill="1" applyBorder="1" applyAlignment="1" applyProtection="1">
      <alignment horizontal="right"/>
    </xf>
    <xf numFmtId="168" fontId="5" fillId="0" borderId="14" xfId="0" applyNumberFormat="1" applyFont="1" applyFill="1" applyBorder="1" applyAlignment="1" applyProtection="1">
      <alignment horizontal="right"/>
    </xf>
    <xf numFmtId="0" fontId="5" fillId="2" borderId="10" xfId="0" applyNumberFormat="1" applyFont="1" applyFill="1" applyBorder="1" applyAlignment="1" applyProtection="1">
      <alignment horizontal="right"/>
    </xf>
    <xf numFmtId="3" fontId="4" fillId="0" borderId="10" xfId="0" applyNumberFormat="1" applyFont="1" applyFill="1" applyBorder="1" applyAlignment="1" applyProtection="1">
      <alignment horizontal="right"/>
    </xf>
    <xf numFmtId="4" fontId="10" fillId="3" borderId="24" xfId="0" applyNumberFormat="1" applyFont="1" applyFill="1" applyBorder="1" applyAlignment="1" applyProtection="1">
      <alignment horizontal="right"/>
    </xf>
    <xf numFmtId="0" fontId="16" fillId="0" borderId="35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168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 applyProtection="1"/>
    <xf numFmtId="1" fontId="4" fillId="4" borderId="12" xfId="0" applyNumberFormat="1" applyFont="1" applyFill="1" applyBorder="1" applyAlignment="1" applyProtection="1">
      <alignment horizontal="center"/>
    </xf>
    <xf numFmtId="171" fontId="10" fillId="4" borderId="10" xfId="0" applyNumberFormat="1" applyFont="1" applyFill="1" applyBorder="1" applyAlignment="1" applyProtection="1">
      <alignment horizontal="right"/>
    </xf>
    <xf numFmtId="171" fontId="4" fillId="4" borderId="10" xfId="0" applyNumberFormat="1" applyFont="1" applyFill="1" applyBorder="1" applyAlignment="1" applyProtection="1"/>
    <xf numFmtId="171" fontId="4" fillId="4" borderId="35" xfId="0" applyNumberFormat="1" applyFont="1" applyFill="1" applyBorder="1" applyAlignment="1" applyProtection="1">
      <alignment horizontal="right"/>
    </xf>
    <xf numFmtId="3" fontId="8" fillId="0" borderId="10" xfId="0" applyNumberFormat="1" applyFont="1" applyFill="1" applyBorder="1"/>
    <xf numFmtId="171" fontId="6" fillId="4" borderId="10" xfId="0" applyNumberFormat="1" applyFont="1" applyFill="1" applyBorder="1" applyAlignment="1" applyProtection="1"/>
    <xf numFmtId="0" fontId="21" fillId="0" borderId="0" xfId="0" applyFont="1"/>
    <xf numFmtId="0" fontId="16" fillId="0" borderId="42" xfId="0" applyFont="1" applyBorder="1"/>
    <xf numFmtId="0" fontId="5" fillId="0" borderId="42" xfId="0" applyFont="1" applyBorder="1"/>
    <xf numFmtId="0" fontId="21" fillId="0" borderId="36" xfId="0" applyFont="1" applyBorder="1"/>
    <xf numFmtId="0" fontId="3" fillId="0" borderId="43" xfId="0" applyFont="1" applyBorder="1"/>
    <xf numFmtId="0" fontId="22" fillId="0" borderId="36" xfId="0" applyFont="1" applyBorder="1"/>
    <xf numFmtId="0" fontId="4" fillId="0" borderId="36" xfId="0" applyFont="1" applyBorder="1"/>
    <xf numFmtId="0" fontId="5" fillId="0" borderId="0" xfId="0" applyFont="1" applyBorder="1"/>
    <xf numFmtId="0" fontId="21" fillId="2" borderId="41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5" fillId="0" borderId="30" xfId="0" applyFont="1" applyBorder="1"/>
    <xf numFmtId="0" fontId="21" fillId="2" borderId="4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2" borderId="41" xfId="0" applyFont="1" applyFill="1" applyBorder="1"/>
    <xf numFmtId="3" fontId="16" fillId="0" borderId="8" xfId="0" applyNumberFormat="1" applyFont="1" applyFill="1" applyBorder="1"/>
    <xf numFmtId="3" fontId="21" fillId="2" borderId="41" xfId="0" applyNumberFormat="1" applyFont="1" applyFill="1" applyBorder="1"/>
    <xf numFmtId="0" fontId="16" fillId="0" borderId="15" xfId="0" applyFont="1" applyFill="1" applyBorder="1"/>
    <xf numFmtId="0" fontId="4" fillId="0" borderId="11" xfId="0" applyFont="1" applyBorder="1"/>
    <xf numFmtId="3" fontId="22" fillId="2" borderId="44" xfId="0" applyNumberFormat="1" applyFont="1" applyFill="1" applyBorder="1"/>
    <xf numFmtId="3" fontId="3" fillId="0" borderId="23" xfId="0" applyNumberFormat="1" applyFont="1" applyFill="1" applyBorder="1"/>
    <xf numFmtId="3" fontId="3" fillId="0" borderId="23" xfId="0" applyNumberFormat="1" applyFont="1" applyBorder="1"/>
    <xf numFmtId="3" fontId="16" fillId="0" borderId="45" xfId="0" applyNumberFormat="1" applyFont="1" applyFill="1" applyBorder="1"/>
    <xf numFmtId="0" fontId="16" fillId="0" borderId="8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22" fillId="2" borderId="44" xfId="0" applyFont="1" applyFill="1" applyBorder="1"/>
    <xf numFmtId="1" fontId="3" fillId="0" borderId="23" xfId="0" applyNumberFormat="1" applyFont="1" applyBorder="1"/>
    <xf numFmtId="1" fontId="16" fillId="0" borderId="45" xfId="0" applyNumberFormat="1" applyFont="1" applyFill="1" applyBorder="1"/>
    <xf numFmtId="0" fontId="22" fillId="2" borderId="41" xfId="0" applyFont="1" applyFill="1" applyBorder="1"/>
    <xf numFmtId="1" fontId="16" fillId="0" borderId="8" xfId="0" applyNumberFormat="1" applyFont="1" applyBorder="1"/>
    <xf numFmtId="3" fontId="22" fillId="2" borderId="41" xfId="0" applyNumberFormat="1" applyFont="1" applyFill="1" applyBorder="1"/>
    <xf numFmtId="3" fontId="3" fillId="0" borderId="8" xfId="0" applyNumberFormat="1" applyFont="1" applyFill="1" applyBorder="1"/>
    <xf numFmtId="1" fontId="3" fillId="0" borderId="8" xfId="0" applyNumberFormat="1" applyFont="1" applyBorder="1"/>
    <xf numFmtId="1" fontId="16" fillId="0" borderId="15" xfId="0" applyNumberFormat="1" applyFont="1" applyFill="1" applyBorder="1"/>
    <xf numFmtId="0" fontId="5" fillId="0" borderId="46" xfId="0" applyFont="1" applyBorder="1"/>
    <xf numFmtId="0" fontId="22" fillId="2" borderId="9" xfId="0" applyFont="1" applyFill="1" applyBorder="1"/>
    <xf numFmtId="0" fontId="22" fillId="2" borderId="22" xfId="0" applyFont="1" applyFill="1" applyBorder="1"/>
    <xf numFmtId="0" fontId="5" fillId="0" borderId="31" xfId="0" applyFont="1" applyBorder="1"/>
    <xf numFmtId="0" fontId="22" fillId="2" borderId="20" xfId="0" applyFont="1" applyFill="1" applyBorder="1"/>
    <xf numFmtId="1" fontId="3" fillId="0" borderId="21" xfId="0" applyNumberFormat="1" applyFont="1" applyBorder="1"/>
    <xf numFmtId="3" fontId="22" fillId="2" borderId="47" xfId="0" applyNumberFormat="1" applyFont="1" applyFill="1" applyBorder="1"/>
    <xf numFmtId="3" fontId="3" fillId="0" borderId="21" xfId="0" applyNumberFormat="1" applyFont="1" applyFill="1" applyBorder="1"/>
    <xf numFmtId="0" fontId="22" fillId="2" borderId="47" xfId="0" applyFont="1" applyFill="1" applyBorder="1"/>
    <xf numFmtId="1" fontId="16" fillId="0" borderId="48" xfId="0" applyNumberFormat="1" applyFont="1" applyFill="1" applyBorder="1"/>
    <xf numFmtId="3" fontId="22" fillId="2" borderId="22" xfId="0" applyNumberFormat="1" applyFont="1" applyFill="1" applyBorder="1"/>
    <xf numFmtId="171" fontId="8" fillId="0" borderId="10" xfId="0" applyNumberFormat="1" applyFont="1" applyFill="1" applyBorder="1" applyAlignment="1" applyProtection="1"/>
    <xf numFmtId="0" fontId="0" fillId="0" borderId="0" xfId="0" applyBorder="1" applyAlignment="1"/>
    <xf numFmtId="0" fontId="0" fillId="0" borderId="0" xfId="0" applyFill="1" applyBorder="1" applyAlignment="1"/>
    <xf numFmtId="0" fontId="16" fillId="0" borderId="37" xfId="0" applyFont="1" applyBorder="1"/>
    <xf numFmtId="3" fontId="5" fillId="5" borderId="8" xfId="0" applyNumberFormat="1" applyFont="1" applyFill="1" applyBorder="1" applyAlignment="1" applyProtection="1"/>
    <xf numFmtId="3" fontId="5" fillId="4" borderId="8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3" fontId="5" fillId="4" borderId="23" xfId="0" applyNumberFormat="1" applyFont="1" applyFill="1" applyBorder="1" applyAlignment="1" applyProtection="1"/>
    <xf numFmtId="3" fontId="5" fillId="5" borderId="23" xfId="0" applyNumberFormat="1" applyFont="1" applyFill="1" applyBorder="1" applyAlignment="1" applyProtection="1"/>
    <xf numFmtId="0" fontId="5" fillId="7" borderId="8" xfId="0" applyNumberFormat="1" applyFont="1" applyFill="1" applyBorder="1" applyAlignment="1" applyProtection="1"/>
    <xf numFmtId="0" fontId="16" fillId="0" borderId="21" xfId="0" applyFont="1" applyBorder="1"/>
    <xf numFmtId="0" fontId="5" fillId="6" borderId="8" xfId="0" applyFont="1" applyFill="1" applyBorder="1"/>
    <xf numFmtId="3" fontId="5" fillId="8" borderId="8" xfId="0" applyNumberFormat="1" applyFont="1" applyFill="1" applyBorder="1" applyAlignment="1" applyProtection="1"/>
    <xf numFmtId="0" fontId="16" fillId="0" borderId="51" xfId="0" applyFont="1" applyBorder="1"/>
    <xf numFmtId="3" fontId="5" fillId="6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3" fontId="5" fillId="4" borderId="22" xfId="0" applyNumberFormat="1" applyFont="1" applyFill="1" applyBorder="1" applyAlignment="1" applyProtection="1"/>
    <xf numFmtId="0" fontId="5" fillId="5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3" fontId="5" fillId="0" borderId="20" xfId="0" applyNumberFormat="1" applyFont="1" applyFill="1" applyBorder="1" applyAlignment="1" applyProtection="1"/>
    <xf numFmtId="0" fontId="5" fillId="4" borderId="9" xfId="0" applyNumberFormat="1" applyFont="1" applyFill="1" applyBorder="1" applyAlignment="1" applyProtection="1"/>
    <xf numFmtId="3" fontId="5" fillId="8" borderId="9" xfId="0" applyNumberFormat="1" applyFont="1" applyFill="1" applyBorder="1" applyAlignment="1" applyProtection="1"/>
    <xf numFmtId="0" fontId="5" fillId="3" borderId="9" xfId="0" applyFont="1" applyFill="1" applyBorder="1"/>
    <xf numFmtId="3" fontId="5" fillId="7" borderId="9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0" fontId="5" fillId="5" borderId="22" xfId="0" applyNumberFormat="1" applyFont="1" applyFill="1" applyBorder="1" applyAlignment="1" applyProtection="1"/>
    <xf numFmtId="164" fontId="16" fillId="0" borderId="0" xfId="0" applyNumberFormat="1" applyFont="1" applyFill="1"/>
    <xf numFmtId="0" fontId="16" fillId="0" borderId="0" xfId="0" applyFont="1" applyFill="1" applyBorder="1"/>
    <xf numFmtId="171" fontId="18" fillId="4" borderId="10" xfId="0" applyNumberFormat="1" applyFont="1" applyFill="1" applyBorder="1" applyAlignment="1" applyProtection="1">
      <alignment horizontal="right"/>
    </xf>
    <xf numFmtId="171" fontId="18" fillId="4" borderId="14" xfId="0" applyNumberFormat="1" applyFont="1" applyFill="1" applyBorder="1" applyAlignment="1" applyProtection="1">
      <alignment horizontal="right"/>
    </xf>
    <xf numFmtId="171" fontId="5" fillId="0" borderId="0" xfId="0" applyNumberFormat="1" applyFont="1" applyFill="1" applyBorder="1" applyAlignment="1" applyProtection="1"/>
    <xf numFmtId="3" fontId="19" fillId="0" borderId="0" xfId="0" applyNumberFormat="1" applyFont="1" applyFill="1" applyBorder="1" applyAlignment="1" applyProtection="1">
      <alignment horizontal="right"/>
    </xf>
    <xf numFmtId="171" fontId="9" fillId="4" borderId="14" xfId="0" applyNumberFormat="1" applyFont="1" applyFill="1" applyBorder="1" applyAlignment="1" applyProtection="1">
      <alignment horizontal="right"/>
    </xf>
    <xf numFmtId="171" fontId="3" fillId="2" borderId="10" xfId="0" applyNumberFormat="1" applyFont="1" applyFill="1" applyBorder="1" applyAlignment="1" applyProtection="1"/>
    <xf numFmtId="171" fontId="4" fillId="0" borderId="10" xfId="0" applyNumberFormat="1" applyFont="1" applyFill="1" applyBorder="1" applyAlignment="1" applyProtection="1"/>
    <xf numFmtId="168" fontId="16" fillId="0" borderId="0" xfId="0" applyNumberFormat="1" applyFont="1" applyAlignment="1">
      <alignment horizontal="right"/>
    </xf>
    <xf numFmtId="0" fontId="5" fillId="0" borderId="15" xfId="0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 horizontal="right"/>
    </xf>
    <xf numFmtId="164" fontId="8" fillId="0" borderId="0" xfId="0" applyNumberFormat="1" applyFont="1" applyFill="1"/>
    <xf numFmtId="169" fontId="1" fillId="0" borderId="0" xfId="0" applyNumberFormat="1" applyFont="1" applyFill="1"/>
    <xf numFmtId="169" fontId="6" fillId="0" borderId="0" xfId="0" applyNumberFormat="1" applyFont="1" applyFill="1"/>
    <xf numFmtId="3" fontId="4" fillId="0" borderId="51" xfId="0" applyNumberFormat="1" applyFont="1" applyFill="1" applyBorder="1" applyAlignment="1" applyProtection="1"/>
    <xf numFmtId="171" fontId="25" fillId="4" borderId="18" xfId="0" applyNumberFormat="1" applyFont="1" applyFill="1" applyBorder="1" applyAlignment="1" applyProtection="1">
      <alignment horizontal="right"/>
    </xf>
    <xf numFmtId="16" fontId="16" fillId="0" borderId="0" xfId="0" applyNumberFormat="1" applyFont="1"/>
    <xf numFmtId="171" fontId="9" fillId="0" borderId="10" xfId="0" applyNumberFormat="1" applyFont="1" applyFill="1" applyBorder="1" applyAlignment="1" applyProtection="1">
      <alignment horizontal="right"/>
    </xf>
    <xf numFmtId="171" fontId="9" fillId="0" borderId="14" xfId="0" applyNumberFormat="1" applyFont="1" applyFill="1" applyBorder="1" applyAlignment="1" applyProtection="1">
      <alignment horizontal="right"/>
    </xf>
    <xf numFmtId="171" fontId="9" fillId="3" borderId="13" xfId="0" applyNumberFormat="1" applyFont="1" applyFill="1" applyBorder="1" applyAlignment="1" applyProtection="1">
      <alignment horizontal="right"/>
    </xf>
    <xf numFmtId="172" fontId="0" fillId="0" borderId="0" xfId="0" applyNumberFormat="1" applyFill="1" applyBorder="1" applyAlignment="1"/>
    <xf numFmtId="172" fontId="5" fillId="0" borderId="0" xfId="0" applyNumberFormat="1" applyFont="1" applyFill="1" applyBorder="1" applyAlignment="1" applyProtection="1"/>
    <xf numFmtId="172" fontId="16" fillId="0" borderId="0" xfId="0" applyNumberFormat="1" applyFont="1" applyFill="1"/>
    <xf numFmtId="9" fontId="0" fillId="0" borderId="0" xfId="0" applyNumberFormat="1" applyFill="1" applyBorder="1" applyAlignment="1"/>
    <xf numFmtId="9" fontId="4" fillId="0" borderId="37" xfId="0" applyNumberFormat="1" applyFont="1" applyFill="1" applyBorder="1" applyAlignment="1" applyProtection="1">
      <alignment horizontal="center"/>
    </xf>
    <xf numFmtId="9" fontId="4" fillId="0" borderId="8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9" fontId="4" fillId="0" borderId="3" xfId="0" applyNumberFormat="1" applyFont="1" applyFill="1" applyBorder="1" applyAlignment="1" applyProtection="1"/>
    <xf numFmtId="9" fontId="5" fillId="0" borderId="8" xfId="0" applyNumberFormat="1" applyFont="1" applyFill="1" applyBorder="1" applyAlignment="1" applyProtection="1"/>
    <xf numFmtId="9" fontId="4" fillId="0" borderId="21" xfId="0" applyNumberFormat="1" applyFont="1" applyFill="1" applyBorder="1" applyAlignment="1" applyProtection="1"/>
    <xf numFmtId="9" fontId="5" fillId="0" borderId="23" xfId="0" applyNumberFormat="1" applyFont="1" applyFill="1" applyBorder="1" applyAlignment="1" applyProtection="1"/>
    <xf numFmtId="9" fontId="4" fillId="0" borderId="8" xfId="0" applyNumberFormat="1" applyFont="1" applyFill="1" applyBorder="1" applyAlignment="1" applyProtection="1"/>
    <xf numFmtId="9" fontId="4" fillId="0" borderId="51" xfId="0" applyNumberFormat="1" applyFont="1" applyFill="1" applyBorder="1" applyAlignment="1" applyProtection="1"/>
    <xf numFmtId="9" fontId="5" fillId="0" borderId="0" xfId="0" applyNumberFormat="1" applyFont="1" applyFill="1" applyBorder="1" applyAlignment="1" applyProtection="1"/>
    <xf numFmtId="9" fontId="16" fillId="0" borderId="0" xfId="0" applyNumberFormat="1" applyFont="1" applyFill="1"/>
    <xf numFmtId="171" fontId="10" fillId="4" borderId="15" xfId="0" applyNumberFormat="1" applyFont="1" applyFill="1" applyBorder="1" applyAlignment="1" applyProtection="1">
      <alignment horizontal="right"/>
    </xf>
    <xf numFmtId="171" fontId="18" fillId="4" borderId="15" xfId="0" applyNumberFormat="1" applyFont="1" applyFill="1" applyBorder="1" applyAlignment="1" applyProtection="1">
      <alignment horizontal="right"/>
    </xf>
    <xf numFmtId="171" fontId="18" fillId="4" borderId="18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right"/>
    </xf>
    <xf numFmtId="0" fontId="4" fillId="0" borderId="52" xfId="0" applyNumberFormat="1" applyFont="1" applyFill="1" applyBorder="1" applyAlignment="1" applyProtection="1">
      <alignment horizontal="center"/>
    </xf>
    <xf numFmtId="0" fontId="16" fillId="0" borderId="38" xfId="0" applyFont="1" applyBorder="1"/>
    <xf numFmtId="0" fontId="16" fillId="0" borderId="44" xfId="0" applyFont="1" applyBorder="1"/>
    <xf numFmtId="0" fontId="7" fillId="0" borderId="41" xfId="0" applyFont="1" applyBorder="1"/>
    <xf numFmtId="0" fontId="3" fillId="0" borderId="44" xfId="0" applyFont="1" applyBorder="1"/>
    <xf numFmtId="0" fontId="3" fillId="0" borderId="47" xfId="0" applyFont="1" applyBorder="1"/>
    <xf numFmtId="0" fontId="5" fillId="0" borderId="44" xfId="0" applyFont="1" applyBorder="1"/>
    <xf numFmtId="0" fontId="7" fillId="0" borderId="44" xfId="0" applyFont="1" applyBorder="1"/>
    <xf numFmtId="3" fontId="6" fillId="3" borderId="9" xfId="0" applyNumberFormat="1" applyFont="1" applyFill="1" applyBorder="1" applyAlignment="1" applyProtection="1"/>
    <xf numFmtId="169" fontId="3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/>
    <xf numFmtId="169" fontId="4" fillId="0" borderId="0" xfId="0" applyNumberFormat="1" applyFont="1" applyFill="1" applyBorder="1"/>
    <xf numFmtId="3" fontId="4" fillId="3" borderId="39" xfId="0" applyNumberFormat="1" applyFont="1" applyFill="1" applyBorder="1" applyAlignment="1" applyProtection="1"/>
    <xf numFmtId="0" fontId="6" fillId="0" borderId="39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left"/>
    </xf>
    <xf numFmtId="9" fontId="4" fillId="0" borderId="4" xfId="2" applyFont="1" applyFill="1" applyBorder="1" applyAlignment="1" applyProtection="1">
      <alignment horizontal="left"/>
    </xf>
    <xf numFmtId="164" fontId="10" fillId="0" borderId="50" xfId="0" applyNumberFormat="1" applyFont="1" applyFill="1" applyBorder="1" applyAlignment="1" applyProtection="1">
      <alignment horizontal="right"/>
    </xf>
    <xf numFmtId="164" fontId="9" fillId="0" borderId="50" xfId="0" applyNumberFormat="1" applyFont="1" applyFill="1" applyBorder="1" applyAlignment="1" applyProtection="1">
      <alignment horizontal="right"/>
    </xf>
    <xf numFmtId="164" fontId="13" fillId="0" borderId="49" xfId="0" applyNumberFormat="1" applyFont="1" applyFill="1" applyBorder="1" applyAlignment="1" applyProtection="1">
      <alignment horizontal="right"/>
    </xf>
    <xf numFmtId="0" fontId="4" fillId="0" borderId="26" xfId="0" applyNumberFormat="1" applyFont="1" applyFill="1" applyBorder="1" applyAlignment="1" applyProtection="1">
      <alignment horizontal="center"/>
    </xf>
    <xf numFmtId="0" fontId="4" fillId="10" borderId="52" xfId="0" applyNumberFormat="1" applyFont="1" applyFill="1" applyBorder="1" applyAlignment="1" applyProtection="1">
      <alignment horizontal="center"/>
    </xf>
    <xf numFmtId="0" fontId="4" fillId="10" borderId="48" xfId="0" applyNumberFormat="1" applyFont="1" applyFill="1" applyBorder="1" applyAlignment="1" applyProtection="1">
      <alignment horizontal="center"/>
    </xf>
    <xf numFmtId="0" fontId="4" fillId="10" borderId="18" xfId="0" applyNumberFormat="1" applyFont="1" applyFill="1" applyBorder="1" applyAlignment="1" applyProtection="1">
      <alignment horizontal="center"/>
    </xf>
    <xf numFmtId="171" fontId="4" fillId="10" borderId="34" xfId="0" applyNumberFormat="1" applyFont="1" applyFill="1" applyBorder="1" applyAlignment="1" applyProtection="1"/>
    <xf numFmtId="171" fontId="5" fillId="10" borderId="15" xfId="0" applyNumberFormat="1" applyFont="1" applyFill="1" applyBorder="1" applyAlignment="1" applyProtection="1"/>
    <xf numFmtId="171" fontId="4" fillId="10" borderId="48" xfId="0" applyNumberFormat="1" applyFont="1" applyFill="1" applyBorder="1" applyAlignment="1" applyProtection="1"/>
    <xf numFmtId="3" fontId="6" fillId="0" borderId="0" xfId="0" applyNumberFormat="1" applyFont="1" applyFill="1"/>
    <xf numFmtId="1" fontId="16" fillId="0" borderId="10" xfId="0" applyNumberFormat="1" applyFont="1" applyFill="1" applyBorder="1" applyAlignment="1" applyProtection="1">
      <alignment horizontal="right"/>
    </xf>
    <xf numFmtId="173" fontId="4" fillId="0" borderId="5" xfId="0" applyNumberFormat="1" applyFont="1" applyFill="1" applyBorder="1" applyAlignment="1" applyProtection="1">
      <alignment horizontal="center"/>
    </xf>
    <xf numFmtId="3" fontId="22" fillId="2" borderId="20" xfId="0" applyNumberFormat="1" applyFont="1" applyFill="1" applyBorder="1"/>
    <xf numFmtId="3" fontId="22" fillId="2" borderId="9" xfId="0" applyNumberFormat="1" applyFont="1" applyFill="1" applyBorder="1"/>
    <xf numFmtId="1" fontId="0" fillId="0" borderId="21" xfId="0" applyNumberFormat="1" applyFont="1" applyBorder="1"/>
    <xf numFmtId="1" fontId="0" fillId="0" borderId="8" xfId="0" applyNumberFormat="1" applyFont="1" applyBorder="1"/>
    <xf numFmtId="3" fontId="19" fillId="0" borderId="10" xfId="0" applyNumberFormat="1" applyFont="1" applyFill="1" applyBorder="1" applyAlignment="1" applyProtection="1">
      <alignment horizontal="right"/>
    </xf>
    <xf numFmtId="0" fontId="4" fillId="0" borderId="54" xfId="0" applyNumberFormat="1" applyFont="1" applyFill="1" applyBorder="1" applyAlignment="1" applyProtection="1">
      <alignment horizontal="center"/>
    </xf>
    <xf numFmtId="0" fontId="5" fillId="2" borderId="8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171" fontId="8" fillId="4" borderId="10" xfId="0" applyNumberFormat="1" applyFont="1" applyFill="1" applyBorder="1" applyAlignment="1" applyProtection="1"/>
    <xf numFmtId="4" fontId="5" fillId="0" borderId="10" xfId="0" applyNumberFormat="1" applyFont="1" applyFill="1" applyBorder="1" applyAlignment="1" applyProtection="1">
      <alignment horizontal="right"/>
    </xf>
    <xf numFmtId="0" fontId="16" fillId="12" borderId="0" xfId="0" applyFont="1" applyFill="1"/>
    <xf numFmtId="0" fontId="4" fillId="0" borderId="39" xfId="0" applyNumberFormat="1" applyFont="1" applyFill="1" applyBorder="1" applyAlignment="1" applyProtection="1"/>
    <xf numFmtId="0" fontId="4" fillId="0" borderId="57" xfId="0" applyNumberFormat="1" applyFont="1" applyFill="1" applyBorder="1" applyAlignment="1" applyProtection="1">
      <alignment horizontal="left"/>
    </xf>
    <xf numFmtId="3" fontId="19" fillId="9" borderId="8" xfId="0" applyNumberFormat="1" applyFont="1" applyFill="1" applyBorder="1" applyAlignment="1" applyProtection="1">
      <alignment horizontal="left"/>
    </xf>
    <xf numFmtId="3" fontId="6" fillId="9" borderId="9" xfId="0" applyNumberFormat="1" applyFont="1" applyFill="1" applyBorder="1" applyAlignment="1" applyProtection="1"/>
    <xf numFmtId="0" fontId="5" fillId="0" borderId="39" xfId="0" applyFont="1" applyFill="1" applyBorder="1"/>
    <xf numFmtId="0" fontId="4" fillId="0" borderId="14" xfId="0" applyNumberFormat="1" applyFont="1" applyFill="1" applyBorder="1" applyAlignment="1" applyProtection="1">
      <alignment horizontal="center"/>
    </xf>
    <xf numFmtId="0" fontId="4" fillId="0" borderId="59" xfId="0" applyNumberFormat="1" applyFont="1" applyFill="1" applyBorder="1" applyAlignment="1" applyProtection="1">
      <alignment horizontal="center"/>
    </xf>
    <xf numFmtId="0" fontId="4" fillId="0" borderId="60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5" fillId="2" borderId="39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0" fontId="5" fillId="4" borderId="22" xfId="0" applyNumberFormat="1" applyFont="1" applyFill="1" applyBorder="1" applyAlignment="1" applyProtection="1"/>
    <xf numFmtId="3" fontId="5" fillId="2" borderId="23" xfId="0" applyNumberFormat="1" applyFont="1" applyFill="1" applyBorder="1" applyAlignment="1" applyProtection="1"/>
    <xf numFmtId="172" fontId="4" fillId="0" borderId="55" xfId="0" applyNumberFormat="1" applyFont="1" applyFill="1" applyBorder="1" applyAlignment="1" applyProtection="1">
      <alignment horizontal="center"/>
    </xf>
    <xf numFmtId="172" fontId="4" fillId="0" borderId="39" xfId="0" applyNumberFormat="1" applyFont="1" applyFill="1" applyBorder="1" applyAlignment="1" applyProtection="1">
      <alignment horizontal="center"/>
    </xf>
    <xf numFmtId="172" fontId="4" fillId="0" borderId="59" xfId="0" applyNumberFormat="1" applyFont="1" applyFill="1" applyBorder="1" applyAlignment="1" applyProtection="1">
      <alignment horizontal="center"/>
    </xf>
    <xf numFmtId="172" fontId="4" fillId="0" borderId="58" xfId="0" applyNumberFormat="1" applyFont="1" applyFill="1" applyBorder="1" applyAlignment="1" applyProtection="1"/>
    <xf numFmtId="172" fontId="5" fillId="0" borderId="39" xfId="0" applyNumberFormat="1" applyFont="1" applyFill="1" applyBorder="1" applyAlignment="1" applyProtection="1"/>
    <xf numFmtId="172" fontId="4" fillId="0" borderId="60" xfId="0" applyNumberFormat="1" applyFont="1" applyFill="1" applyBorder="1" applyAlignment="1" applyProtection="1"/>
    <xf numFmtId="172" fontId="5" fillId="0" borderId="16" xfId="0" applyNumberFormat="1" applyFont="1" applyFill="1" applyBorder="1" applyAlignment="1" applyProtection="1"/>
    <xf numFmtId="172" fontId="4" fillId="0" borderId="39" xfId="0" applyNumberFormat="1" applyFont="1" applyFill="1" applyBorder="1" applyAlignment="1" applyProtection="1"/>
    <xf numFmtId="3" fontId="4" fillId="0" borderId="29" xfId="0" applyNumberFormat="1" applyFont="1" applyFill="1" applyBorder="1" applyAlignment="1" applyProtection="1"/>
    <xf numFmtId="0" fontId="4" fillId="0" borderId="32" xfId="0" applyNumberFormat="1" applyFont="1" applyFill="1" applyBorder="1" applyAlignment="1" applyProtection="1">
      <alignment horizontal="center"/>
    </xf>
    <xf numFmtId="0" fontId="8" fillId="0" borderId="8" xfId="0" applyFont="1" applyBorder="1"/>
    <xf numFmtId="0" fontId="8" fillId="0" borderId="6" xfId="0" applyFont="1" applyBorder="1"/>
    <xf numFmtId="0" fontId="5" fillId="5" borderId="9" xfId="0" applyFont="1" applyFill="1" applyBorder="1"/>
    <xf numFmtId="0" fontId="5" fillId="5" borderId="22" xfId="0" applyFont="1" applyFill="1" applyBorder="1"/>
    <xf numFmtId="0" fontId="5" fillId="0" borderId="4" xfId="0" applyNumberFormat="1" applyFont="1" applyFill="1" applyBorder="1" applyAlignment="1" applyProtection="1"/>
    <xf numFmtId="164" fontId="9" fillId="3" borderId="13" xfId="0" applyNumberFormat="1" applyFont="1" applyFill="1" applyBorder="1" applyAlignment="1" applyProtection="1">
      <alignment horizontal="right"/>
    </xf>
    <xf numFmtId="0" fontId="5" fillId="0" borderId="10" xfId="0" applyFont="1" applyFill="1" applyBorder="1"/>
    <xf numFmtId="3" fontId="5" fillId="0" borderId="0" xfId="0" applyNumberFormat="1" applyFont="1" applyFill="1"/>
    <xf numFmtId="3" fontId="5" fillId="0" borderId="7" xfId="0" applyNumberFormat="1" applyFont="1" applyFill="1" applyBorder="1" applyAlignment="1" applyProtection="1">
      <alignment horizontal="right"/>
    </xf>
    <xf numFmtId="173" fontId="4" fillId="0" borderId="17" xfId="0" applyNumberFormat="1" applyFont="1" applyFill="1" applyBorder="1" applyAlignment="1" applyProtection="1">
      <alignment horizontal="center"/>
    </xf>
    <xf numFmtId="4" fontId="16" fillId="0" borderId="0" xfId="0" applyNumberFormat="1" applyFont="1" applyFill="1"/>
    <xf numFmtId="164" fontId="10" fillId="0" borderId="39" xfId="0" applyNumberFormat="1" applyFont="1" applyFill="1" applyBorder="1" applyAlignment="1" applyProtection="1">
      <alignment horizontal="right"/>
    </xf>
    <xf numFmtId="9" fontId="10" fillId="0" borderId="10" xfId="2" applyNumberFormat="1" applyFont="1" applyFill="1" applyBorder="1" applyAlignment="1" applyProtection="1">
      <alignment horizontal="right"/>
    </xf>
    <xf numFmtId="0" fontId="4" fillId="3" borderId="6" xfId="0" applyNumberFormat="1" applyFont="1" applyFill="1" applyBorder="1" applyAlignment="1" applyProtection="1">
      <alignment horizontal="center"/>
    </xf>
    <xf numFmtId="0" fontId="3" fillId="0" borderId="43" xfId="0" applyFont="1" applyFill="1" applyBorder="1"/>
    <xf numFmtId="0" fontId="3" fillId="0" borderId="35" xfId="0" applyFont="1" applyFill="1" applyBorder="1"/>
    <xf numFmtId="0" fontId="16" fillId="0" borderId="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3" fillId="0" borderId="8" xfId="0" applyFont="1" applyFill="1" applyBorder="1"/>
    <xf numFmtId="1" fontId="3" fillId="0" borderId="23" xfId="0" applyNumberFormat="1" applyFont="1" applyFill="1" applyBorder="1"/>
    <xf numFmtId="1" fontId="3" fillId="0" borderId="8" xfId="0" applyNumberFormat="1" applyFont="1" applyFill="1" applyBorder="1"/>
    <xf numFmtId="1" fontId="3" fillId="0" borderId="21" xfId="0" applyNumberFormat="1" applyFont="1" applyFill="1" applyBorder="1"/>
    <xf numFmtId="1" fontId="5" fillId="3" borderId="8" xfId="0" applyNumberFormat="1" applyFont="1" applyFill="1" applyBorder="1" applyAlignment="1" applyProtection="1"/>
    <xf numFmtId="3" fontId="0" fillId="0" borderId="0" xfId="0" applyNumberFormat="1"/>
    <xf numFmtId="3" fontId="5" fillId="3" borderId="23" xfId="0" applyNumberFormat="1" applyFont="1" applyFill="1" applyBorder="1" applyAlignment="1" applyProtection="1"/>
    <xf numFmtId="3" fontId="16" fillId="0" borderId="10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 applyProtection="1"/>
    <xf numFmtId="3" fontId="27" fillId="0" borderId="10" xfId="0" applyNumberFormat="1" applyFont="1" applyFill="1" applyBorder="1" applyAlignment="1" applyProtection="1">
      <alignment horizontal="right"/>
    </xf>
    <xf numFmtId="1" fontId="4" fillId="4" borderId="34" xfId="0" applyNumberFormat="1" applyFont="1" applyFill="1" applyBorder="1" applyAlignment="1" applyProtection="1">
      <alignment horizontal="center"/>
    </xf>
    <xf numFmtId="49" fontId="4" fillId="4" borderId="18" xfId="0" applyNumberFormat="1" applyFont="1" applyFill="1" applyBorder="1" applyAlignment="1" applyProtection="1">
      <alignment horizontal="center"/>
    </xf>
    <xf numFmtId="171" fontId="10" fillId="4" borderId="18" xfId="0" applyNumberFormat="1" applyFont="1" applyFill="1" applyBorder="1" applyAlignment="1" applyProtection="1">
      <alignment horizontal="right"/>
    </xf>
    <xf numFmtId="0" fontId="28" fillId="0" borderId="22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3" fontId="28" fillId="0" borderId="23" xfId="0" applyNumberFormat="1" applyFont="1" applyFill="1" applyBorder="1" applyAlignment="1" applyProtection="1"/>
    <xf numFmtId="0" fontId="28" fillId="3" borderId="22" xfId="0" applyNumberFormat="1" applyFont="1" applyFill="1" applyBorder="1" applyAlignment="1" applyProtection="1"/>
    <xf numFmtId="0" fontId="28" fillId="3" borderId="23" xfId="0" applyNumberFormat="1" applyFont="1" applyFill="1" applyBorder="1" applyAlignment="1" applyProtection="1"/>
    <xf numFmtId="172" fontId="28" fillId="0" borderId="16" xfId="0" applyNumberFormat="1" applyFont="1" applyFill="1" applyBorder="1" applyAlignment="1" applyProtection="1"/>
    <xf numFmtId="0" fontId="28" fillId="5" borderId="22" xfId="0" applyFont="1" applyFill="1" applyBorder="1"/>
    <xf numFmtId="3" fontId="28" fillId="5" borderId="23" xfId="0" applyNumberFormat="1" applyFont="1" applyFill="1" applyBorder="1" applyAlignment="1" applyProtection="1"/>
    <xf numFmtId="0" fontId="28" fillId="0" borderId="0" xfId="0" applyFont="1" applyFill="1"/>
    <xf numFmtId="0" fontId="28" fillId="0" borderId="0" xfId="0" applyFont="1"/>
    <xf numFmtId="0" fontId="5" fillId="14" borderId="39" xfId="0" applyNumberFormat="1" applyFont="1" applyFill="1" applyBorder="1" applyAlignment="1" applyProtection="1"/>
    <xf numFmtId="4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 applyProtection="1"/>
    <xf numFmtId="4" fontId="0" fillId="0" borderId="0" xfId="0" applyNumberFormat="1" applyFill="1" applyBorder="1" applyAlignment="1"/>
    <xf numFmtId="3" fontId="5" fillId="0" borderId="45" xfId="0" applyNumberFormat="1" applyFont="1" applyFill="1" applyBorder="1" applyAlignment="1" applyProtection="1"/>
    <xf numFmtId="1" fontId="5" fillId="0" borderId="10" xfId="0" applyNumberFormat="1" applyFont="1" applyFill="1" applyBorder="1" applyAlignment="1" applyProtection="1"/>
    <xf numFmtId="3" fontId="5" fillId="13" borderId="9" xfId="0" applyNumberFormat="1" applyFont="1" applyFill="1" applyBorder="1" applyAlignment="1" applyProtection="1"/>
    <xf numFmtId="174" fontId="4" fillId="0" borderId="10" xfId="0" applyNumberFormat="1" applyFont="1" applyFill="1" applyBorder="1"/>
    <xf numFmtId="4" fontId="5" fillId="0" borderId="0" xfId="0" applyNumberFormat="1" applyFont="1" applyFill="1"/>
    <xf numFmtId="0" fontId="5" fillId="0" borderId="7" xfId="0" applyNumberFormat="1" applyFont="1" applyFill="1" applyBorder="1" applyAlignment="1" applyProtection="1">
      <alignment horizontal="left"/>
    </xf>
    <xf numFmtId="3" fontId="5" fillId="15" borderId="9" xfId="0" applyNumberFormat="1" applyFont="1" applyFill="1" applyBorder="1" applyAlignment="1" applyProtection="1"/>
    <xf numFmtId="0" fontId="5" fillId="15" borderId="8" xfId="0" applyNumberFormat="1" applyFont="1" applyFill="1" applyBorder="1" applyAlignment="1" applyProtection="1"/>
    <xf numFmtId="0" fontId="5" fillId="13" borderId="8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right"/>
    </xf>
    <xf numFmtId="4" fontId="16" fillId="0" borderId="0" xfId="0" applyNumberFormat="1" applyFont="1" applyFill="1" applyBorder="1"/>
    <xf numFmtId="168" fontId="16" fillId="0" borderId="0" xfId="0" applyNumberFormat="1" applyFont="1" applyFill="1" applyBorder="1"/>
    <xf numFmtId="174" fontId="5" fillId="0" borderId="0" xfId="0" applyNumberFormat="1" applyFont="1" applyFill="1"/>
    <xf numFmtId="171" fontId="16" fillId="0" borderId="0" xfId="0" applyNumberFormat="1" applyFont="1" applyFill="1" applyAlignment="1"/>
    <xf numFmtId="164" fontId="16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19" xfId="0" applyNumberFormat="1" applyFont="1" applyFill="1" applyBorder="1" applyAlignment="1" applyProtection="1"/>
    <xf numFmtId="0" fontId="5" fillId="0" borderId="32" xfId="0" applyNumberFormat="1" applyFont="1" applyFill="1" applyBorder="1" applyAlignment="1" applyProtection="1"/>
    <xf numFmtId="3" fontId="5" fillId="0" borderId="37" xfId="0" applyNumberFormat="1" applyFont="1" applyFill="1" applyBorder="1" applyAlignment="1" applyProtection="1"/>
    <xf numFmtId="0" fontId="5" fillId="3" borderId="32" xfId="0" applyNumberFormat="1" applyFont="1" applyFill="1" applyBorder="1" applyAlignment="1" applyProtection="1"/>
    <xf numFmtId="0" fontId="5" fillId="3" borderId="37" xfId="0" applyNumberFormat="1" applyFont="1" applyFill="1" applyBorder="1" applyAlignment="1" applyProtection="1"/>
    <xf numFmtId="0" fontId="5" fillId="10" borderId="52" xfId="0" applyNumberFormat="1" applyFont="1" applyFill="1" applyBorder="1" applyAlignment="1" applyProtection="1"/>
    <xf numFmtId="171" fontId="4" fillId="10" borderId="53" xfId="0" applyNumberFormat="1" applyFont="1" applyFill="1" applyBorder="1" applyAlignment="1" applyProtection="1">
      <alignment horizontal="right"/>
    </xf>
    <xf numFmtId="0" fontId="16" fillId="0" borderId="62" xfId="0" applyFont="1" applyBorder="1"/>
    <xf numFmtId="0" fontId="8" fillId="0" borderId="50" xfId="0" applyFont="1" applyBorder="1"/>
    <xf numFmtId="0" fontId="8" fillId="0" borderId="49" xfId="0" applyFont="1" applyBorder="1"/>
    <xf numFmtId="4" fontId="4" fillId="0" borderId="55" xfId="0" applyNumberFormat="1" applyFont="1" applyFill="1" applyBorder="1" applyAlignment="1" applyProtection="1">
      <alignment horizontal="center"/>
    </xf>
    <xf numFmtId="3" fontId="5" fillId="4" borderId="15" xfId="0" applyNumberFormat="1" applyFont="1" applyFill="1" applyBorder="1" applyAlignment="1" applyProtection="1"/>
    <xf numFmtId="170" fontId="9" fillId="0" borderId="14" xfId="2" applyNumberFormat="1" applyFont="1" applyFill="1" applyBorder="1" applyAlignment="1" applyProtection="1">
      <alignment horizontal="right"/>
    </xf>
    <xf numFmtId="164" fontId="4" fillId="0" borderId="54" xfId="0" applyNumberFormat="1" applyFont="1" applyFill="1" applyBorder="1" applyAlignment="1" applyProtection="1">
      <alignment horizontal="right"/>
    </xf>
    <xf numFmtId="3" fontId="10" fillId="13" borderId="10" xfId="0" applyNumberFormat="1" applyFont="1" applyFill="1" applyBorder="1" applyAlignment="1" applyProtection="1">
      <alignment horizontal="right"/>
    </xf>
    <xf numFmtId="4" fontId="4" fillId="0" borderId="39" xfId="0" applyNumberFormat="1" applyFont="1" applyFill="1" applyBorder="1" applyAlignment="1" applyProtection="1">
      <alignment horizontal="center"/>
    </xf>
    <xf numFmtId="3" fontId="10" fillId="16" borderId="10" xfId="0" applyNumberFormat="1" applyFont="1" applyFill="1" applyBorder="1" applyAlignment="1" applyProtection="1">
      <alignment horizontal="right"/>
    </xf>
    <xf numFmtId="3" fontId="19" fillId="0" borderId="0" xfId="0" applyNumberFormat="1" applyFont="1" applyFill="1" applyBorder="1" applyAlignment="1" applyProtection="1">
      <alignment horizontal="left"/>
    </xf>
    <xf numFmtId="174" fontId="4" fillId="0" borderId="12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4" fontId="7" fillId="0" borderId="0" xfId="0" applyNumberFormat="1" applyFont="1" applyFill="1" applyBorder="1"/>
    <xf numFmtId="3" fontId="7" fillId="0" borderId="0" xfId="0" applyNumberFormat="1" applyFont="1" applyFill="1"/>
    <xf numFmtId="3" fontId="4" fillId="3" borderId="17" xfId="0" applyNumberFormat="1" applyFont="1" applyFill="1" applyBorder="1" applyAlignment="1" applyProtection="1"/>
    <xf numFmtId="3" fontId="4" fillId="3" borderId="35" xfId="0" applyNumberFormat="1" applyFont="1" applyFill="1" applyBorder="1" applyAlignment="1" applyProtection="1"/>
    <xf numFmtId="3" fontId="5" fillId="15" borderId="8" xfId="0" applyNumberFormat="1" applyFont="1" applyFill="1" applyBorder="1" applyAlignment="1" applyProtection="1"/>
    <xf numFmtId="3" fontId="5" fillId="17" borderId="9" xfId="0" applyNumberFormat="1" applyFont="1" applyFill="1" applyBorder="1" applyAlignment="1" applyProtection="1"/>
    <xf numFmtId="0" fontId="5" fillId="17" borderId="8" xfId="0" applyNumberFormat="1" applyFont="1" applyFill="1" applyBorder="1" applyAlignment="1" applyProtection="1"/>
    <xf numFmtId="0" fontId="5" fillId="13" borderId="0" xfId="0" applyFont="1" applyFill="1"/>
    <xf numFmtId="0" fontId="16" fillId="11" borderId="0" xfId="0" applyFont="1" applyFill="1"/>
    <xf numFmtId="3" fontId="5" fillId="15" borderId="10" xfId="0" applyNumberFormat="1" applyFont="1" applyFill="1" applyBorder="1" applyAlignment="1" applyProtection="1"/>
    <xf numFmtId="1" fontId="5" fillId="3" borderId="22" xfId="0" applyNumberFormat="1" applyFont="1" applyFill="1" applyBorder="1" applyAlignment="1" applyProtection="1"/>
    <xf numFmtId="3" fontId="4" fillId="0" borderId="37" xfId="0" applyNumberFormat="1" applyFont="1" applyFill="1" applyBorder="1" applyAlignment="1" applyProtection="1">
      <alignment horizontal="center"/>
    </xf>
    <xf numFmtId="3" fontId="19" fillId="11" borderId="10" xfId="0" applyNumberFormat="1" applyFont="1" applyFill="1" applyBorder="1" applyAlignment="1" applyProtection="1">
      <alignment horizontal="right"/>
    </xf>
    <xf numFmtId="3" fontId="10" fillId="11" borderId="10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>
      <alignment horizontal="center"/>
    </xf>
    <xf numFmtId="3" fontId="5" fillId="18" borderId="9" xfId="0" applyNumberFormat="1" applyFont="1" applyFill="1" applyBorder="1" applyAlignment="1" applyProtection="1"/>
    <xf numFmtId="0" fontId="5" fillId="12" borderId="0" xfId="0" applyNumberFormat="1" applyFont="1" applyFill="1" applyBorder="1" applyAlignment="1" applyProtection="1">
      <alignment horizontal="right"/>
    </xf>
    <xf numFmtId="1" fontId="22" fillId="2" borderId="44" xfId="0" applyNumberFormat="1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71" fontId="18" fillId="4" borderId="19" xfId="0" applyNumberFormat="1" applyFont="1" applyFill="1" applyBorder="1" applyAlignment="1" applyProtection="1">
      <alignment horizontal="right"/>
    </xf>
    <xf numFmtId="0" fontId="26" fillId="4" borderId="57" xfId="0" applyFont="1" applyFill="1" applyBorder="1" applyAlignment="1">
      <alignment wrapText="1"/>
    </xf>
    <xf numFmtId="0" fontId="0" fillId="0" borderId="0" xfId="0"/>
    <xf numFmtId="3" fontId="5" fillId="0" borderId="7" xfId="0" applyNumberFormat="1" applyFont="1" applyBorder="1"/>
    <xf numFmtId="3" fontId="4" fillId="0" borderId="7" xfId="0" applyNumberFormat="1" applyFont="1" applyBorder="1"/>
    <xf numFmtId="0" fontId="16" fillId="0" borderId="0" xfId="0" applyFont="1"/>
    <xf numFmtId="164" fontId="16" fillId="0" borderId="0" xfId="0" applyNumberFormat="1" applyFont="1"/>
    <xf numFmtId="0" fontId="3" fillId="0" borderId="0" xfId="0" applyFont="1" applyFill="1"/>
    <xf numFmtId="0" fontId="0" fillId="0" borderId="0" xfId="0" applyFill="1"/>
    <xf numFmtId="0" fontId="0" fillId="0" borderId="63" xfId="0" applyFill="1" applyBorder="1"/>
    <xf numFmtId="0" fontId="32" fillId="0" borderId="0" xfId="0" applyFont="1"/>
    <xf numFmtId="0" fontId="33" fillId="0" borderId="0" xfId="0" applyFont="1"/>
    <xf numFmtId="0" fontId="26" fillId="0" borderId="0" xfId="0" applyFont="1"/>
    <xf numFmtId="0" fontId="33" fillId="0" borderId="1" xfId="0" applyFont="1" applyBorder="1" applyAlignment="1">
      <alignment wrapText="1"/>
    </xf>
    <xf numFmtId="0" fontId="33" fillId="0" borderId="2" xfId="0" applyFont="1" applyBorder="1" applyAlignment="1">
      <alignment wrapText="1"/>
    </xf>
    <xf numFmtId="0" fontId="33" fillId="0" borderId="55" xfId="0" applyFont="1" applyBorder="1" applyAlignment="1">
      <alignment horizontal="left"/>
    </xf>
    <xf numFmtId="0" fontId="0" fillId="0" borderId="64" xfId="0" applyBorder="1" applyAlignment="1">
      <alignment horizontal="center"/>
    </xf>
    <xf numFmtId="0" fontId="33" fillId="0" borderId="3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33" fillId="0" borderId="28" xfId="0" applyFont="1" applyBorder="1" applyAlignment="1">
      <alignment wrapText="1"/>
    </xf>
    <xf numFmtId="0" fontId="33" fillId="0" borderId="28" xfId="0" applyFont="1" applyFill="1" applyBorder="1" applyAlignment="1">
      <alignment wrapText="1"/>
    </xf>
    <xf numFmtId="0" fontId="33" fillId="0" borderId="28" xfId="0" applyFont="1" applyBorder="1"/>
    <xf numFmtId="0" fontId="33" fillId="0" borderId="51" xfId="0" applyFont="1" applyBorder="1"/>
    <xf numFmtId="0" fontId="0" fillId="0" borderId="0" xfId="0" applyAlignment="1">
      <alignment wrapText="1"/>
    </xf>
    <xf numFmtId="0" fontId="26" fillId="4" borderId="24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0" fillId="4" borderId="13" xfId="0" applyFont="1" applyFill="1" applyBorder="1" applyAlignment="1">
      <alignment wrapText="1"/>
    </xf>
    <xf numFmtId="0" fontId="26" fillId="0" borderId="63" xfId="0" applyFont="1" applyFill="1" applyBorder="1"/>
    <xf numFmtId="0" fontId="30" fillId="0" borderId="13" xfId="0" applyFont="1" applyFill="1" applyBorder="1" applyAlignment="1">
      <alignment wrapText="1"/>
    </xf>
    <xf numFmtId="0" fontId="26" fillId="0" borderId="65" xfId="0" applyFont="1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30" fillId="0" borderId="63" xfId="0" applyFont="1" applyFill="1" applyBorder="1" applyAlignment="1">
      <alignment wrapText="1"/>
    </xf>
    <xf numFmtId="0" fontId="26" fillId="9" borderId="66" xfId="0" applyFont="1" applyFill="1" applyBorder="1"/>
    <xf numFmtId="0" fontId="0" fillId="0" borderId="65" xfId="0" applyFont="1" applyFill="1" applyBorder="1" applyAlignment="1">
      <alignment wrapText="1"/>
    </xf>
    <xf numFmtId="0" fontId="30" fillId="4" borderId="6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4" borderId="24" xfId="0" applyFont="1" applyFill="1" applyBorder="1" applyAlignment="1">
      <alignment wrapText="1"/>
    </xf>
    <xf numFmtId="0" fontId="16" fillId="0" borderId="65" xfId="0" applyNumberFormat="1" applyFont="1" applyFill="1" applyBorder="1" applyAlignment="1" applyProtection="1">
      <alignment wrapText="1" shrinkToFit="1"/>
    </xf>
    <xf numFmtId="0" fontId="26" fillId="4" borderId="63" xfId="0" applyFont="1" applyFill="1" applyBorder="1" applyAlignment="1">
      <alignment wrapText="1"/>
    </xf>
    <xf numFmtId="0" fontId="16" fillId="0" borderId="65" xfId="0" applyNumberFormat="1" applyFont="1" applyFill="1" applyBorder="1" applyAlignment="1" applyProtection="1"/>
    <xf numFmtId="0" fontId="26" fillId="7" borderId="63" xfId="0" applyFont="1" applyFill="1" applyBorder="1" applyAlignment="1">
      <alignment wrapText="1"/>
    </xf>
    <xf numFmtId="0" fontId="26" fillId="0" borderId="63" xfId="0" applyFont="1" applyFill="1" applyBorder="1" applyAlignment="1">
      <alignment wrapText="1"/>
    </xf>
    <xf numFmtId="0" fontId="26" fillId="0" borderId="66" xfId="0" applyFont="1" applyBorder="1"/>
    <xf numFmtId="0" fontId="33" fillId="0" borderId="17" xfId="0" applyFont="1" applyBorder="1"/>
    <xf numFmtId="0" fontId="33" fillId="0" borderId="56" xfId="0" applyFont="1" applyBorder="1"/>
    <xf numFmtId="0" fontId="33" fillId="0" borderId="14" xfId="0" applyFont="1" applyBorder="1"/>
    <xf numFmtId="3" fontId="33" fillId="0" borderId="14" xfId="0" applyNumberFormat="1" applyFont="1" applyFill="1" applyBorder="1"/>
    <xf numFmtId="0" fontId="33" fillId="0" borderId="14" xfId="0" applyFont="1" applyFill="1" applyBorder="1"/>
    <xf numFmtId="0" fontId="33" fillId="0" borderId="54" xfId="0" applyFont="1" applyFill="1" applyBorder="1"/>
    <xf numFmtId="0" fontId="33" fillId="0" borderId="54" xfId="0" applyFont="1" applyBorder="1"/>
    <xf numFmtId="0" fontId="26" fillId="0" borderId="32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Fill="1" applyBorder="1"/>
    <xf numFmtId="0" fontId="30" fillId="4" borderId="19" xfId="0" applyFont="1" applyFill="1" applyBorder="1" applyAlignment="1">
      <alignment wrapText="1"/>
    </xf>
    <xf numFmtId="0" fontId="30" fillId="0" borderId="19" xfId="0" applyFont="1" applyFill="1" applyBorder="1" applyAlignment="1">
      <alignment wrapText="1"/>
    </xf>
    <xf numFmtId="0" fontId="33" fillId="0" borderId="64" xfId="0" applyFont="1" applyBorder="1" applyAlignment="1">
      <alignment horizontal="left"/>
    </xf>
    <xf numFmtId="0" fontId="33" fillId="0" borderId="2" xfId="0" applyFont="1" applyBorder="1" applyAlignment="1">
      <alignment textRotation="88" wrapText="1"/>
    </xf>
    <xf numFmtId="0" fontId="26" fillId="9" borderId="37" xfId="0" applyFont="1" applyFill="1" applyBorder="1"/>
    <xf numFmtId="0" fontId="30" fillId="0" borderId="63" xfId="0" applyFont="1" applyFill="1" applyBorder="1"/>
    <xf numFmtId="0" fontId="0" fillId="12" borderId="63" xfId="0" applyFill="1" applyBorder="1"/>
    <xf numFmtId="0" fontId="30" fillId="12" borderId="63" xfId="0" applyFont="1" applyFill="1" applyBorder="1"/>
    <xf numFmtId="0" fontId="26" fillId="9" borderId="50" xfId="0" applyFont="1" applyFill="1" applyBorder="1"/>
    <xf numFmtId="0" fontId="33" fillId="0" borderId="0" xfId="0" applyFont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0" fontId="33" fillId="0" borderId="36" xfId="0" applyFont="1" applyBorder="1"/>
    <xf numFmtId="0" fontId="26" fillId="0" borderId="67" xfId="0" applyFont="1" applyBorder="1"/>
    <xf numFmtId="0" fontId="0" fillId="0" borderId="67" xfId="0" applyBorder="1"/>
    <xf numFmtId="0" fontId="30" fillId="0" borderId="14" xfId="0" applyFont="1" applyFill="1" applyBorder="1" applyAlignment="1">
      <alignment wrapText="1"/>
    </xf>
    <xf numFmtId="0" fontId="0" fillId="0" borderId="67" xfId="0" applyFill="1" applyBorder="1"/>
    <xf numFmtId="0" fontId="33" fillId="0" borderId="14" xfId="0" applyFont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0" fillId="0" borderId="43" xfId="0" applyBorder="1"/>
    <xf numFmtId="0" fontId="0" fillId="0" borderId="32" xfId="0" applyFont="1" applyFill="1" applyBorder="1" applyAlignment="1">
      <alignment wrapText="1"/>
    </xf>
    <xf numFmtId="0" fontId="26" fillId="0" borderId="19" xfId="0" applyFont="1" applyFill="1" applyBorder="1" applyAlignment="1">
      <alignment wrapText="1"/>
    </xf>
    <xf numFmtId="0" fontId="0" fillId="11" borderId="57" xfId="0" applyFill="1" applyBorder="1"/>
    <xf numFmtId="0" fontId="0" fillId="11" borderId="19" xfId="0" applyFill="1" applyBorder="1"/>
    <xf numFmtId="0" fontId="26" fillId="0" borderId="55" xfId="0" applyFont="1" applyFill="1" applyBorder="1"/>
    <xf numFmtId="0" fontId="26" fillId="0" borderId="4" xfId="0" applyFont="1" applyFill="1" applyBorder="1" applyAlignment="1">
      <alignment wrapText="1"/>
    </xf>
    <xf numFmtId="0" fontId="26" fillId="4" borderId="26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30" fillId="4" borderId="5" xfId="0" applyFont="1" applyFill="1" applyBorder="1" applyAlignment="1">
      <alignment wrapText="1"/>
    </xf>
    <xf numFmtId="0" fontId="0" fillId="12" borderId="28" xfId="0" applyFill="1" applyBorder="1"/>
    <xf numFmtId="0" fontId="30" fillId="12" borderId="28" xfId="0" applyFont="1" applyFill="1" applyBorder="1"/>
    <xf numFmtId="0" fontId="0" fillId="12" borderId="5" xfId="0" applyFill="1" applyBorder="1"/>
    <xf numFmtId="0" fontId="30" fillId="0" borderId="5" xfId="0" applyFont="1" applyFill="1" applyBorder="1" applyAlignment="1">
      <alignment wrapText="1"/>
    </xf>
    <xf numFmtId="0" fontId="30" fillId="0" borderId="59" xfId="0" applyFont="1" applyFill="1" applyBorder="1" applyAlignment="1">
      <alignment wrapText="1"/>
    </xf>
    <xf numFmtId="0" fontId="26" fillId="9" borderId="6" xfId="0" applyFont="1" applyFill="1" applyBorder="1"/>
    <xf numFmtId="0" fontId="0" fillId="0" borderId="0" xfId="0" applyFont="1" applyFill="1" applyBorder="1" applyAlignment="1">
      <alignment wrapText="1"/>
    </xf>
    <xf numFmtId="3" fontId="26" fillId="0" borderId="0" xfId="0" applyNumberFormat="1" applyFont="1"/>
    <xf numFmtId="0" fontId="30" fillId="0" borderId="19" xfId="0" applyFont="1" applyFill="1" applyBorder="1"/>
    <xf numFmtId="0" fontId="34" fillId="0" borderId="63" xfId="0" applyFont="1" applyFill="1" applyBorder="1"/>
    <xf numFmtId="0" fontId="31" fillId="12" borderId="5" xfId="0" applyFont="1" applyFill="1" applyBorder="1"/>
    <xf numFmtId="164" fontId="5" fillId="0" borderId="7" xfId="0" applyNumberFormat="1" applyFont="1" applyBorder="1"/>
    <xf numFmtId="164" fontId="4" fillId="0" borderId="7" xfId="0" applyNumberFormat="1" applyFont="1" applyBorder="1"/>
    <xf numFmtId="164" fontId="5" fillId="0" borderId="7" xfId="0" applyNumberFormat="1" applyFont="1" applyFill="1" applyBorder="1"/>
    <xf numFmtId="9" fontId="16" fillId="0" borderId="0" xfId="2" applyFont="1"/>
    <xf numFmtId="169" fontId="0" fillId="0" borderId="0" xfId="0" applyNumberFormat="1" applyFont="1" applyFill="1"/>
    <xf numFmtId="3" fontId="7" fillId="0" borderId="0" xfId="0" applyNumberFormat="1" applyFont="1"/>
    <xf numFmtId="0" fontId="7" fillId="0" borderId="0" xfId="0" applyFont="1"/>
    <xf numFmtId="0" fontId="0" fillId="0" borderId="63" xfId="0" applyBorder="1"/>
    <xf numFmtId="3" fontId="0" fillId="0" borderId="63" xfId="0" applyNumberFormat="1" applyBorder="1"/>
    <xf numFmtId="0" fontId="16" fillId="0" borderId="63" xfId="0" applyFont="1" applyBorder="1"/>
    <xf numFmtId="0" fontId="3" fillId="0" borderId="63" xfId="0" applyFont="1" applyBorder="1"/>
    <xf numFmtId="3" fontId="7" fillId="0" borderId="63" xfId="0" applyNumberFormat="1" applyFont="1" applyBorder="1"/>
    <xf numFmtId="0" fontId="0" fillId="0" borderId="63" xfId="0" applyNumberFormat="1" applyFont="1" applyFill="1" applyBorder="1" applyAlignment="1" applyProtection="1"/>
    <xf numFmtId="0" fontId="7" fillId="0" borderId="63" xfId="0" applyNumberFormat="1" applyFont="1" applyFill="1" applyBorder="1" applyAlignment="1" applyProtection="1"/>
    <xf numFmtId="3" fontId="0" fillId="0" borderId="63" xfId="0" applyNumberFormat="1" applyFont="1" applyBorder="1"/>
    <xf numFmtId="3" fontId="0" fillId="0" borderId="63" xfId="0" applyNumberFormat="1" applyFont="1" applyFill="1" applyBorder="1" applyAlignment="1" applyProtection="1"/>
    <xf numFmtId="0" fontId="7" fillId="0" borderId="63" xfId="0" applyFont="1" applyBorder="1"/>
    <xf numFmtId="0" fontId="4" fillId="3" borderId="61" xfId="0" applyNumberFormat="1" applyFont="1" applyFill="1" applyBorder="1" applyAlignment="1" applyProtection="1">
      <alignment horizontal="center"/>
    </xf>
    <xf numFmtId="0" fontId="0" fillId="3" borderId="62" xfId="0" applyFill="1" applyBorder="1" applyAlignment="1">
      <alignment horizontal="center"/>
    </xf>
    <xf numFmtId="0" fontId="30" fillId="0" borderId="63" xfId="0" applyFont="1" applyFill="1" applyBorder="1" applyAlignment="1">
      <alignment horizontal="right" wrapText="1"/>
    </xf>
    <xf numFmtId="0" fontId="0" fillId="0" borderId="63" xfId="0" applyFill="1" applyBorder="1" applyAlignment="1">
      <alignment wrapText="1"/>
    </xf>
    <xf numFmtId="0" fontId="6" fillId="0" borderId="63" xfId="0" applyFont="1" applyFill="1" applyBorder="1"/>
    <xf numFmtId="0" fontId="0" fillId="0" borderId="63" xfId="0" applyFill="1" applyBorder="1" applyAlignment="1">
      <alignment horizontal="right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S63"/>
  <sheetViews>
    <sheetView tabSelected="1" zoomScaleNormal="100" workbookViewId="0">
      <selection activeCell="B38" sqref="B38"/>
    </sheetView>
  </sheetViews>
  <sheetFormatPr defaultColWidth="7.85546875" defaultRowHeight="12.75" x14ac:dyDescent="0.2"/>
  <cols>
    <col min="1" max="1" width="7.42578125" style="95" customWidth="1"/>
    <col min="2" max="2" width="22.85546875" style="95" customWidth="1"/>
    <col min="3" max="3" width="9.28515625" style="103" customWidth="1"/>
    <col min="4" max="4" width="9.42578125" style="95" customWidth="1"/>
    <col min="5" max="5" width="10.7109375" style="113" customWidth="1"/>
    <col min="6" max="6" width="5.7109375" style="95" customWidth="1"/>
    <col min="7" max="12" width="10.140625" style="95" hidden="1" customWidth="1"/>
    <col min="13" max="13" width="10.140625" style="95" customWidth="1"/>
    <col min="14" max="14" width="9.28515625" style="95" customWidth="1"/>
    <col min="15" max="15" width="15.7109375" style="95" customWidth="1"/>
    <col min="16" max="16" width="9.5703125" style="95" customWidth="1"/>
    <col min="17" max="17" width="9.28515625" style="95" customWidth="1"/>
    <col min="18" max="18" width="9.28515625" style="95" hidden="1" customWidth="1"/>
    <col min="19" max="19" width="9.140625" style="95" hidden="1" customWidth="1"/>
    <col min="20" max="20" width="12.5703125" style="95" customWidth="1"/>
    <col min="21" max="16384" width="7.85546875" style="95"/>
  </cols>
  <sheetData>
    <row r="1" spans="1:19" s="1" customFormat="1" ht="18" x14ac:dyDescent="0.25">
      <c r="B1" s="105" t="s">
        <v>509</v>
      </c>
      <c r="C1" s="2"/>
      <c r="E1" s="202"/>
    </row>
    <row r="2" spans="1:19" s="1" customFormat="1" ht="15.75" x14ac:dyDescent="0.25">
      <c r="B2" s="544" t="s">
        <v>607</v>
      </c>
      <c r="C2" s="171"/>
      <c r="D2" s="171"/>
      <c r="E2" s="203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9" s="1" customFormat="1" ht="15.75" x14ac:dyDescent="0.25">
      <c r="B3" s="544" t="s">
        <v>608</v>
      </c>
      <c r="C3" s="171"/>
      <c r="D3" s="171"/>
      <c r="E3" s="203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9" s="1" customFormat="1" ht="15.75" x14ac:dyDescent="0.25">
      <c r="B4" s="172" t="s">
        <v>609</v>
      </c>
      <c r="C4" s="171"/>
      <c r="D4" s="171"/>
      <c r="E4" s="203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9" s="1" customFormat="1" ht="15.75" x14ac:dyDescent="0.25">
      <c r="B5" s="172"/>
      <c r="C5" s="2"/>
      <c r="E5" s="203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9" ht="13.5" thickBot="1" x14ac:dyDescent="0.25">
      <c r="B6" s="3" t="s">
        <v>147</v>
      </c>
      <c r="O6" s="130"/>
    </row>
    <row r="7" spans="1:19" s="3" customFormat="1" x14ac:dyDescent="0.2">
      <c r="A7" s="212"/>
      <c r="B7" s="4"/>
      <c r="C7" s="5" t="s">
        <v>2</v>
      </c>
      <c r="D7" s="170" t="s">
        <v>130</v>
      </c>
      <c r="E7" s="204" t="s">
        <v>98</v>
      </c>
      <c r="F7" s="6" t="s">
        <v>4</v>
      </c>
      <c r="G7" s="79" t="s">
        <v>5</v>
      </c>
      <c r="H7" s="6" t="s">
        <v>4</v>
      </c>
      <c r="I7" s="79" t="s">
        <v>5</v>
      </c>
      <c r="J7" s="6" t="s">
        <v>4</v>
      </c>
      <c r="K7" s="79" t="s">
        <v>5</v>
      </c>
      <c r="L7" s="6" t="s">
        <v>4</v>
      </c>
      <c r="M7" s="79" t="s">
        <v>5</v>
      </c>
      <c r="N7" s="6" t="s">
        <v>4</v>
      </c>
      <c r="O7" s="219" t="s">
        <v>410</v>
      </c>
      <c r="P7" s="79" t="s">
        <v>2</v>
      </c>
      <c r="Q7" s="165" t="s">
        <v>408</v>
      </c>
      <c r="R7" s="462" t="s">
        <v>333</v>
      </c>
      <c r="S7" s="462" t="s">
        <v>188</v>
      </c>
    </row>
    <row r="8" spans="1:19" s="3" customFormat="1" ht="13.5" thickBot="1" x14ac:dyDescent="0.25">
      <c r="A8" s="213"/>
      <c r="B8" s="7"/>
      <c r="C8" s="8">
        <v>2019</v>
      </c>
      <c r="D8" s="8">
        <v>2019</v>
      </c>
      <c r="E8" s="205" t="s">
        <v>93</v>
      </c>
      <c r="F8" s="82"/>
      <c r="G8" s="80" t="s">
        <v>394</v>
      </c>
      <c r="H8" s="9" t="s">
        <v>6</v>
      </c>
      <c r="I8" s="80" t="s">
        <v>395</v>
      </c>
      <c r="J8" s="9" t="s">
        <v>6</v>
      </c>
      <c r="K8" s="80" t="s">
        <v>396</v>
      </c>
      <c r="L8" s="9" t="s">
        <v>6</v>
      </c>
      <c r="M8" s="80" t="s">
        <v>397</v>
      </c>
      <c r="N8" s="9" t="s">
        <v>6</v>
      </c>
      <c r="O8" s="164" t="s">
        <v>411</v>
      </c>
      <c r="P8" s="163">
        <v>2020</v>
      </c>
      <c r="Q8" s="9" t="s">
        <v>409</v>
      </c>
      <c r="R8" s="463" t="s">
        <v>430</v>
      </c>
      <c r="S8" s="463" t="s">
        <v>431</v>
      </c>
    </row>
    <row r="9" spans="1:19" x14ac:dyDescent="0.2">
      <c r="A9" s="214"/>
      <c r="B9" s="102" t="s">
        <v>7</v>
      </c>
      <c r="C9" s="10">
        <f>příjmy!F154</f>
        <v>93221</v>
      </c>
      <c r="D9" s="16">
        <f>+příjmy!G154</f>
        <v>0</v>
      </c>
      <c r="E9" s="223">
        <f>SUM(C9:D9)</f>
        <v>93221</v>
      </c>
      <c r="F9" s="83">
        <f>C9/C13</f>
        <v>0.52231379953719526</v>
      </c>
      <c r="G9" s="10">
        <f>+příjmy!I154</f>
        <v>25964.357469999995</v>
      </c>
      <c r="H9" s="11">
        <f>G9/$E9*100</f>
        <v>27.852476877527593</v>
      </c>
      <c r="I9" s="10">
        <f>+příjmy!K154</f>
        <v>50266.642540000008</v>
      </c>
      <c r="J9" s="11">
        <f>I9/$E9*100</f>
        <v>53.922016004977422</v>
      </c>
      <c r="K9" s="10">
        <f>příjmy!M154</f>
        <v>74287.547150000013</v>
      </c>
      <c r="L9" s="11">
        <f t="shared" ref="L9:L16" si="0">K9/$E9*100</f>
        <v>79.689712779309403</v>
      </c>
      <c r="M9" s="633">
        <f>+příjmy!O154</f>
        <v>99696.052680000008</v>
      </c>
      <c r="N9" s="11">
        <f t="shared" ref="N9:N16" si="1">M9/$E9*100</f>
        <v>106.94591634932044</v>
      </c>
      <c r="O9" s="228">
        <f>M9-E9</f>
        <v>6475.052680000008</v>
      </c>
      <c r="P9" s="540">
        <f>+příjmy!U154</f>
        <v>102820</v>
      </c>
      <c r="Q9" s="166">
        <f t="shared" ref="Q9:Q16" si="2">P9/C9</f>
        <v>1.1029703607556238</v>
      </c>
      <c r="R9" s="365">
        <f>příjmy!S154</f>
        <v>98689.129966666675</v>
      </c>
      <c r="S9" s="365">
        <f>R9-E9</f>
        <v>5468.1299666666746</v>
      </c>
    </row>
    <row r="10" spans="1:19" x14ac:dyDescent="0.2">
      <c r="A10" s="214"/>
      <c r="B10" s="102" t="s">
        <v>8</v>
      </c>
      <c r="C10" s="10">
        <f>příjmy!F155</f>
        <v>27393</v>
      </c>
      <c r="D10" s="16">
        <f>+příjmy!G155</f>
        <v>1458.2108000000001</v>
      </c>
      <c r="E10" s="223">
        <f>SUM(C10:D10)</f>
        <v>28851.210800000001</v>
      </c>
      <c r="F10" s="83">
        <f>C10/C13</f>
        <v>0.15348196126111488</v>
      </c>
      <c r="G10" s="10">
        <f>+příjmy!I155</f>
        <v>6161.3780099999985</v>
      </c>
      <c r="H10" s="11">
        <f t="shared" ref="H10:H15" si="3">G10/$E10*100</f>
        <v>21.355699948648247</v>
      </c>
      <c r="I10" s="10">
        <f>+příjmy!K155</f>
        <v>12751.447460000001</v>
      </c>
      <c r="J10" s="11">
        <f t="shared" ref="J10:J15" si="4">I10/$E10*100</f>
        <v>44.197269738156017</v>
      </c>
      <c r="K10" s="10">
        <f>příjmy!M155</f>
        <v>20085.434580000001</v>
      </c>
      <c r="L10" s="11">
        <f t="shared" si="0"/>
        <v>69.617302092569361</v>
      </c>
      <c r="M10" s="633">
        <f>+příjmy!O155</f>
        <v>29072.605579999996</v>
      </c>
      <c r="N10" s="11">
        <f t="shared" si="1"/>
        <v>100.76736737856422</v>
      </c>
      <c r="O10" s="228">
        <f t="shared" ref="O10:O18" si="5">M10-E10</f>
        <v>221.39477999999508</v>
      </c>
      <c r="P10" s="540">
        <f>+příjmy!U155</f>
        <v>26505</v>
      </c>
      <c r="Q10" s="166">
        <f t="shared" si="2"/>
        <v>0.9675829591501478</v>
      </c>
      <c r="R10" s="365">
        <f>příjmy!S155</f>
        <v>27982.014039999998</v>
      </c>
      <c r="S10" s="365">
        <f>R10-E10</f>
        <v>-869.19676000000254</v>
      </c>
    </row>
    <row r="11" spans="1:19" x14ac:dyDescent="0.2">
      <c r="A11" s="214"/>
      <c r="B11" s="102" t="s">
        <v>9</v>
      </c>
      <c r="C11" s="10">
        <f>příjmy!F158</f>
        <v>13558</v>
      </c>
      <c r="D11" s="16">
        <f>+příjmy!G158</f>
        <v>325</v>
      </c>
      <c r="E11" s="223">
        <f>SUM(C11:D11)</f>
        <v>13883</v>
      </c>
      <c r="F11" s="83">
        <f>C11/C13</f>
        <v>7.5964970276282101E-2</v>
      </c>
      <c r="G11" s="10">
        <f>+příjmy!I158</f>
        <v>3733.9580000000001</v>
      </c>
      <c r="H11" s="11">
        <f t="shared" si="3"/>
        <v>26.895901462219985</v>
      </c>
      <c r="I11" s="10">
        <f>+příjmy!K158</f>
        <v>6596.6742199999999</v>
      </c>
      <c r="J11" s="11">
        <f t="shared" si="4"/>
        <v>47.516201253331417</v>
      </c>
      <c r="K11" s="10">
        <f>příjmy!M158</f>
        <v>15191.81322</v>
      </c>
      <c r="L11" s="11">
        <f t="shared" si="0"/>
        <v>109.4274524238277</v>
      </c>
      <c r="M11" s="633">
        <f>+příjmy!O158</f>
        <v>22725.478219999997</v>
      </c>
      <c r="N11" s="11">
        <f t="shared" si="1"/>
        <v>163.69284895195563</v>
      </c>
      <c r="O11" s="228">
        <f t="shared" si="5"/>
        <v>8842.4782199999972</v>
      </c>
      <c r="P11" s="540">
        <f>+příjmy!U158</f>
        <v>7115</v>
      </c>
      <c r="Q11" s="166">
        <f t="shared" si="2"/>
        <v>0.52478241628558786</v>
      </c>
      <c r="R11" s="365">
        <f>příjmy!S107</f>
        <v>21618.441219999993</v>
      </c>
      <c r="S11" s="365">
        <f>R11-E11</f>
        <v>7735.4412199999933</v>
      </c>
    </row>
    <row r="12" spans="1:19" x14ac:dyDescent="0.2">
      <c r="A12" s="214"/>
      <c r="B12" s="102" t="s">
        <v>10</v>
      </c>
      <c r="C12" s="10">
        <f>příjmy!F156+příjmy!F159</f>
        <v>44305</v>
      </c>
      <c r="D12" s="16">
        <f>+příjmy!G156+příjmy!G159</f>
        <v>19102.309359999996</v>
      </c>
      <c r="E12" s="223">
        <f>SUM(C12:D12)</f>
        <v>63407.309359999999</v>
      </c>
      <c r="F12" s="83">
        <f>C12/C13</f>
        <v>0.24823926892540776</v>
      </c>
      <c r="G12" s="10">
        <f>+příjmy!I156+příjmy!I159</f>
        <v>6732.8620799999999</v>
      </c>
      <c r="H12" s="11">
        <f t="shared" si="3"/>
        <v>10.618432082922245</v>
      </c>
      <c r="I12" s="10">
        <f>+příjmy!K156+příjmy!K159</f>
        <v>35870.020689999998</v>
      </c>
      <c r="J12" s="11">
        <f t="shared" si="4"/>
        <v>56.570797676250741</v>
      </c>
      <c r="K12" s="10">
        <f>příjmy!M156+příjmy!M159</f>
        <v>51237.611409999998</v>
      </c>
      <c r="L12" s="11">
        <f t="shared" si="0"/>
        <v>80.807105564272447</v>
      </c>
      <c r="M12" s="633">
        <f>+příjmy!O156+příjmy!O159</f>
        <v>63348.170969999999</v>
      </c>
      <c r="N12" s="11">
        <f t="shared" si="1"/>
        <v>99.906732535102165</v>
      </c>
      <c r="O12" s="228">
        <f t="shared" si="5"/>
        <v>-59.138390000000072</v>
      </c>
      <c r="P12" s="540">
        <f>+příjmy!U156+příjmy!U159</f>
        <v>40023</v>
      </c>
      <c r="Q12" s="166">
        <f t="shared" si="2"/>
        <v>0.90335176616634694</v>
      </c>
      <c r="R12" s="365">
        <f>příjmy!S156+příjmy!S159</f>
        <v>63348.357793333329</v>
      </c>
      <c r="S12" s="365">
        <f>R12-E12</f>
        <v>-58.95156666667026</v>
      </c>
    </row>
    <row r="13" spans="1:19" s="3" customFormat="1" x14ac:dyDescent="0.2">
      <c r="A13" s="215"/>
      <c r="B13" s="12" t="s">
        <v>11</v>
      </c>
      <c r="C13" s="13">
        <f>SUM(C9:C12)</f>
        <v>178477</v>
      </c>
      <c r="D13" s="92">
        <f>SUM(D9:D12)</f>
        <v>20885.520159999996</v>
      </c>
      <c r="E13" s="224">
        <f>SUM(E9:E12)</f>
        <v>199362.52016000001</v>
      </c>
      <c r="F13" s="84">
        <f>SUM(F9:F12)</f>
        <v>1</v>
      </c>
      <c r="G13" s="13">
        <f>SUM(G9:G12)</f>
        <v>42592.555559999993</v>
      </c>
      <c r="H13" s="14">
        <f>G13/$E13*100</f>
        <v>21.364374570414235</v>
      </c>
      <c r="I13" s="13">
        <f>SUM(I9:I12)</f>
        <v>105484.78491000002</v>
      </c>
      <c r="J13" s="14">
        <f>I13/$E13*100</f>
        <v>52.91104106496163</v>
      </c>
      <c r="K13" s="13">
        <f>SUM(K9:K12)</f>
        <v>160802.40636000002</v>
      </c>
      <c r="L13" s="14">
        <f t="shared" si="0"/>
        <v>80.658293359728177</v>
      </c>
      <c r="M13" s="634">
        <f>SUM(M9:M12)</f>
        <v>214842.30744999999</v>
      </c>
      <c r="N13" s="14">
        <f t="shared" si="1"/>
        <v>107.76464266080532</v>
      </c>
      <c r="O13" s="229">
        <f t="shared" si="5"/>
        <v>15479.787289999978</v>
      </c>
      <c r="P13" s="541">
        <f>SUM(P9:P12)</f>
        <v>176463</v>
      </c>
      <c r="Q13" s="167">
        <f t="shared" si="2"/>
        <v>0.98871563282663877</v>
      </c>
      <c r="R13" s="366">
        <f>SUM(R9:R12)</f>
        <v>211637.94301999998</v>
      </c>
      <c r="S13" s="366">
        <f>SUM(S9:S12)</f>
        <v>12275.422859999995</v>
      </c>
    </row>
    <row r="14" spans="1:19" x14ac:dyDescent="0.2">
      <c r="A14" s="214"/>
      <c r="B14" s="102" t="s">
        <v>12</v>
      </c>
      <c r="C14" s="10">
        <f>+výdaje!E131</f>
        <v>139399</v>
      </c>
      <c r="D14" s="16">
        <f>+výdaje!H131</f>
        <v>19678.246290000003</v>
      </c>
      <c r="E14" s="223">
        <f>SUM(C14:D14)</f>
        <v>159077.24629000001</v>
      </c>
      <c r="F14" s="83">
        <f>C14/C16</f>
        <v>0.70109288792995061</v>
      </c>
      <c r="G14" s="10">
        <f>+výdaje!M131</f>
        <v>30915.824510000006</v>
      </c>
      <c r="H14" s="11">
        <f t="shared" si="3"/>
        <v>19.434473019252565</v>
      </c>
      <c r="I14" s="10">
        <f>+výdaje!Q131</f>
        <v>62714.898110000002</v>
      </c>
      <c r="J14" s="11">
        <f t="shared" si="4"/>
        <v>39.424178864442929</v>
      </c>
      <c r="K14" s="10">
        <f>výdaje!U131</f>
        <v>103258.99515999999</v>
      </c>
      <c r="L14" s="11">
        <f t="shared" si="0"/>
        <v>64.911228706937393</v>
      </c>
      <c r="M14" s="633">
        <f>+výdaje!Y131</f>
        <v>144311.52682</v>
      </c>
      <c r="N14" s="11">
        <f t="shared" si="1"/>
        <v>90.717893467251827</v>
      </c>
      <c r="O14" s="228">
        <f t="shared" si="5"/>
        <v>-14765.719470000011</v>
      </c>
      <c r="P14" s="540">
        <f>+výdaje!AD131</f>
        <v>160389</v>
      </c>
      <c r="Q14" s="166">
        <f t="shared" si="2"/>
        <v>1.1505749682565871</v>
      </c>
      <c r="R14" s="365">
        <f>výdaje!AP131</f>
        <v>147710.63308</v>
      </c>
      <c r="S14" s="365">
        <f>R14-E14</f>
        <v>-11366.61321000001</v>
      </c>
    </row>
    <row r="15" spans="1:19" x14ac:dyDescent="0.2">
      <c r="A15" s="214"/>
      <c r="B15" s="102" t="s">
        <v>13</v>
      </c>
      <c r="C15" s="10">
        <f>+výdaje!F131</f>
        <v>59432</v>
      </c>
      <c r="D15" s="16">
        <f>+výdaje!I131</f>
        <v>7007.27387</v>
      </c>
      <c r="E15" s="223">
        <f>SUM(C15:D15)</f>
        <v>66439.273870000005</v>
      </c>
      <c r="F15" s="83">
        <f>C15/C16</f>
        <v>0.29890711207004944</v>
      </c>
      <c r="G15" s="10">
        <f>+výdaje!N131</f>
        <v>3319.3806500000001</v>
      </c>
      <c r="H15" s="11">
        <f t="shared" si="3"/>
        <v>4.9961121737948933</v>
      </c>
      <c r="I15" s="10">
        <f>+výdaje!R131</f>
        <v>10865.954</v>
      </c>
      <c r="J15" s="11">
        <f t="shared" si="4"/>
        <v>16.354715166305294</v>
      </c>
      <c r="K15" s="10">
        <f>výdaje!V131</f>
        <v>40491.914379999995</v>
      </c>
      <c r="L15" s="11">
        <f t="shared" si="0"/>
        <v>60.94575094127228</v>
      </c>
      <c r="M15" s="633">
        <f>+výdaje!Z131</f>
        <v>59077.904270000006</v>
      </c>
      <c r="N15" s="11">
        <f t="shared" si="1"/>
        <v>88.920153440563183</v>
      </c>
      <c r="O15" s="228">
        <f t="shared" si="5"/>
        <v>-7361.3695999999982</v>
      </c>
      <c r="P15" s="540">
        <f>+výdaje!AE131</f>
        <v>63661</v>
      </c>
      <c r="Q15" s="166">
        <f t="shared" si="2"/>
        <v>1.0711569524835105</v>
      </c>
      <c r="R15" s="365">
        <f>výdaje!AQ131</f>
        <v>61005.114999999998</v>
      </c>
      <c r="S15" s="365">
        <f>R15-E15</f>
        <v>-5434.1588700000066</v>
      </c>
    </row>
    <row r="16" spans="1:19" s="3" customFormat="1" x14ac:dyDescent="0.2">
      <c r="A16" s="215"/>
      <c r="B16" s="12" t="s">
        <v>14</v>
      </c>
      <c r="C16" s="13">
        <f>SUM(C14:C15)</f>
        <v>198831</v>
      </c>
      <c r="D16" s="92">
        <f>SUM(D14:D15)</f>
        <v>26685.520160000004</v>
      </c>
      <c r="E16" s="224">
        <f>SUM(E14:E15)</f>
        <v>225516.52016000001</v>
      </c>
      <c r="F16" s="84">
        <v>1</v>
      </c>
      <c r="G16" s="13">
        <f>SUM(G14:G15)</f>
        <v>34235.205160000005</v>
      </c>
      <c r="H16" s="14">
        <f>G16/$E16*100</f>
        <v>15.180797014653615</v>
      </c>
      <c r="I16" s="13">
        <f>SUM(I14:I15)</f>
        <v>73580.852110000007</v>
      </c>
      <c r="J16" s="14">
        <f>I16/$E16*100</f>
        <v>32.627699317901715</v>
      </c>
      <c r="K16" s="13">
        <f>SUM(K14:K15)</f>
        <v>143750.90953999999</v>
      </c>
      <c r="L16" s="14">
        <f t="shared" si="0"/>
        <v>63.742961907185894</v>
      </c>
      <c r="M16" s="634">
        <f>SUM(M14:M15)</f>
        <v>203389.43109</v>
      </c>
      <c r="N16" s="14">
        <f t="shared" si="1"/>
        <v>90.188262458864997</v>
      </c>
      <c r="O16" s="229">
        <f t="shared" si="5"/>
        <v>-22127.089070000016</v>
      </c>
      <c r="P16" s="541">
        <f>SUM(P14:P15)</f>
        <v>224050</v>
      </c>
      <c r="Q16" s="167">
        <f t="shared" si="2"/>
        <v>1.1268363585155232</v>
      </c>
      <c r="R16" s="366">
        <f>SUM(R14:R15)</f>
        <v>208715.74807999999</v>
      </c>
      <c r="S16" s="366">
        <f>SUM(S14:S15)</f>
        <v>-16800.772080000017</v>
      </c>
    </row>
    <row r="17" spans="1:19" x14ac:dyDescent="0.2">
      <c r="A17" s="214"/>
      <c r="B17" s="102"/>
      <c r="C17" s="10"/>
      <c r="D17" s="93"/>
      <c r="E17" s="223"/>
      <c r="F17" s="85"/>
      <c r="G17" s="10"/>
      <c r="H17" s="14"/>
      <c r="I17" s="10"/>
      <c r="J17" s="14"/>
      <c r="K17" s="10"/>
      <c r="L17" s="14"/>
      <c r="M17" s="10"/>
      <c r="N17" s="14"/>
      <c r="O17" s="161"/>
      <c r="P17" s="540"/>
      <c r="Q17" s="74"/>
      <c r="R17" s="365"/>
      <c r="S17" s="365"/>
    </row>
    <row r="18" spans="1:19" s="3" customFormat="1" x14ac:dyDescent="0.2">
      <c r="A18" s="215"/>
      <c r="B18" s="12" t="s">
        <v>15</v>
      </c>
      <c r="C18" s="13">
        <f>C13-C16</f>
        <v>-20354</v>
      </c>
      <c r="D18" s="13">
        <f>D13-D16</f>
        <v>-5800.0000000000073</v>
      </c>
      <c r="E18" s="224">
        <f>E13-E16</f>
        <v>-26154</v>
      </c>
      <c r="F18" s="86"/>
      <c r="G18" s="13">
        <f>G13-G16</f>
        <v>8357.3503999999884</v>
      </c>
      <c r="H18" s="14"/>
      <c r="I18" s="13">
        <f>I13-I16</f>
        <v>31903.93280000001</v>
      </c>
      <c r="J18" s="11"/>
      <c r="K18" s="13">
        <f>K13-K16</f>
        <v>17051.496820000029</v>
      </c>
      <c r="L18" s="11"/>
      <c r="M18" s="13">
        <f>M13-M16</f>
        <v>11452.876359999995</v>
      </c>
      <c r="N18" s="11"/>
      <c r="O18" s="229">
        <f t="shared" si="5"/>
        <v>37606.876359999995</v>
      </c>
      <c r="P18" s="541">
        <f>P13-P16</f>
        <v>-47587</v>
      </c>
      <c r="Q18" s="73"/>
      <c r="R18" s="365">
        <f>R13-R16</f>
        <v>2922.1949399999867</v>
      </c>
      <c r="S18" s="365">
        <f>R18-J18</f>
        <v>2922.1949399999867</v>
      </c>
    </row>
    <row r="19" spans="1:19" x14ac:dyDescent="0.2">
      <c r="A19" s="214"/>
      <c r="B19" s="102"/>
      <c r="C19" s="10"/>
      <c r="D19" s="93"/>
      <c r="E19" s="223"/>
      <c r="F19" s="85"/>
      <c r="G19" s="10"/>
      <c r="H19" s="14"/>
      <c r="I19" s="10"/>
      <c r="J19" s="14"/>
      <c r="K19" s="10"/>
      <c r="L19" s="14"/>
      <c r="M19" s="10"/>
      <c r="N19" s="14"/>
      <c r="O19" s="161"/>
      <c r="P19" s="10"/>
      <c r="Q19" s="74"/>
      <c r="R19" s="365"/>
      <c r="S19" s="365"/>
    </row>
    <row r="20" spans="1:19" s="3" customFormat="1" x14ac:dyDescent="0.2">
      <c r="A20" s="216" t="s">
        <v>16</v>
      </c>
      <c r="B20" s="12" t="s">
        <v>17</v>
      </c>
      <c r="C20" s="13"/>
      <c r="D20" s="94"/>
      <c r="E20" s="224"/>
      <c r="F20" s="86"/>
      <c r="G20" s="13"/>
      <c r="H20" s="14"/>
      <c r="I20" s="13"/>
      <c r="J20" s="14"/>
      <c r="K20" s="13"/>
      <c r="L20" s="14"/>
      <c r="M20" s="13"/>
      <c r="N20" s="14"/>
      <c r="O20" s="161"/>
      <c r="P20" s="13"/>
      <c r="Q20" s="73"/>
      <c r="R20" s="365"/>
      <c r="S20" s="365"/>
    </row>
    <row r="21" spans="1:19" x14ac:dyDescent="0.2">
      <c r="A21" s="214">
        <v>8124</v>
      </c>
      <c r="B21" s="102" t="s">
        <v>363</v>
      </c>
      <c r="C21" s="151">
        <v>-2185</v>
      </c>
      <c r="D21" s="162"/>
      <c r="E21" s="223">
        <f>SUM(C21:D21)</f>
        <v>-2185</v>
      </c>
      <c r="F21" s="85"/>
      <c r="G21" s="10">
        <v>-543.01700000000005</v>
      </c>
      <c r="H21" s="11">
        <f>G21/$E21*100</f>
        <v>24.852036613272315</v>
      </c>
      <c r="I21" s="10">
        <v>-1088.1759999999999</v>
      </c>
      <c r="J21" s="11">
        <f>I21/$E21*100</f>
        <v>49.802105263157891</v>
      </c>
      <c r="K21" s="10">
        <v>-1635.4860000000001</v>
      </c>
      <c r="L21" s="11">
        <f>K21/$E21*100</f>
        <v>74.850617848970259</v>
      </c>
      <c r="M21" s="635">
        <v>-2184.9560000000001</v>
      </c>
      <c r="N21" s="11">
        <f>M21/$E21*100</f>
        <v>99.997986270022892</v>
      </c>
      <c r="O21" s="256"/>
      <c r="P21" s="151">
        <v>-2220</v>
      </c>
      <c r="Q21" s="166">
        <f>-P21/C21</f>
        <v>-1.0160183066361557</v>
      </c>
      <c r="R21" s="365">
        <f>E21</f>
        <v>-2185</v>
      </c>
      <c r="S21" s="365">
        <f>R21-E21</f>
        <v>0</v>
      </c>
    </row>
    <row r="22" spans="1:19" x14ac:dyDescent="0.2">
      <c r="A22" s="217"/>
      <c r="B22" s="102"/>
      <c r="C22" s="151"/>
      <c r="D22" s="16"/>
      <c r="E22" s="223"/>
      <c r="F22" s="85"/>
      <c r="G22" s="10"/>
      <c r="H22" s="11"/>
      <c r="I22" s="10"/>
      <c r="J22" s="11"/>
      <c r="K22" s="10"/>
      <c r="L22" s="11"/>
      <c r="M22" s="10"/>
      <c r="N22" s="11"/>
      <c r="O22" s="250"/>
      <c r="P22" s="151"/>
      <c r="Q22" s="166"/>
      <c r="R22" s="365">
        <f>E22</f>
        <v>0</v>
      </c>
      <c r="S22" s="365">
        <f>R22-E22</f>
        <v>0</v>
      </c>
    </row>
    <row r="23" spans="1:19" x14ac:dyDescent="0.2">
      <c r="A23" s="214">
        <v>8223</v>
      </c>
      <c r="B23" s="102" t="s">
        <v>407</v>
      </c>
      <c r="C23" s="16"/>
      <c r="D23" s="16">
        <v>5800</v>
      </c>
      <c r="E23" s="223">
        <f>SUM(C23:D23)</f>
        <v>5800</v>
      </c>
      <c r="F23" s="85"/>
      <c r="G23" s="16"/>
      <c r="H23" s="11"/>
      <c r="I23" s="16">
        <v>0</v>
      </c>
      <c r="J23" s="11"/>
      <c r="K23" s="16">
        <v>0</v>
      </c>
      <c r="L23" s="11"/>
      <c r="M23" s="16">
        <v>0</v>
      </c>
      <c r="N23" s="11">
        <v>0</v>
      </c>
      <c r="O23" s="228">
        <f>M23-E23</f>
        <v>-5800</v>
      </c>
      <c r="P23" s="16">
        <v>18000</v>
      </c>
      <c r="Q23" s="74"/>
      <c r="R23" s="365">
        <v>0</v>
      </c>
      <c r="S23" s="365">
        <f>R23-E23</f>
        <v>-5800</v>
      </c>
    </row>
    <row r="24" spans="1:19" x14ac:dyDescent="0.2">
      <c r="A24" s="214"/>
      <c r="B24" s="102"/>
      <c r="C24" s="17"/>
      <c r="D24" s="16"/>
      <c r="E24" s="223"/>
      <c r="F24" s="85"/>
      <c r="G24" s="17"/>
      <c r="H24" s="11"/>
      <c r="I24" s="17"/>
      <c r="J24" s="11"/>
      <c r="K24" s="17"/>
      <c r="L24" s="11"/>
      <c r="M24" s="17"/>
      <c r="N24" s="11"/>
      <c r="O24" s="161"/>
      <c r="P24" s="17"/>
      <c r="Q24" s="74"/>
      <c r="R24" s="365">
        <f>E24</f>
        <v>0</v>
      </c>
      <c r="S24" s="365">
        <f>R24-E24</f>
        <v>0</v>
      </c>
    </row>
    <row r="25" spans="1:19" x14ac:dyDescent="0.2">
      <c r="A25" s="214">
        <v>8115</v>
      </c>
      <c r="B25" s="102" t="s">
        <v>597</v>
      </c>
      <c r="C25" s="151">
        <v>22539</v>
      </c>
      <c r="D25" s="16"/>
      <c r="E25" s="223">
        <f>SUM(C25:D25)</f>
        <v>22539</v>
      </c>
      <c r="F25" s="85"/>
      <c r="G25" s="10"/>
      <c r="H25" s="11">
        <f>G25/$E25*100</f>
        <v>0</v>
      </c>
      <c r="I25" s="10">
        <f>C25/2</f>
        <v>11269.5</v>
      </c>
      <c r="J25" s="11">
        <f>I25/$E25*100</f>
        <v>50</v>
      </c>
      <c r="K25" s="10">
        <f>E25/4*3</f>
        <v>16904.25</v>
      </c>
      <c r="L25" s="11">
        <f>K25/$E25*100</f>
        <v>75</v>
      </c>
      <c r="M25" s="10">
        <v>22539</v>
      </c>
      <c r="N25" s="11">
        <f>M25/$E25*100</f>
        <v>100</v>
      </c>
      <c r="O25" s="228">
        <f>M25-E25</f>
        <v>0</v>
      </c>
      <c r="P25" s="151">
        <v>31807</v>
      </c>
      <c r="Q25" s="132"/>
      <c r="R25" s="365">
        <f>E25</f>
        <v>22539</v>
      </c>
      <c r="S25" s="365">
        <f>R25-E25</f>
        <v>0</v>
      </c>
    </row>
    <row r="26" spans="1:19" x14ac:dyDescent="0.2">
      <c r="A26" s="214"/>
      <c r="B26" s="102"/>
      <c r="C26" s="10"/>
      <c r="D26" s="162"/>
      <c r="E26" s="223"/>
      <c r="F26" s="85"/>
      <c r="G26" s="10"/>
      <c r="H26" s="14"/>
      <c r="I26" s="10"/>
      <c r="J26" s="14"/>
      <c r="K26" s="10"/>
      <c r="L26" s="14"/>
      <c r="M26" s="10"/>
      <c r="N26" s="14"/>
      <c r="O26" s="161"/>
      <c r="P26" s="151"/>
      <c r="Q26" s="74"/>
      <c r="R26" s="365"/>
      <c r="S26" s="365"/>
    </row>
    <row r="27" spans="1:19" x14ac:dyDescent="0.2">
      <c r="A27" s="214">
        <v>8115</v>
      </c>
      <c r="B27" s="12" t="s">
        <v>132</v>
      </c>
      <c r="C27" s="92">
        <f>-C21-C23+C29-C25-C22</f>
        <v>0</v>
      </c>
      <c r="D27" s="482">
        <f>-D21-D23+D29-D25-D22</f>
        <v>7.2759576141834259E-12</v>
      </c>
      <c r="E27" s="92">
        <f>-E21-E23+E29-E25-E22</f>
        <v>0</v>
      </c>
      <c r="F27" s="85"/>
      <c r="G27" s="92">
        <f>-G21-G23+G29-G25-G22</f>
        <v>-7814.3333999999886</v>
      </c>
      <c r="H27" s="85"/>
      <c r="I27" s="92">
        <f>-I21-I23+I29-I25-I22</f>
        <v>-42085.25680000001</v>
      </c>
      <c r="J27" s="85"/>
      <c r="K27" s="92">
        <f>-K21-K23+K29-K25-K22</f>
        <v>-32320.260820000029</v>
      </c>
      <c r="L27" s="85"/>
      <c r="M27" s="92">
        <f>-M21-M23+M29-M25-M22</f>
        <v>-31806.920359999996</v>
      </c>
      <c r="N27" s="85"/>
      <c r="O27" s="228">
        <f>-O21-O23+O29-O25-O22</f>
        <v>-31806.876359999995</v>
      </c>
      <c r="P27" s="92">
        <f>-P21-P23+P29-P25-P22</f>
        <v>0</v>
      </c>
      <c r="Q27" s="74"/>
      <c r="R27" s="366">
        <f>-R21-R23+R29-R25-R22</f>
        <v>-23276.194939999987</v>
      </c>
      <c r="S27" s="365">
        <f>E27-R27</f>
        <v>23276.194939999987</v>
      </c>
    </row>
    <row r="28" spans="1:19" s="3" customFormat="1" x14ac:dyDescent="0.2">
      <c r="A28" s="215"/>
      <c r="B28" s="102"/>
      <c r="C28" s="13"/>
      <c r="D28" s="18"/>
      <c r="E28" s="225"/>
      <c r="F28" s="87"/>
      <c r="G28" s="13"/>
      <c r="H28" s="14"/>
      <c r="I28" s="13"/>
      <c r="J28" s="14"/>
      <c r="K28" s="13"/>
      <c r="L28" s="14"/>
      <c r="M28" s="13"/>
      <c r="N28" s="14"/>
      <c r="O28" s="161"/>
      <c r="P28" s="13"/>
      <c r="Q28" s="73"/>
      <c r="R28" s="365"/>
      <c r="S28" s="365"/>
    </row>
    <row r="29" spans="1:19" ht="13.5" thickBot="1" x14ac:dyDescent="0.25">
      <c r="A29" s="218"/>
      <c r="B29" s="128" t="s">
        <v>18</v>
      </c>
      <c r="C29" s="81">
        <f>-C18</f>
        <v>20354</v>
      </c>
      <c r="D29" s="176">
        <f>-D18</f>
        <v>5800.0000000000073</v>
      </c>
      <c r="E29" s="226">
        <f>-E18</f>
        <v>26154</v>
      </c>
      <c r="F29" s="88"/>
      <c r="G29" s="81">
        <f>-G18</f>
        <v>-8357.3503999999884</v>
      </c>
      <c r="H29" s="19"/>
      <c r="I29" s="81">
        <f>-I18</f>
        <v>-31903.93280000001</v>
      </c>
      <c r="J29" s="19"/>
      <c r="K29" s="81">
        <f>-K18</f>
        <v>-17051.496820000029</v>
      </c>
      <c r="L29" s="19"/>
      <c r="M29" s="81">
        <f>-M18</f>
        <v>-11452.876359999995</v>
      </c>
      <c r="N29" s="19"/>
      <c r="O29" s="81">
        <f>-O18</f>
        <v>-37606.876359999995</v>
      </c>
      <c r="P29" s="81">
        <f>-P18</f>
        <v>47587</v>
      </c>
      <c r="Q29" s="168"/>
      <c r="R29" s="464">
        <f>-R18</f>
        <v>-2922.1949399999867</v>
      </c>
      <c r="S29" s="464">
        <f>R29-J29</f>
        <v>-2922.1949399999867</v>
      </c>
    </row>
    <row r="30" spans="1:19" x14ac:dyDescent="0.2">
      <c r="C30" s="20"/>
      <c r="E30" s="66"/>
      <c r="F30" s="21"/>
      <c r="G30" s="21"/>
      <c r="H30" s="21"/>
      <c r="I30" s="21"/>
      <c r="J30" s="21"/>
      <c r="K30" s="21"/>
      <c r="L30" s="21"/>
      <c r="M30" s="21"/>
      <c r="N30" s="21"/>
      <c r="P30" s="21"/>
    </row>
    <row r="31" spans="1:19" x14ac:dyDescent="0.2">
      <c r="B31" s="342"/>
      <c r="C31" s="329"/>
      <c r="D31" s="117"/>
      <c r="E31" s="146"/>
      <c r="F31" s="341"/>
      <c r="H31" s="117"/>
      <c r="J31" s="117"/>
      <c r="L31" s="117"/>
      <c r="M31" s="146"/>
      <c r="N31" s="117"/>
      <c r="O31" s="117"/>
      <c r="P31" s="492"/>
    </row>
    <row r="32" spans="1:19" ht="15" customHeight="1" x14ac:dyDescent="0.2">
      <c r="B32" s="637" t="s">
        <v>606</v>
      </c>
      <c r="C32" s="98"/>
      <c r="D32" s="98"/>
      <c r="E32" s="440"/>
      <c r="F32" s="341"/>
      <c r="G32" s="117"/>
      <c r="H32" s="117"/>
      <c r="I32" s="117"/>
      <c r="J32" s="117"/>
      <c r="K32" s="117"/>
      <c r="L32" s="117"/>
      <c r="M32" s="146"/>
      <c r="N32" s="117"/>
      <c r="O32" s="117" t="s">
        <v>610</v>
      </c>
      <c r="P32" s="492"/>
    </row>
    <row r="33" spans="2:16" x14ac:dyDescent="0.2">
      <c r="B33" s="342"/>
      <c r="C33" s="98"/>
      <c r="D33" s="98"/>
      <c r="E33" s="440"/>
      <c r="F33" s="341"/>
      <c r="G33" s="117"/>
      <c r="H33" s="117"/>
      <c r="I33" s="117"/>
      <c r="J33" s="117"/>
      <c r="K33" s="117"/>
      <c r="L33" s="117"/>
      <c r="M33" s="146"/>
      <c r="N33" s="117"/>
      <c r="O33" s="117" t="s">
        <v>611</v>
      </c>
      <c r="P33" s="146"/>
    </row>
    <row r="34" spans="2:16" x14ac:dyDescent="0.2">
      <c r="B34" s="342"/>
      <c r="C34" s="483"/>
      <c r="D34" s="483"/>
      <c r="E34" s="491"/>
      <c r="F34" s="341"/>
      <c r="G34" s="117"/>
      <c r="H34" s="117"/>
      <c r="I34" s="117"/>
      <c r="J34" s="117"/>
      <c r="K34" s="117"/>
      <c r="L34" s="117"/>
      <c r="M34" s="146"/>
      <c r="N34" s="117"/>
      <c r="O34" s="117"/>
      <c r="P34" s="117"/>
    </row>
    <row r="35" spans="2:16" x14ac:dyDescent="0.2">
      <c r="B35" s="342"/>
      <c r="C35" s="329"/>
      <c r="D35" s="117"/>
      <c r="E35" s="491"/>
      <c r="F35" s="341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16" x14ac:dyDescent="0.2">
      <c r="B36" s="342"/>
      <c r="C36" s="329"/>
      <c r="D36" s="117"/>
      <c r="E36" s="491"/>
      <c r="F36" s="341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16" x14ac:dyDescent="0.2">
      <c r="B37" s="637" t="s">
        <v>620</v>
      </c>
      <c r="C37" s="329"/>
      <c r="D37" s="117"/>
      <c r="E37" s="146"/>
      <c r="F37" s="341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16" x14ac:dyDescent="0.2">
      <c r="B38" s="342"/>
      <c r="C38" s="329"/>
      <c r="D38" s="117"/>
      <c r="E38" s="146"/>
      <c r="F38" s="341"/>
      <c r="G38" s="117"/>
      <c r="H38" s="117"/>
      <c r="I38" s="117"/>
      <c r="J38" s="117"/>
      <c r="K38" s="117"/>
      <c r="L38" s="117"/>
      <c r="M38" s="146"/>
      <c r="N38" s="117"/>
      <c r="O38" s="117"/>
      <c r="P38" s="117"/>
    </row>
    <row r="39" spans="2:16" x14ac:dyDescent="0.2">
      <c r="B39" s="342"/>
      <c r="C39" s="329"/>
      <c r="D39" s="117"/>
      <c r="E39" s="146"/>
      <c r="F39" s="341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2:16" x14ac:dyDescent="0.2">
      <c r="B40" s="343"/>
      <c r="C40" s="329"/>
      <c r="D40" s="117"/>
      <c r="E40" s="146"/>
      <c r="F40" s="341"/>
      <c r="G40" s="117"/>
      <c r="H40" s="117"/>
      <c r="I40" s="117"/>
      <c r="J40" s="117"/>
      <c r="K40" s="117"/>
      <c r="L40" s="117"/>
      <c r="M40" s="117"/>
      <c r="N40" s="117"/>
      <c r="O40" s="117"/>
      <c r="P40" s="117"/>
    </row>
    <row r="41" spans="2:16" x14ac:dyDescent="0.2">
      <c r="B41" s="343"/>
      <c r="C41" s="329"/>
      <c r="D41" s="117"/>
      <c r="E41" s="146"/>
      <c r="F41" s="341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2:16" x14ac:dyDescent="0.2">
      <c r="B42" s="342"/>
      <c r="C42" s="329"/>
      <c r="D42" s="117"/>
      <c r="E42" s="146"/>
      <c r="F42" s="341"/>
      <c r="G42" s="117"/>
      <c r="H42" s="117"/>
      <c r="I42" s="117"/>
      <c r="J42" s="117"/>
      <c r="K42" s="117"/>
      <c r="L42" s="117"/>
      <c r="M42" s="117"/>
      <c r="N42" s="117"/>
      <c r="O42" s="117"/>
      <c r="P42" s="117"/>
    </row>
    <row r="43" spans="2:16" x14ac:dyDescent="0.2">
      <c r="B43" s="342"/>
      <c r="C43" s="329"/>
      <c r="D43" s="117"/>
      <c r="E43" s="146"/>
      <c r="F43" s="341"/>
      <c r="G43" s="117"/>
      <c r="H43" s="117"/>
      <c r="I43" s="117"/>
      <c r="J43" s="117"/>
      <c r="K43" s="117"/>
      <c r="L43" s="117"/>
      <c r="M43" s="117"/>
      <c r="N43" s="117"/>
      <c r="O43" s="117"/>
      <c r="P43" s="117"/>
    </row>
    <row r="44" spans="2:16" x14ac:dyDescent="0.2">
      <c r="B44" s="342"/>
      <c r="C44" s="329"/>
      <c r="D44" s="117"/>
      <c r="E44" s="146"/>
      <c r="F44" s="341"/>
      <c r="G44" s="117"/>
      <c r="H44" s="117"/>
      <c r="I44" s="117"/>
      <c r="J44" s="117"/>
      <c r="K44" s="117"/>
      <c r="L44" s="117"/>
      <c r="M44" s="117"/>
      <c r="N44" s="117"/>
      <c r="O44" s="117"/>
      <c r="P44" s="117"/>
    </row>
    <row r="45" spans="2:16" x14ac:dyDescent="0.2">
      <c r="B45" s="342"/>
      <c r="C45" s="329"/>
      <c r="D45" s="117"/>
      <c r="E45" s="146"/>
      <c r="F45" s="341"/>
      <c r="G45" s="117"/>
      <c r="H45" s="117"/>
      <c r="I45" s="117"/>
      <c r="J45" s="117"/>
      <c r="K45" s="117"/>
      <c r="L45" s="117"/>
      <c r="M45" s="117"/>
      <c r="N45" s="117"/>
      <c r="O45" s="117"/>
      <c r="P45" s="117"/>
    </row>
    <row r="46" spans="2:16" x14ac:dyDescent="0.2">
      <c r="B46" s="342"/>
      <c r="C46" s="329"/>
      <c r="D46" s="117"/>
      <c r="E46" s="146"/>
      <c r="F46" s="341"/>
      <c r="G46" s="117"/>
      <c r="H46" s="117"/>
      <c r="I46" s="117"/>
      <c r="J46" s="117"/>
      <c r="K46" s="117"/>
      <c r="L46" s="117"/>
      <c r="M46" s="117"/>
      <c r="N46" s="117"/>
      <c r="O46" s="117"/>
      <c r="P46" s="117"/>
    </row>
    <row r="47" spans="2:16" x14ac:dyDescent="0.2">
      <c r="B47" s="342"/>
      <c r="C47" s="329"/>
      <c r="D47" s="117"/>
      <c r="E47" s="146"/>
      <c r="F47" s="341"/>
      <c r="G47" s="117"/>
      <c r="H47" s="117"/>
      <c r="I47" s="117"/>
      <c r="J47" s="117"/>
      <c r="K47" s="117"/>
      <c r="L47" s="117"/>
      <c r="M47" s="117"/>
      <c r="N47" s="117"/>
      <c r="O47" s="117"/>
      <c r="P47" s="117"/>
    </row>
    <row r="48" spans="2:16" x14ac:dyDescent="0.2">
      <c r="B48" s="342"/>
      <c r="C48" s="329"/>
      <c r="D48" s="117"/>
      <c r="E48" s="146"/>
      <c r="F48" s="341"/>
      <c r="G48" s="117"/>
      <c r="H48" s="117"/>
      <c r="I48" s="117"/>
      <c r="J48" s="117"/>
      <c r="K48" s="117"/>
      <c r="L48" s="117"/>
      <c r="M48" s="117"/>
      <c r="N48" s="117"/>
      <c r="O48" s="117"/>
      <c r="P48" s="117"/>
    </row>
    <row r="49" spans="2:16" x14ac:dyDescent="0.2">
      <c r="B49" s="342"/>
      <c r="C49" s="329"/>
      <c r="D49" s="117"/>
      <c r="E49" s="146"/>
      <c r="F49" s="341"/>
      <c r="G49" s="117"/>
      <c r="H49" s="117"/>
      <c r="I49" s="117"/>
      <c r="J49" s="117"/>
      <c r="K49" s="117"/>
      <c r="L49" s="117"/>
      <c r="M49" s="117"/>
      <c r="N49" s="117"/>
      <c r="O49" s="117"/>
      <c r="P49" s="117"/>
    </row>
    <row r="50" spans="2:16" x14ac:dyDescent="0.2">
      <c r="B50" s="342"/>
      <c r="C50" s="329"/>
      <c r="D50" s="117"/>
      <c r="E50" s="146"/>
      <c r="F50" s="341"/>
      <c r="G50" s="117"/>
      <c r="H50" s="117"/>
      <c r="I50" s="117"/>
      <c r="J50" s="117"/>
      <c r="K50" s="117"/>
      <c r="L50" s="117"/>
      <c r="M50" s="117"/>
      <c r="N50" s="117"/>
      <c r="O50" s="117"/>
      <c r="P50" s="117"/>
    </row>
    <row r="51" spans="2:16" x14ac:dyDescent="0.2">
      <c r="B51" s="342"/>
      <c r="C51" s="329"/>
      <c r="D51" s="117"/>
      <c r="E51" s="146"/>
      <c r="F51" s="341"/>
      <c r="G51" s="117"/>
      <c r="H51" s="117"/>
      <c r="I51" s="117"/>
      <c r="J51" s="117"/>
      <c r="K51" s="117"/>
      <c r="L51" s="117"/>
      <c r="M51" s="117"/>
      <c r="N51" s="117"/>
      <c r="O51" s="117"/>
      <c r="P51" s="117"/>
    </row>
    <row r="52" spans="2:16" x14ac:dyDescent="0.2">
      <c r="B52" s="342"/>
      <c r="C52" s="329"/>
      <c r="D52" s="117"/>
      <c r="E52" s="146"/>
      <c r="F52" s="341"/>
      <c r="G52" s="117"/>
      <c r="H52" s="117"/>
      <c r="I52" s="117"/>
      <c r="J52" s="117"/>
      <c r="K52" s="117"/>
      <c r="L52" s="117"/>
      <c r="M52" s="117"/>
      <c r="N52" s="117"/>
      <c r="O52" s="117"/>
      <c r="P52" s="117"/>
    </row>
    <row r="53" spans="2:16" x14ac:dyDescent="0.2">
      <c r="B53" s="343"/>
      <c r="C53" s="329"/>
      <c r="D53" s="117"/>
      <c r="E53" s="146"/>
      <c r="F53" s="341"/>
      <c r="G53" s="117"/>
      <c r="H53" s="117"/>
      <c r="I53" s="117"/>
      <c r="J53" s="117"/>
      <c r="K53" s="117"/>
      <c r="L53" s="117"/>
      <c r="M53" s="117"/>
      <c r="N53" s="117"/>
      <c r="O53" s="117"/>
      <c r="P53" s="117"/>
    </row>
    <row r="54" spans="2:16" x14ac:dyDescent="0.2">
      <c r="B54" s="343"/>
      <c r="C54" s="329"/>
      <c r="D54" s="117"/>
      <c r="E54" s="146"/>
      <c r="F54" s="341"/>
      <c r="G54" s="117"/>
      <c r="H54" s="117"/>
      <c r="I54" s="117"/>
      <c r="J54" s="117"/>
      <c r="K54" s="117"/>
      <c r="L54" s="117"/>
      <c r="M54" s="117"/>
      <c r="N54" s="117"/>
      <c r="O54" s="117"/>
      <c r="P54" s="117"/>
    </row>
    <row r="55" spans="2:16" x14ac:dyDescent="0.2">
      <c r="B55" s="343"/>
      <c r="C55" s="329"/>
      <c r="D55" s="117"/>
      <c r="E55" s="146"/>
      <c r="F55" s="341"/>
      <c r="G55" s="117"/>
      <c r="H55" s="117"/>
      <c r="I55" s="117"/>
      <c r="J55" s="117"/>
      <c r="K55" s="117"/>
      <c r="L55" s="117"/>
      <c r="M55" s="117"/>
      <c r="N55" s="117"/>
      <c r="O55" s="117"/>
      <c r="P55" s="117"/>
    </row>
    <row r="56" spans="2:16" x14ac:dyDescent="0.2">
      <c r="B56" s="343"/>
      <c r="C56" s="329"/>
      <c r="D56" s="117"/>
      <c r="E56" s="146"/>
      <c r="F56" s="341"/>
      <c r="G56" s="117"/>
      <c r="H56" s="117"/>
      <c r="I56" s="117"/>
      <c r="J56" s="117"/>
      <c r="K56" s="117"/>
      <c r="L56" s="117"/>
      <c r="M56" s="117"/>
      <c r="N56" s="117"/>
      <c r="O56" s="117"/>
      <c r="P56" s="117"/>
    </row>
    <row r="57" spans="2:16" x14ac:dyDescent="0.2">
      <c r="B57" s="343"/>
      <c r="C57" s="329"/>
      <c r="D57" s="117"/>
      <c r="E57" s="146"/>
      <c r="F57" s="341"/>
      <c r="G57" s="117"/>
      <c r="H57" s="117"/>
      <c r="I57" s="117"/>
      <c r="J57" s="117"/>
      <c r="K57" s="117"/>
      <c r="L57" s="117"/>
      <c r="M57" s="117"/>
      <c r="N57" s="117"/>
      <c r="O57" s="117"/>
      <c r="P57" s="117"/>
    </row>
    <row r="58" spans="2:16" x14ac:dyDescent="0.2">
      <c r="B58" s="343"/>
      <c r="C58" s="329"/>
      <c r="D58" s="117"/>
      <c r="E58" s="146"/>
      <c r="F58" s="341"/>
      <c r="G58" s="117"/>
      <c r="H58" s="117"/>
      <c r="I58" s="117"/>
      <c r="J58" s="117"/>
      <c r="K58" s="117"/>
      <c r="L58" s="117"/>
      <c r="M58" s="117"/>
      <c r="N58" s="117"/>
      <c r="O58" s="117"/>
      <c r="P58" s="117"/>
    </row>
    <row r="59" spans="2:16" x14ac:dyDescent="0.2">
      <c r="B59" s="343"/>
      <c r="C59" s="329"/>
      <c r="D59" s="117"/>
      <c r="E59" s="146"/>
      <c r="F59" s="341"/>
      <c r="G59" s="117"/>
      <c r="H59" s="117"/>
      <c r="I59" s="117"/>
      <c r="J59" s="117"/>
      <c r="K59" s="117"/>
      <c r="L59" s="117"/>
      <c r="M59" s="117"/>
      <c r="N59" s="117"/>
      <c r="O59" s="117"/>
      <c r="P59" s="117"/>
    </row>
    <row r="60" spans="2:16" x14ac:dyDescent="0.2">
      <c r="B60" s="343"/>
      <c r="C60" s="329"/>
      <c r="D60" s="117"/>
      <c r="E60" s="146"/>
      <c r="F60" s="341"/>
      <c r="G60" s="117"/>
      <c r="H60" s="117"/>
      <c r="I60" s="117"/>
      <c r="J60" s="117"/>
      <c r="K60" s="117"/>
      <c r="L60" s="117"/>
      <c r="M60" s="117"/>
      <c r="N60" s="117"/>
      <c r="O60" s="117"/>
      <c r="P60" s="117"/>
    </row>
    <row r="61" spans="2:16" x14ac:dyDescent="0.2">
      <c r="B61" s="343"/>
      <c r="C61" s="329"/>
      <c r="D61" s="117"/>
      <c r="E61" s="146"/>
      <c r="F61" s="341"/>
      <c r="G61" s="117"/>
      <c r="H61" s="117"/>
      <c r="I61" s="117"/>
      <c r="J61" s="117"/>
      <c r="K61" s="117"/>
      <c r="L61" s="117"/>
      <c r="M61" s="117"/>
      <c r="N61" s="117"/>
      <c r="O61" s="117"/>
      <c r="P61" s="117"/>
    </row>
    <row r="62" spans="2:16" x14ac:dyDescent="0.2">
      <c r="B62" s="343"/>
      <c r="C62" s="329"/>
      <c r="D62" s="117"/>
      <c r="E62" s="146"/>
      <c r="F62" s="341"/>
      <c r="G62" s="117"/>
      <c r="H62" s="117"/>
      <c r="I62" s="117"/>
      <c r="J62" s="117"/>
      <c r="K62" s="117"/>
      <c r="L62" s="117"/>
      <c r="M62" s="117"/>
      <c r="N62" s="117"/>
      <c r="O62" s="117"/>
      <c r="P62" s="117"/>
    </row>
    <row r="63" spans="2:16" x14ac:dyDescent="0.2">
      <c r="B63" s="117"/>
      <c r="C63" s="329"/>
      <c r="D63" s="117"/>
      <c r="E63" s="146"/>
      <c r="F63" s="329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</sheetData>
  <phoneticPr fontId="6" type="noConversion"/>
  <pageMargins left="0.35433070866141736" right="0.27559055118110237" top="0.59055118110236227" bottom="0" header="0.23622047244094491" footer="0.59055118110236227"/>
  <pageSetup paperSize="9" orientation="landscape" r:id="rId1"/>
  <headerFooter alignWithMargins="0">
    <oddHeader>&amp;R&amp;P. strana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AH189"/>
  <sheetViews>
    <sheetView zoomScaleNormal="100" workbookViewId="0">
      <pane ySplit="3" topLeftCell="A4" activePane="bottomLeft" state="frozen"/>
      <selection pane="bottomLeft" activeCell="R15" sqref="R15"/>
    </sheetView>
  </sheetViews>
  <sheetFormatPr defaultColWidth="7.85546875" defaultRowHeight="12.75" x14ac:dyDescent="0.2"/>
  <cols>
    <col min="1" max="1" width="4" style="95" customWidth="1"/>
    <col min="2" max="2" width="4.42578125" style="95" customWidth="1"/>
    <col min="3" max="4" width="5.28515625" style="95" customWidth="1"/>
    <col min="5" max="5" width="32.7109375" style="95" customWidth="1"/>
    <col min="6" max="6" width="7.42578125" style="113" customWidth="1"/>
    <col min="7" max="7" width="7.140625" style="113" customWidth="1"/>
    <col min="8" max="8" width="9.28515625" style="145" customWidth="1"/>
    <col min="9" max="9" width="8.7109375" style="113" hidden="1" customWidth="1"/>
    <col min="10" max="10" width="5.7109375" style="95" hidden="1" customWidth="1"/>
    <col min="11" max="11" width="7.28515625" style="113" hidden="1" customWidth="1"/>
    <col min="12" max="12" width="7.28515625" style="95" hidden="1" customWidth="1"/>
    <col min="13" max="13" width="7.5703125" style="113" hidden="1" customWidth="1"/>
    <col min="14" max="14" width="5.85546875" style="95" hidden="1" customWidth="1"/>
    <col min="15" max="15" width="7.28515625" style="113" bestFit="1" customWidth="1"/>
    <col min="16" max="16" width="6.7109375" style="95" customWidth="1"/>
    <col min="17" max="17" width="7.140625" style="178" bestFit="1" customWidth="1"/>
    <col min="18" max="18" width="22.85546875" style="249" customWidth="1"/>
    <col min="19" max="20" width="8.140625" style="178" hidden="1" customWidth="1"/>
    <col min="21" max="21" width="8.140625" style="113" customWidth="1"/>
    <col min="22" max="22" width="7.28515625" style="95" customWidth="1"/>
    <col min="23" max="23" width="8.5703125" style="95" customWidth="1"/>
    <col min="24" max="24" width="8.140625" style="95" bestFit="1" customWidth="1"/>
    <col min="25" max="25" width="7.85546875" style="95"/>
    <col min="26" max="26" width="8.140625" style="95" bestFit="1" customWidth="1"/>
    <col min="27" max="16384" width="7.85546875" style="95"/>
  </cols>
  <sheetData>
    <row r="1" spans="1:28" ht="18" x14ac:dyDescent="0.25">
      <c r="A1" s="105" t="s">
        <v>510</v>
      </c>
      <c r="B1" s="23"/>
      <c r="C1" s="106"/>
      <c r="D1" s="23"/>
      <c r="E1" s="23"/>
      <c r="F1" s="149"/>
      <c r="G1" s="149"/>
      <c r="H1" s="142"/>
      <c r="I1" s="149"/>
      <c r="J1" s="108"/>
      <c r="K1" s="149"/>
      <c r="L1" s="108"/>
      <c r="M1" s="149"/>
      <c r="N1" s="108"/>
      <c r="O1" s="149"/>
      <c r="P1" s="108"/>
      <c r="Q1" s="107"/>
      <c r="R1" s="536"/>
      <c r="S1" s="107"/>
      <c r="T1" s="107"/>
      <c r="U1" s="149"/>
      <c r="V1" s="108"/>
    </row>
    <row r="2" spans="1:28" x14ac:dyDescent="0.2">
      <c r="A2" s="24"/>
      <c r="B2" s="24"/>
      <c r="C2" s="24"/>
      <c r="D2" s="24"/>
      <c r="E2" s="516"/>
      <c r="F2" s="174"/>
      <c r="G2" s="174"/>
      <c r="H2" s="143" t="s">
        <v>98</v>
      </c>
      <c r="I2" s="174" t="s">
        <v>5</v>
      </c>
      <c r="J2" s="25" t="s">
        <v>5</v>
      </c>
      <c r="K2" s="174" t="s">
        <v>5</v>
      </c>
      <c r="L2" s="25" t="s">
        <v>5</v>
      </c>
      <c r="M2" s="174" t="s">
        <v>5</v>
      </c>
      <c r="N2" s="25" t="s">
        <v>5</v>
      </c>
      <c r="O2" s="174" t="s">
        <v>5</v>
      </c>
      <c r="P2" s="25" t="s">
        <v>5</v>
      </c>
      <c r="Q2" s="252" t="s">
        <v>188</v>
      </c>
      <c r="R2" s="231" t="s">
        <v>19</v>
      </c>
      <c r="S2" s="252" t="s">
        <v>260</v>
      </c>
      <c r="T2" s="252" t="s">
        <v>188</v>
      </c>
      <c r="U2" s="174" t="s">
        <v>393</v>
      </c>
      <c r="V2" s="25" t="s">
        <v>435</v>
      </c>
    </row>
    <row r="3" spans="1:28" ht="13.5" thickBot="1" x14ac:dyDescent="0.25">
      <c r="A3" s="26"/>
      <c r="B3" s="26" t="s">
        <v>20</v>
      </c>
      <c r="C3" s="27" t="s">
        <v>21</v>
      </c>
      <c r="D3" s="26" t="s">
        <v>22</v>
      </c>
      <c r="E3" s="26" t="s">
        <v>23</v>
      </c>
      <c r="F3" s="398" t="s">
        <v>357</v>
      </c>
      <c r="G3" s="398" t="s">
        <v>130</v>
      </c>
      <c r="H3" s="141" t="s">
        <v>93</v>
      </c>
      <c r="I3" s="398" t="s">
        <v>394</v>
      </c>
      <c r="J3" s="27" t="s">
        <v>4</v>
      </c>
      <c r="K3" s="398" t="s">
        <v>395</v>
      </c>
      <c r="L3" s="27" t="s">
        <v>4</v>
      </c>
      <c r="M3" s="398" t="s">
        <v>396</v>
      </c>
      <c r="N3" s="27" t="s">
        <v>4</v>
      </c>
      <c r="O3" s="398" t="s">
        <v>397</v>
      </c>
      <c r="P3" s="27" t="s">
        <v>4</v>
      </c>
      <c r="Q3" s="177" t="s">
        <v>430</v>
      </c>
      <c r="R3" s="28" t="s">
        <v>105</v>
      </c>
      <c r="S3" s="177" t="s">
        <v>430</v>
      </c>
      <c r="T3" s="177" t="s">
        <v>431</v>
      </c>
      <c r="U3" s="398"/>
      <c r="V3" s="28"/>
      <c r="W3" s="346"/>
    </row>
    <row r="4" spans="1:28" x14ac:dyDescent="0.2">
      <c r="A4" s="110" t="s">
        <v>24</v>
      </c>
      <c r="B4" s="77"/>
      <c r="C4" s="110"/>
      <c r="D4" s="77"/>
      <c r="E4" s="110" t="s">
        <v>25</v>
      </c>
      <c r="F4" s="76"/>
      <c r="G4" s="76"/>
      <c r="H4" s="144"/>
      <c r="I4" s="76"/>
      <c r="J4" s="30"/>
      <c r="K4" s="76"/>
      <c r="L4" s="30"/>
      <c r="M4" s="76"/>
      <c r="N4" s="30"/>
      <c r="O4" s="76"/>
      <c r="P4" s="30"/>
      <c r="Q4" s="111"/>
      <c r="R4" s="104"/>
      <c r="S4" s="111"/>
      <c r="T4" s="111"/>
      <c r="U4" s="76"/>
      <c r="V4" s="153"/>
      <c r="W4" s="98"/>
      <c r="X4" s="249"/>
    </row>
    <row r="5" spans="1:28" x14ac:dyDescent="0.2">
      <c r="A5" s="96" t="s">
        <v>26</v>
      </c>
      <c r="B5" s="32"/>
      <c r="C5" s="96"/>
      <c r="D5" s="32"/>
      <c r="E5" s="32"/>
      <c r="F5" s="70">
        <f>SUM(F6:F12)</f>
        <v>78694</v>
      </c>
      <c r="G5" s="70">
        <f>SUM(G6:G12)</f>
        <v>0</v>
      </c>
      <c r="H5" s="70">
        <f>SUM(H6:H12)</f>
        <v>78694</v>
      </c>
      <c r="I5" s="70">
        <f>SUM(I6:I12)</f>
        <v>21985.997249999997</v>
      </c>
      <c r="J5" s="206">
        <f t="shared" ref="J5:J12" si="0">I5/$H5*100</f>
        <v>27.938594111368083</v>
      </c>
      <c r="K5" s="70">
        <f>SUM(K6:K12)</f>
        <v>40432.735330000003</v>
      </c>
      <c r="L5" s="206">
        <f t="shared" ref="L5:L12" si="1">K5/$H5*100</f>
        <v>51.379692644928468</v>
      </c>
      <c r="M5" s="70">
        <f>SUM(M6:M12)</f>
        <v>61693.353620000009</v>
      </c>
      <c r="N5" s="206">
        <f t="shared" ref="N5:N12" si="2">M5/$H5*100</f>
        <v>78.396515134571899</v>
      </c>
      <c r="O5" s="70">
        <f>SUM(O6:O12)</f>
        <v>83263.988979999995</v>
      </c>
      <c r="P5" s="206">
        <f t="shared" ref="P5:P12" si="3">O5/$H5*100</f>
        <v>105.8072902381376</v>
      </c>
      <c r="Q5" s="331">
        <f>SUM(Q6:Q12)</f>
        <v>4569.9889799999983</v>
      </c>
      <c r="R5" s="459"/>
      <c r="S5" s="331">
        <f>SUM(S6:S12)</f>
        <v>82335.19</v>
      </c>
      <c r="T5" s="331">
        <f>SUM(T6:T12)</f>
        <v>3641.19</v>
      </c>
      <c r="U5" s="70">
        <f>SUM(U6:U12)</f>
        <v>86625</v>
      </c>
      <c r="V5" s="154">
        <f t="shared" ref="V5:V14" si="4">U5/F5</f>
        <v>1.1007827788649707</v>
      </c>
      <c r="W5" s="21"/>
    </row>
    <row r="6" spans="1:28" x14ac:dyDescent="0.2">
      <c r="A6" s="109" t="s">
        <v>27</v>
      </c>
      <c r="B6" s="29">
        <v>1111</v>
      </c>
      <c r="C6" s="109"/>
      <c r="D6" s="112"/>
      <c r="E6" s="29" t="s">
        <v>109</v>
      </c>
      <c r="F6" s="69">
        <v>18000</v>
      </c>
      <c r="G6" s="69"/>
      <c r="H6" s="69">
        <f t="shared" ref="H6:H12" si="5">SUM(F6:G6)</f>
        <v>18000</v>
      </c>
      <c r="I6" s="69">
        <v>4841.3793500000002</v>
      </c>
      <c r="J6" s="34">
        <f t="shared" si="0"/>
        <v>26.896551944444447</v>
      </c>
      <c r="K6" s="69">
        <v>9419.4296200000008</v>
      </c>
      <c r="L6" s="34">
        <f t="shared" si="1"/>
        <v>52.330164555555555</v>
      </c>
      <c r="M6" s="69">
        <v>14284.80891</v>
      </c>
      <c r="N6" s="34">
        <f t="shared" si="2"/>
        <v>79.360049500000002</v>
      </c>
      <c r="O6" s="69">
        <v>19618.398649999999</v>
      </c>
      <c r="P6" s="34">
        <f t="shared" si="3"/>
        <v>108.9911036111111</v>
      </c>
      <c r="Q6" s="253">
        <f>O6-H6</f>
        <v>1618.3986499999992</v>
      </c>
      <c r="R6" s="34" t="s">
        <v>114</v>
      </c>
      <c r="S6" s="407">
        <f>12960/8*12</f>
        <v>19440</v>
      </c>
      <c r="T6" s="253">
        <f>S6-H6</f>
        <v>1440</v>
      </c>
      <c r="U6" s="69">
        <v>20000</v>
      </c>
      <c r="V6" s="155">
        <f t="shared" si="4"/>
        <v>1.1111111111111112</v>
      </c>
      <c r="W6" s="396"/>
      <c r="X6" s="66"/>
    </row>
    <row r="7" spans="1:28" x14ac:dyDescent="0.2">
      <c r="A7" s="109"/>
      <c r="B7" s="29">
        <v>1112</v>
      </c>
      <c r="C7" s="109"/>
      <c r="D7" s="109"/>
      <c r="E7" s="29" t="s">
        <v>195</v>
      </c>
      <c r="F7" s="69">
        <v>500</v>
      </c>
      <c r="G7" s="69"/>
      <c r="H7" s="69">
        <f t="shared" si="5"/>
        <v>500</v>
      </c>
      <c r="I7" s="69">
        <v>132.23367999999999</v>
      </c>
      <c r="J7" s="34">
        <f t="shared" si="0"/>
        <v>26.446735999999998</v>
      </c>
      <c r="K7" s="69">
        <v>132.23367999999999</v>
      </c>
      <c r="L7" s="34">
        <f t="shared" si="1"/>
        <v>26.446735999999998</v>
      </c>
      <c r="M7" s="69">
        <v>311.26387</v>
      </c>
      <c r="N7" s="34">
        <f t="shared" si="2"/>
        <v>62.252774000000002</v>
      </c>
      <c r="O7" s="69">
        <v>550.98603000000003</v>
      </c>
      <c r="P7" s="34">
        <f t="shared" si="3"/>
        <v>110.19720600000001</v>
      </c>
      <c r="Q7" s="253">
        <f t="shared" ref="Q7:Q12" si="6">O7-H7</f>
        <v>50.986030000000028</v>
      </c>
      <c r="R7" s="34" t="s">
        <v>114</v>
      </c>
      <c r="S7" s="407">
        <f>243/8*12</f>
        <v>364.5</v>
      </c>
      <c r="T7" s="253">
        <f t="shared" ref="T7:T12" si="7">S7-H7</f>
        <v>-135.5</v>
      </c>
      <c r="U7" s="69">
        <v>500</v>
      </c>
      <c r="V7" s="155">
        <f t="shared" si="4"/>
        <v>1</v>
      </c>
      <c r="W7" s="396"/>
      <c r="X7" s="66"/>
    </row>
    <row r="8" spans="1:28" x14ac:dyDescent="0.2">
      <c r="A8" s="109"/>
      <c r="B8" s="29">
        <v>1113</v>
      </c>
      <c r="C8" s="109"/>
      <c r="D8" s="109"/>
      <c r="E8" s="29" t="s">
        <v>111</v>
      </c>
      <c r="F8" s="69">
        <v>1600</v>
      </c>
      <c r="G8" s="69"/>
      <c r="H8" s="69">
        <f t="shared" si="5"/>
        <v>1600</v>
      </c>
      <c r="I8" s="69">
        <v>402.68556000000001</v>
      </c>
      <c r="J8" s="34">
        <f t="shared" si="0"/>
        <v>25.167847500000001</v>
      </c>
      <c r="K8" s="69">
        <v>818.78227000000004</v>
      </c>
      <c r="L8" s="34">
        <f t="shared" si="1"/>
        <v>51.173891875000002</v>
      </c>
      <c r="M8" s="69">
        <v>1385.00458</v>
      </c>
      <c r="N8" s="34">
        <f t="shared" si="2"/>
        <v>86.562786250000002</v>
      </c>
      <c r="O8" s="69">
        <v>1857.73053</v>
      </c>
      <c r="P8" s="34">
        <f t="shared" si="3"/>
        <v>116.10815812499999</v>
      </c>
      <c r="Q8" s="253">
        <f t="shared" si="6"/>
        <v>257.73053000000004</v>
      </c>
      <c r="R8" s="34" t="s">
        <v>114</v>
      </c>
      <c r="S8" s="407">
        <f>1213/8*12</f>
        <v>1819.5</v>
      </c>
      <c r="T8" s="253">
        <f t="shared" si="7"/>
        <v>219.5</v>
      </c>
      <c r="U8" s="69">
        <v>1800</v>
      </c>
      <c r="V8" s="155">
        <f t="shared" si="4"/>
        <v>1.125</v>
      </c>
      <c r="W8" s="396"/>
      <c r="X8" s="66"/>
    </row>
    <row r="9" spans="1:28" x14ac:dyDescent="0.2">
      <c r="A9" s="109"/>
      <c r="B9" s="29">
        <v>1121</v>
      </c>
      <c r="C9" s="109"/>
      <c r="D9" s="109"/>
      <c r="E9" s="29" t="s">
        <v>112</v>
      </c>
      <c r="F9" s="69">
        <v>16000</v>
      </c>
      <c r="G9" s="69"/>
      <c r="H9" s="69">
        <f t="shared" si="5"/>
        <v>16000</v>
      </c>
      <c r="I9" s="69">
        <v>4148.6978499999996</v>
      </c>
      <c r="J9" s="34">
        <f t="shared" si="0"/>
        <v>25.929361562499999</v>
      </c>
      <c r="K9" s="69">
        <v>7671.0385399999996</v>
      </c>
      <c r="L9" s="34">
        <f t="shared" si="1"/>
        <v>47.943990874999997</v>
      </c>
      <c r="M9" s="69">
        <v>12833.639359999999</v>
      </c>
      <c r="N9" s="34">
        <f t="shared" si="2"/>
        <v>80.210245999999998</v>
      </c>
      <c r="O9" s="69">
        <v>17306.296020000002</v>
      </c>
      <c r="P9" s="34">
        <f t="shared" si="3"/>
        <v>108.16435012500001</v>
      </c>
      <c r="Q9" s="253">
        <f t="shared" si="6"/>
        <v>1306.2960200000016</v>
      </c>
      <c r="R9" s="34" t="s">
        <v>114</v>
      </c>
      <c r="S9" s="407">
        <f>11328/8*12</f>
        <v>16992</v>
      </c>
      <c r="T9" s="253">
        <f t="shared" si="7"/>
        <v>992</v>
      </c>
      <c r="U9" s="69">
        <v>16000</v>
      </c>
      <c r="V9" s="155">
        <f t="shared" si="4"/>
        <v>1</v>
      </c>
      <c r="W9" s="396"/>
      <c r="X9" s="66"/>
    </row>
    <row r="10" spans="1:28" x14ac:dyDescent="0.2">
      <c r="A10" s="109"/>
      <c r="B10" s="29">
        <v>1211</v>
      </c>
      <c r="C10" s="109"/>
      <c r="D10" s="109"/>
      <c r="E10" s="29" t="s">
        <v>110</v>
      </c>
      <c r="F10" s="69">
        <v>38000</v>
      </c>
      <c r="G10" s="69"/>
      <c r="H10" s="69">
        <f t="shared" si="5"/>
        <v>38000</v>
      </c>
      <c r="I10" s="69">
        <v>9294.9378300000008</v>
      </c>
      <c r="J10" s="34">
        <f t="shared" si="0"/>
        <v>24.460362710526319</v>
      </c>
      <c r="K10" s="69">
        <v>18683.947380000001</v>
      </c>
      <c r="L10" s="34">
        <f t="shared" si="1"/>
        <v>49.16828257894737</v>
      </c>
      <c r="M10" s="69">
        <v>28560.980889999999</v>
      </c>
      <c r="N10" s="34">
        <f t="shared" si="2"/>
        <v>75.160476026315777</v>
      </c>
      <c r="O10" s="69">
        <v>38968.526599999997</v>
      </c>
      <c r="P10" s="34">
        <f t="shared" si="3"/>
        <v>102.54875421052631</v>
      </c>
      <c r="Q10" s="253">
        <f t="shared" si="6"/>
        <v>968.52659999999742</v>
      </c>
      <c r="R10" s="34" t="s">
        <v>114</v>
      </c>
      <c r="S10" s="407">
        <f>25885/8*12</f>
        <v>38827.5</v>
      </c>
      <c r="T10" s="253">
        <f t="shared" si="7"/>
        <v>827.5</v>
      </c>
      <c r="U10" s="69">
        <v>39800</v>
      </c>
      <c r="V10" s="155">
        <f t="shared" si="4"/>
        <v>1.0473684210526315</v>
      </c>
      <c r="W10" s="396"/>
      <c r="X10" s="66"/>
    </row>
    <row r="11" spans="1:28" x14ac:dyDescent="0.2">
      <c r="A11" s="109"/>
      <c r="B11" s="29">
        <v>1111</v>
      </c>
      <c r="C11" s="109"/>
      <c r="D11" s="29">
        <v>2</v>
      </c>
      <c r="E11" s="29" t="s">
        <v>123</v>
      </c>
      <c r="F11" s="69">
        <v>2000</v>
      </c>
      <c r="G11" s="69"/>
      <c r="H11" s="69">
        <f>SUM(F11:G11)</f>
        <v>2000</v>
      </c>
      <c r="I11" s="69">
        <v>572.37297999999998</v>
      </c>
      <c r="J11" s="34">
        <f t="shared" si="0"/>
        <v>28.618649000000001</v>
      </c>
      <c r="K11" s="69">
        <v>1113.61384</v>
      </c>
      <c r="L11" s="34">
        <f t="shared" si="1"/>
        <v>55.680692000000001</v>
      </c>
      <c r="M11" s="69">
        <v>1723.9660100000001</v>
      </c>
      <c r="N11" s="34">
        <f t="shared" si="2"/>
        <v>86.198300500000002</v>
      </c>
      <c r="O11" s="69">
        <v>2368.3611500000002</v>
      </c>
      <c r="P11" s="34">
        <f t="shared" si="3"/>
        <v>118.4180575</v>
      </c>
      <c r="Q11" s="253">
        <f t="shared" si="6"/>
        <v>368.36115000000018</v>
      </c>
      <c r="R11" s="232"/>
      <c r="S11" s="407">
        <f>1532/8*12</f>
        <v>2298</v>
      </c>
      <c r="T11" s="253">
        <f t="shared" si="7"/>
        <v>298</v>
      </c>
      <c r="U11" s="69">
        <v>2000</v>
      </c>
      <c r="V11" s="155">
        <f t="shared" si="4"/>
        <v>1</v>
      </c>
      <c r="W11" s="396"/>
      <c r="X11" s="66"/>
      <c r="Y11" s="113"/>
    </row>
    <row r="12" spans="1:28" x14ac:dyDescent="0.2">
      <c r="A12" s="109"/>
      <c r="B12" s="29">
        <v>1122</v>
      </c>
      <c r="C12" s="109"/>
      <c r="D12" s="109"/>
      <c r="E12" s="29" t="s">
        <v>113</v>
      </c>
      <c r="F12" s="69">
        <v>2594</v>
      </c>
      <c r="G12" s="69"/>
      <c r="H12" s="69">
        <f t="shared" si="5"/>
        <v>2594</v>
      </c>
      <c r="I12" s="69">
        <v>2593.69</v>
      </c>
      <c r="J12" s="34">
        <f t="shared" si="0"/>
        <v>99.988049344641482</v>
      </c>
      <c r="K12" s="69">
        <v>2593.69</v>
      </c>
      <c r="L12" s="34">
        <f t="shared" si="1"/>
        <v>99.988049344641482</v>
      </c>
      <c r="M12" s="69">
        <v>2593.69</v>
      </c>
      <c r="N12" s="34">
        <f t="shared" si="2"/>
        <v>99.988049344641482</v>
      </c>
      <c r="O12" s="69">
        <v>2593.69</v>
      </c>
      <c r="P12" s="34">
        <f t="shared" si="3"/>
        <v>99.988049344641482</v>
      </c>
      <c r="Q12" s="253">
        <f t="shared" si="6"/>
        <v>-0.30999999999994543</v>
      </c>
      <c r="R12" s="112" t="s">
        <v>155</v>
      </c>
      <c r="S12" s="407">
        <f>K12</f>
        <v>2593.69</v>
      </c>
      <c r="T12" s="253">
        <f t="shared" si="7"/>
        <v>-0.30999999999994543</v>
      </c>
      <c r="U12" s="69">
        <v>6525</v>
      </c>
      <c r="V12" s="155">
        <f t="shared" si="4"/>
        <v>2.5154202004626058</v>
      </c>
      <c r="W12" s="396"/>
      <c r="X12" s="66"/>
      <c r="AA12" s="117"/>
      <c r="AB12" s="146"/>
    </row>
    <row r="13" spans="1:28" x14ac:dyDescent="0.2">
      <c r="A13" s="96" t="s">
        <v>28</v>
      </c>
      <c r="B13" s="32"/>
      <c r="C13" s="96"/>
      <c r="D13" s="32"/>
      <c r="E13" s="32"/>
      <c r="F13" s="70"/>
      <c r="G13" s="70"/>
      <c r="H13" s="70"/>
      <c r="I13" s="70"/>
      <c r="J13" s="34"/>
      <c r="K13" s="70"/>
      <c r="L13" s="34"/>
      <c r="M13" s="70"/>
      <c r="N13" s="34"/>
      <c r="O13" s="70"/>
      <c r="P13" s="34"/>
      <c r="Q13" s="254"/>
      <c r="R13" s="340"/>
      <c r="S13" s="254"/>
      <c r="T13" s="254"/>
      <c r="U13" s="70"/>
      <c r="V13" s="155"/>
      <c r="W13" s="519"/>
      <c r="X13" s="519"/>
    </row>
    <row r="14" spans="1:28" x14ac:dyDescent="0.2">
      <c r="A14" s="109"/>
      <c r="B14" s="109"/>
      <c r="C14" s="109"/>
      <c r="D14" s="109"/>
      <c r="E14" s="32" t="s">
        <v>149</v>
      </c>
      <c r="F14" s="70">
        <f>SUM(F15:F25)</f>
        <v>4775</v>
      </c>
      <c r="G14" s="70">
        <f>SUM(G15:G25)</f>
        <v>0</v>
      </c>
      <c r="H14" s="70">
        <f>SUM(H15:H25)</f>
        <v>4775</v>
      </c>
      <c r="I14" s="70">
        <f>SUM(I15:I25)</f>
        <v>1243.385</v>
      </c>
      <c r="J14" s="206">
        <f>I14/$H14*100</f>
        <v>26.039476439790576</v>
      </c>
      <c r="K14" s="70">
        <f>SUM(K15:K25)</f>
        <v>2680.9950000000003</v>
      </c>
      <c r="L14" s="206">
        <f t="shared" ref="L14:L26" si="8">K14/$H14*100</f>
        <v>56.14649214659687</v>
      </c>
      <c r="M14" s="70">
        <f>SUM(M15:M25)</f>
        <v>3901.145</v>
      </c>
      <c r="N14" s="206">
        <f t="shared" ref="N14:N26" si="9">M14/$H14*100</f>
        <v>81.699371727748698</v>
      </c>
      <c r="O14" s="70">
        <f>SUM(O15:O25)</f>
        <v>4961.8649999999998</v>
      </c>
      <c r="P14" s="206">
        <f t="shared" ref="P14:P26" si="10">O14/$H14*100</f>
        <v>103.91340314136126</v>
      </c>
      <c r="Q14" s="331">
        <f>SUM(Q15:Q25)</f>
        <v>186.86500000000001</v>
      </c>
      <c r="R14" s="340"/>
      <c r="S14" s="331">
        <f>SUM(S15:S25)</f>
        <v>5201.5266666666676</v>
      </c>
      <c r="T14" s="331">
        <f>SUM(T15:T25)</f>
        <v>426.52666666666676</v>
      </c>
      <c r="U14" s="70">
        <f>SUM(U15:U25)</f>
        <v>4835</v>
      </c>
      <c r="V14" s="154">
        <f t="shared" si="4"/>
        <v>1.0125654450261781</v>
      </c>
      <c r="W14" s="146"/>
    </row>
    <row r="15" spans="1:28" x14ac:dyDescent="0.2">
      <c r="A15" s="109"/>
      <c r="B15" s="29">
        <v>1361</v>
      </c>
      <c r="D15" s="112" t="s">
        <v>139</v>
      </c>
      <c r="E15" s="29" t="s">
        <v>29</v>
      </c>
      <c r="F15" s="69">
        <f>180+40</f>
        <v>220</v>
      </c>
      <c r="G15" s="69"/>
      <c r="H15" s="69">
        <f t="shared" ref="H15:H23" si="11">SUM(F15:G15)</f>
        <v>220</v>
      </c>
      <c r="I15" s="69">
        <f>2.6+22.02+29</f>
        <v>53.620000000000005</v>
      </c>
      <c r="J15" s="34">
        <f t="shared" ref="J15:J37" si="12">I15/$H15*100</f>
        <v>24.372727272727275</v>
      </c>
      <c r="K15" s="69">
        <f>4.465+44.44+1+63</f>
        <v>112.905</v>
      </c>
      <c r="L15" s="34">
        <f t="shared" si="8"/>
        <v>51.320454545454538</v>
      </c>
      <c r="M15" s="69">
        <f>8.065+64.08+2.1+74</f>
        <v>148.245</v>
      </c>
      <c r="N15" s="34">
        <f t="shared" si="9"/>
        <v>67.384090909090915</v>
      </c>
      <c r="O15" s="69">
        <f>10.915+90.19+4.2+77</f>
        <v>182.30500000000001</v>
      </c>
      <c r="P15" s="34">
        <f t="shared" si="10"/>
        <v>82.865909090909099</v>
      </c>
      <c r="Q15" s="253">
        <f t="shared" ref="Q15:Q25" si="13">O15-H15</f>
        <v>-37.694999999999993</v>
      </c>
      <c r="R15" s="233" t="s">
        <v>457</v>
      </c>
      <c r="S15" s="257">
        <f>M15/3*4</f>
        <v>197.66</v>
      </c>
      <c r="T15" s="253">
        <f t="shared" ref="T15:T28" si="14">S15-H15</f>
        <v>-22.340000000000003</v>
      </c>
      <c r="U15" s="69">
        <v>200</v>
      </c>
      <c r="V15" s="155">
        <f t="shared" ref="V15:V26" si="15">U15/F15</f>
        <v>0.90909090909090906</v>
      </c>
      <c r="W15" s="117"/>
    </row>
    <row r="16" spans="1:28" x14ac:dyDescent="0.2">
      <c r="A16" s="109"/>
      <c r="B16" s="29">
        <v>1361</v>
      </c>
      <c r="C16" s="109"/>
      <c r="D16" s="29">
        <v>7</v>
      </c>
      <c r="E16" s="29" t="s">
        <v>163</v>
      </c>
      <c r="F16" s="69">
        <v>700</v>
      </c>
      <c r="G16" s="69"/>
      <c r="H16" s="69">
        <f t="shared" si="11"/>
        <v>700</v>
      </c>
      <c r="I16" s="69">
        <v>294.01</v>
      </c>
      <c r="J16" s="34">
        <f t="shared" si="12"/>
        <v>42.001428571428576</v>
      </c>
      <c r="K16" s="69">
        <v>614.79</v>
      </c>
      <c r="L16" s="34">
        <f t="shared" si="8"/>
        <v>87.827142857142846</v>
      </c>
      <c r="M16" s="69">
        <v>722.60500000000002</v>
      </c>
      <c r="N16" s="34">
        <f t="shared" si="9"/>
        <v>103.22928571428571</v>
      </c>
      <c r="O16" s="69">
        <v>895.90499999999997</v>
      </c>
      <c r="P16" s="34">
        <f t="shared" si="10"/>
        <v>127.98642857142856</v>
      </c>
      <c r="Q16" s="253">
        <f t="shared" si="13"/>
        <v>195.90499999999997</v>
      </c>
      <c r="R16" s="233"/>
      <c r="S16" s="257">
        <f t="shared" ref="S16:S25" si="16">M16/3*4</f>
        <v>963.47333333333336</v>
      </c>
      <c r="T16" s="253">
        <f t="shared" si="14"/>
        <v>263.47333333333336</v>
      </c>
      <c r="U16" s="69">
        <v>800</v>
      </c>
      <c r="V16" s="155">
        <f t="shared" si="15"/>
        <v>1.1428571428571428</v>
      </c>
      <c r="W16" s="117"/>
    </row>
    <row r="17" spans="1:23" x14ac:dyDescent="0.2">
      <c r="A17" s="109"/>
      <c r="B17" s="29">
        <v>1361</v>
      </c>
      <c r="C17" s="109"/>
      <c r="D17" s="29">
        <v>10.23</v>
      </c>
      <c r="E17" s="114" t="s">
        <v>165</v>
      </c>
      <c r="F17" s="69">
        <f>60+30</f>
        <v>90</v>
      </c>
      <c r="G17" s="69"/>
      <c r="H17" s="69">
        <f t="shared" si="11"/>
        <v>90</v>
      </c>
      <c r="I17" s="69">
        <f>21.1+24.28</f>
        <v>45.38</v>
      </c>
      <c r="J17" s="34">
        <f t="shared" si="12"/>
        <v>50.422222222222224</v>
      </c>
      <c r="K17" s="69">
        <f>30.65+51.075</f>
        <v>81.724999999999994</v>
      </c>
      <c r="L17" s="34">
        <f t="shared" si="8"/>
        <v>90.805555555555557</v>
      </c>
      <c r="M17" s="69">
        <f>35.6+96.38</f>
        <v>131.97999999999999</v>
      </c>
      <c r="N17" s="34">
        <f t="shared" si="9"/>
        <v>146.64444444444445</v>
      </c>
      <c r="O17" s="69">
        <f>39.375+132.815</f>
        <v>172.19</v>
      </c>
      <c r="P17" s="34">
        <f t="shared" si="10"/>
        <v>191.32222222222222</v>
      </c>
      <c r="Q17" s="253">
        <f t="shared" si="13"/>
        <v>82.19</v>
      </c>
      <c r="R17" s="233"/>
      <c r="S17" s="257">
        <f t="shared" si="16"/>
        <v>175.97333333333333</v>
      </c>
      <c r="T17" s="253">
        <f t="shared" si="14"/>
        <v>85.973333333333329</v>
      </c>
      <c r="U17" s="69">
        <f>50+40</f>
        <v>90</v>
      </c>
      <c r="V17" s="155">
        <f t="shared" si="15"/>
        <v>1</v>
      </c>
    </row>
    <row r="18" spans="1:23" x14ac:dyDescent="0.2">
      <c r="A18" s="109"/>
      <c r="B18" s="29">
        <v>1361</v>
      </c>
      <c r="C18" s="109"/>
      <c r="D18" s="29">
        <v>11</v>
      </c>
      <c r="E18" s="29" t="s">
        <v>30</v>
      </c>
      <c r="F18" s="69">
        <v>150</v>
      </c>
      <c r="G18" s="69"/>
      <c r="H18" s="69">
        <f t="shared" si="11"/>
        <v>150</v>
      </c>
      <c r="I18" s="69">
        <v>49.88</v>
      </c>
      <c r="J18" s="34">
        <f t="shared" si="12"/>
        <v>33.253333333333337</v>
      </c>
      <c r="K18" s="69">
        <v>86.04</v>
      </c>
      <c r="L18" s="34">
        <f t="shared" si="8"/>
        <v>57.36</v>
      </c>
      <c r="M18" s="69">
        <v>123.6</v>
      </c>
      <c r="N18" s="34">
        <f t="shared" si="9"/>
        <v>82.399999999999991</v>
      </c>
      <c r="O18" s="69">
        <v>163.84</v>
      </c>
      <c r="P18" s="34">
        <f t="shared" si="10"/>
        <v>109.22666666666667</v>
      </c>
      <c r="Q18" s="253">
        <f t="shared" si="13"/>
        <v>13.840000000000003</v>
      </c>
      <c r="R18" s="233"/>
      <c r="S18" s="257">
        <f t="shared" si="16"/>
        <v>164.79999999999998</v>
      </c>
      <c r="T18" s="253">
        <f t="shared" si="14"/>
        <v>14.799999999999983</v>
      </c>
      <c r="U18" s="69">
        <v>160</v>
      </c>
      <c r="V18" s="155">
        <f t="shared" si="15"/>
        <v>1.0666666666666667</v>
      </c>
    </row>
    <row r="19" spans="1:23" x14ac:dyDescent="0.2">
      <c r="A19" s="109"/>
      <c r="B19" s="29">
        <v>1361</v>
      </c>
      <c r="C19" s="109"/>
      <c r="D19" s="29">
        <v>24</v>
      </c>
      <c r="E19" s="29" t="s">
        <v>166</v>
      </c>
      <c r="F19" s="69">
        <v>30</v>
      </c>
      <c r="G19" s="69"/>
      <c r="H19" s="69">
        <f t="shared" si="11"/>
        <v>30</v>
      </c>
      <c r="I19" s="69">
        <v>3.1</v>
      </c>
      <c r="J19" s="34">
        <f t="shared" si="12"/>
        <v>10.333333333333334</v>
      </c>
      <c r="K19" s="69">
        <v>10.5</v>
      </c>
      <c r="L19" s="34">
        <f t="shared" si="8"/>
        <v>35</v>
      </c>
      <c r="M19" s="69">
        <v>18.8</v>
      </c>
      <c r="N19" s="34">
        <f t="shared" si="9"/>
        <v>62.666666666666671</v>
      </c>
      <c r="O19" s="69">
        <v>23</v>
      </c>
      <c r="P19" s="34">
        <f t="shared" si="10"/>
        <v>76.666666666666671</v>
      </c>
      <c r="Q19" s="253">
        <f t="shared" si="13"/>
        <v>-7</v>
      </c>
      <c r="R19" s="233"/>
      <c r="S19" s="257">
        <f t="shared" si="16"/>
        <v>25.066666666666666</v>
      </c>
      <c r="T19" s="253">
        <f t="shared" si="14"/>
        <v>-4.9333333333333336</v>
      </c>
      <c r="U19" s="69">
        <v>30</v>
      </c>
      <c r="V19" s="155">
        <f t="shared" si="15"/>
        <v>1</v>
      </c>
      <c r="W19" s="542"/>
    </row>
    <row r="20" spans="1:23" x14ac:dyDescent="0.2">
      <c r="A20" s="109"/>
      <c r="B20" s="29">
        <v>1361</v>
      </c>
      <c r="C20" s="109"/>
      <c r="D20" s="29">
        <v>26</v>
      </c>
      <c r="E20" s="29" t="s">
        <v>167</v>
      </c>
      <c r="F20" s="69">
        <v>2400</v>
      </c>
      <c r="G20" s="69"/>
      <c r="H20" s="69">
        <f t="shared" si="11"/>
        <v>2400</v>
      </c>
      <c r="I20" s="69">
        <v>560.97</v>
      </c>
      <c r="J20" s="34">
        <f t="shared" si="12"/>
        <v>23.373750000000001</v>
      </c>
      <c r="K20" s="69">
        <v>1220.5</v>
      </c>
      <c r="L20" s="34">
        <f t="shared" si="8"/>
        <v>50.854166666666664</v>
      </c>
      <c r="M20" s="69">
        <v>1902.63</v>
      </c>
      <c r="N20" s="34">
        <f t="shared" si="9"/>
        <v>79.276250000000005</v>
      </c>
      <c r="O20" s="69">
        <v>2488.04</v>
      </c>
      <c r="P20" s="34">
        <f t="shared" si="10"/>
        <v>103.66833333333334</v>
      </c>
      <c r="Q20" s="253">
        <f t="shared" si="13"/>
        <v>88.039999999999964</v>
      </c>
      <c r="R20" s="233"/>
      <c r="S20" s="257">
        <f t="shared" si="16"/>
        <v>2536.84</v>
      </c>
      <c r="T20" s="253">
        <f t="shared" si="14"/>
        <v>136.84000000000015</v>
      </c>
      <c r="U20" s="69">
        <v>2500</v>
      </c>
      <c r="V20" s="155">
        <f t="shared" si="15"/>
        <v>1.0416666666666667</v>
      </c>
      <c r="W20" s="113"/>
    </row>
    <row r="21" spans="1:23" x14ac:dyDescent="0.2">
      <c r="A21" s="109"/>
      <c r="B21" s="29">
        <v>1353</v>
      </c>
      <c r="C21" s="109"/>
      <c r="D21" s="29">
        <v>26</v>
      </c>
      <c r="E21" s="29" t="s">
        <v>194</v>
      </c>
      <c r="F21" s="69">
        <v>400</v>
      </c>
      <c r="G21" s="69"/>
      <c r="H21" s="69">
        <f t="shared" si="11"/>
        <v>400</v>
      </c>
      <c r="I21" s="69">
        <v>72</v>
      </c>
      <c r="J21" s="34">
        <f t="shared" si="12"/>
        <v>18</v>
      </c>
      <c r="K21" s="69">
        <v>177.8</v>
      </c>
      <c r="L21" s="34">
        <f t="shared" si="8"/>
        <v>44.45</v>
      </c>
      <c r="M21" s="69">
        <v>284.7</v>
      </c>
      <c r="N21" s="34">
        <f t="shared" si="9"/>
        <v>71.174999999999997</v>
      </c>
      <c r="O21" s="69">
        <v>378.9</v>
      </c>
      <c r="P21" s="34">
        <f t="shared" si="10"/>
        <v>94.724999999999994</v>
      </c>
      <c r="Q21" s="253">
        <f t="shared" si="13"/>
        <v>-21.100000000000023</v>
      </c>
      <c r="R21" s="233"/>
      <c r="S21" s="257">
        <f t="shared" si="16"/>
        <v>379.59999999999997</v>
      </c>
      <c r="T21" s="253">
        <f t="shared" si="14"/>
        <v>-20.400000000000034</v>
      </c>
      <c r="U21" s="69">
        <v>400</v>
      </c>
      <c r="V21" s="155">
        <f t="shared" si="15"/>
        <v>1</v>
      </c>
    </row>
    <row r="22" spans="1:23" x14ac:dyDescent="0.2">
      <c r="A22" s="109"/>
      <c r="B22" s="29">
        <v>1361</v>
      </c>
      <c r="C22" s="109"/>
      <c r="D22" s="29">
        <v>32.33</v>
      </c>
      <c r="E22" s="29" t="s">
        <v>136</v>
      </c>
      <c r="F22" s="69">
        <v>750</v>
      </c>
      <c r="G22" s="69"/>
      <c r="H22" s="69">
        <f t="shared" si="11"/>
        <v>750</v>
      </c>
      <c r="I22" s="69">
        <f>133.7+12.25</f>
        <v>145.94999999999999</v>
      </c>
      <c r="J22" s="34">
        <f t="shared" si="12"/>
        <v>19.46</v>
      </c>
      <c r="K22" s="69">
        <f>312.3+37.25</f>
        <v>349.55</v>
      </c>
      <c r="L22" s="34">
        <f t="shared" si="8"/>
        <v>46.606666666666669</v>
      </c>
      <c r="M22" s="69">
        <f>462+72.65</f>
        <v>534.65</v>
      </c>
      <c r="N22" s="34">
        <f t="shared" si="9"/>
        <v>71.286666666666662</v>
      </c>
      <c r="O22" s="69">
        <f>524.7+89.35</f>
        <v>614.05000000000007</v>
      </c>
      <c r="P22" s="34">
        <f t="shared" si="10"/>
        <v>81.873333333333349</v>
      </c>
      <c r="Q22" s="253">
        <f t="shared" si="13"/>
        <v>-135.94999999999993</v>
      </c>
      <c r="R22" s="233"/>
      <c r="S22" s="257">
        <f t="shared" si="16"/>
        <v>712.86666666666667</v>
      </c>
      <c r="T22" s="253">
        <f t="shared" si="14"/>
        <v>-37.133333333333326</v>
      </c>
      <c r="U22" s="69">
        <f>570+50</f>
        <v>620</v>
      </c>
      <c r="V22" s="155">
        <f t="shared" si="15"/>
        <v>0.82666666666666666</v>
      </c>
    </row>
    <row r="23" spans="1:23" x14ac:dyDescent="0.2">
      <c r="A23" s="109"/>
      <c r="B23" s="29">
        <v>1361</v>
      </c>
      <c r="C23" s="109"/>
      <c r="D23" s="29">
        <v>35</v>
      </c>
      <c r="E23" s="29" t="s">
        <v>233</v>
      </c>
      <c r="F23" s="69">
        <v>35</v>
      </c>
      <c r="G23" s="69"/>
      <c r="H23" s="69">
        <f t="shared" si="11"/>
        <v>35</v>
      </c>
      <c r="I23" s="69">
        <v>10.1</v>
      </c>
      <c r="J23" s="34">
        <f t="shared" si="12"/>
        <v>28.857142857142854</v>
      </c>
      <c r="K23" s="69">
        <v>17.77</v>
      </c>
      <c r="L23" s="34">
        <f t="shared" si="8"/>
        <v>50.771428571428565</v>
      </c>
      <c r="M23" s="69">
        <v>24.52</v>
      </c>
      <c r="N23" s="34">
        <f t="shared" si="9"/>
        <v>70.05714285714285</v>
      </c>
      <c r="O23" s="69">
        <v>34.22</v>
      </c>
      <c r="P23" s="34">
        <f t="shared" si="10"/>
        <v>97.771428571428558</v>
      </c>
      <c r="Q23" s="253">
        <f t="shared" si="13"/>
        <v>-0.78000000000000114</v>
      </c>
      <c r="R23" s="233"/>
      <c r="S23" s="257">
        <f t="shared" si="16"/>
        <v>32.693333333333335</v>
      </c>
      <c r="T23" s="253">
        <f t="shared" si="14"/>
        <v>-2.3066666666666649</v>
      </c>
      <c r="U23" s="69">
        <v>35</v>
      </c>
      <c r="V23" s="155">
        <f t="shared" si="15"/>
        <v>1</v>
      </c>
    </row>
    <row r="24" spans="1:23" x14ac:dyDescent="0.2">
      <c r="A24" s="109"/>
      <c r="B24" s="29">
        <v>1361</v>
      </c>
      <c r="C24" s="109"/>
      <c r="D24" s="29">
        <v>40</v>
      </c>
      <c r="E24" s="29" t="s">
        <v>31</v>
      </c>
      <c r="F24" s="69">
        <v>0</v>
      </c>
      <c r="G24" s="69"/>
      <c r="H24" s="69">
        <f>SUM(F24:G24)</f>
        <v>0</v>
      </c>
      <c r="I24" s="69">
        <v>4</v>
      </c>
      <c r="J24" s="34"/>
      <c r="K24" s="69">
        <v>9</v>
      </c>
      <c r="L24" s="34"/>
      <c r="M24" s="69">
        <v>9</v>
      </c>
      <c r="N24" s="34"/>
      <c r="O24" s="69">
        <v>9</v>
      </c>
      <c r="P24" s="34"/>
      <c r="Q24" s="253">
        <f t="shared" si="13"/>
        <v>9</v>
      </c>
      <c r="R24" s="233"/>
      <c r="S24" s="257">
        <f t="shared" si="16"/>
        <v>12</v>
      </c>
      <c r="T24" s="253">
        <f t="shared" si="14"/>
        <v>12</v>
      </c>
      <c r="U24" s="69">
        <v>0</v>
      </c>
      <c r="V24" s="155"/>
    </row>
    <row r="25" spans="1:23" x14ac:dyDescent="0.2">
      <c r="A25" s="109"/>
      <c r="B25" s="29">
        <v>1361</v>
      </c>
      <c r="C25" s="109"/>
      <c r="D25" s="112" t="s">
        <v>193</v>
      </c>
      <c r="E25" s="29" t="s">
        <v>101</v>
      </c>
      <c r="F25" s="69"/>
      <c r="G25" s="69"/>
      <c r="H25" s="69">
        <f>SUM(F25:G25)</f>
        <v>0</v>
      </c>
      <c r="I25" s="69">
        <f>4.36+0.015</f>
        <v>4.375</v>
      </c>
      <c r="J25" s="34"/>
      <c r="K25" s="69">
        <v>0.41499999999999998</v>
      </c>
      <c r="L25" s="34"/>
      <c r="M25" s="69">
        <f>0.415</f>
        <v>0.41499999999999998</v>
      </c>
      <c r="N25" s="34"/>
      <c r="O25" s="69">
        <v>0.41499999999999998</v>
      </c>
      <c r="P25" s="34"/>
      <c r="Q25" s="253">
        <f t="shared" si="13"/>
        <v>0.41499999999999998</v>
      </c>
      <c r="R25" s="233"/>
      <c r="S25" s="257">
        <f t="shared" si="16"/>
        <v>0.55333333333333334</v>
      </c>
      <c r="T25" s="253">
        <f t="shared" si="14"/>
        <v>0.55333333333333334</v>
      </c>
      <c r="U25" s="69">
        <v>0</v>
      </c>
      <c r="V25" s="155"/>
    </row>
    <row r="26" spans="1:23" x14ac:dyDescent="0.2">
      <c r="A26" s="109"/>
      <c r="B26" s="109"/>
      <c r="C26" s="109"/>
      <c r="D26" s="109"/>
      <c r="E26" s="32" t="s">
        <v>259</v>
      </c>
      <c r="F26" s="70">
        <f>SUM(F27:F28)</f>
        <v>2400</v>
      </c>
      <c r="G26" s="70">
        <f>SUM(G27:G28)</f>
        <v>0</v>
      </c>
      <c r="H26" s="70">
        <f>SUM(H27:H28)</f>
        <v>2400</v>
      </c>
      <c r="I26" s="70">
        <f>SUM(I27:I28)</f>
        <v>1079.11871</v>
      </c>
      <c r="J26" s="206">
        <f>I26/$H26*100</f>
        <v>44.963279583333332</v>
      </c>
      <c r="K26" s="70">
        <f>SUM(K27:K28)</f>
        <v>1678.0280299999999</v>
      </c>
      <c r="L26" s="206">
        <f t="shared" si="8"/>
        <v>69.917834583333331</v>
      </c>
      <c r="M26" s="70">
        <f>SUM(M27:M28)</f>
        <v>2661.3693000000003</v>
      </c>
      <c r="N26" s="206">
        <f t="shared" si="9"/>
        <v>110.89038750000002</v>
      </c>
      <c r="O26" s="70">
        <f>SUM(O27:O28)</f>
        <v>3685.7592600000003</v>
      </c>
      <c r="P26" s="206">
        <f t="shared" si="10"/>
        <v>153.57330250000001</v>
      </c>
      <c r="Q26" s="331">
        <f>SUM(Q27:Q28)</f>
        <v>1285.7592600000003</v>
      </c>
      <c r="R26" s="112"/>
      <c r="S26" s="331">
        <f>SUM(S27:S28)</f>
        <v>3661.3693000000003</v>
      </c>
      <c r="T26" s="331">
        <f>SUM(T27:T28)</f>
        <v>1261.3693000000003</v>
      </c>
      <c r="U26" s="70">
        <f>SUM(U27:U28)</f>
        <v>3900</v>
      </c>
      <c r="V26" s="154">
        <f t="shared" si="15"/>
        <v>1.625</v>
      </c>
      <c r="W26" s="117"/>
    </row>
    <row r="27" spans="1:23" x14ac:dyDescent="0.2">
      <c r="A27" s="109"/>
      <c r="B27" s="29">
        <v>1332.1333999999999</v>
      </c>
      <c r="C27" s="109"/>
      <c r="D27" s="29">
        <v>23.12</v>
      </c>
      <c r="E27" s="29" t="s">
        <v>483</v>
      </c>
      <c r="F27" s="69">
        <v>0</v>
      </c>
      <c r="G27" s="69"/>
      <c r="H27" s="69">
        <f>SUM(F27:G27)</f>
        <v>0</v>
      </c>
      <c r="I27" s="69"/>
      <c r="J27" s="34"/>
      <c r="K27" s="69"/>
      <c r="L27" s="34"/>
      <c r="M27" s="69"/>
      <c r="N27" s="34"/>
      <c r="O27" s="69">
        <v>25.735600000000002</v>
      </c>
      <c r="P27" s="34"/>
      <c r="Q27" s="253">
        <f>O27-H27</f>
        <v>25.735600000000002</v>
      </c>
      <c r="R27" s="233"/>
      <c r="S27" s="257">
        <f>M27</f>
        <v>0</v>
      </c>
      <c r="T27" s="253">
        <f t="shared" si="14"/>
        <v>0</v>
      </c>
      <c r="U27" s="69"/>
      <c r="V27" s="155"/>
    </row>
    <row r="28" spans="1:23" x14ac:dyDescent="0.2">
      <c r="A28" s="109"/>
      <c r="B28" s="29">
        <v>1381</v>
      </c>
      <c r="C28" s="109"/>
      <c r="D28" s="29">
        <v>401</v>
      </c>
      <c r="E28" s="29" t="s">
        <v>361</v>
      </c>
      <c r="F28" s="69">
        <v>2400</v>
      </c>
      <c r="G28" s="69"/>
      <c r="H28" s="69">
        <f>SUM(F28:G28)</f>
        <v>2400</v>
      </c>
      <c r="I28" s="69">
        <f>124.86444+954.25427</f>
        <v>1079.11871</v>
      </c>
      <c r="J28" s="34">
        <f>I28/$H28*100</f>
        <v>44.963279583333332</v>
      </c>
      <c r="K28" s="69">
        <f>1447.58437+230.44366</f>
        <v>1678.0280299999999</v>
      </c>
      <c r="L28" s="34">
        <f t="shared" ref="L28:L37" si="17">K28/$H28*100</f>
        <v>69.917834583333331</v>
      </c>
      <c r="M28" s="69">
        <f>345.916+2315.4533</f>
        <v>2661.3693000000003</v>
      </c>
      <c r="N28" s="34">
        <f t="shared" ref="N28:N37" si="18">M28/$H28*100</f>
        <v>110.89038750000002</v>
      </c>
      <c r="O28" s="69">
        <f>461.66646+2.33393+3196.02327</f>
        <v>3660.0236600000003</v>
      </c>
      <c r="P28" s="34">
        <f t="shared" ref="P28:P37" si="19">O28/$H28*100</f>
        <v>152.50098583333335</v>
      </c>
      <c r="Q28" s="253">
        <f>O28-H28</f>
        <v>1260.0236600000003</v>
      </c>
      <c r="R28" s="233"/>
      <c r="S28" s="407">
        <f>M28+1000</f>
        <v>3661.3693000000003</v>
      </c>
      <c r="T28" s="253">
        <f t="shared" si="14"/>
        <v>1261.3693000000003</v>
      </c>
      <c r="U28" s="69">
        <v>3900</v>
      </c>
      <c r="V28" s="155">
        <f t="shared" ref="V28:V38" si="20">U28/F28</f>
        <v>1.625</v>
      </c>
    </row>
    <row r="29" spans="1:23" x14ac:dyDescent="0.2">
      <c r="A29" s="109"/>
      <c r="B29" s="109"/>
      <c r="C29" s="109"/>
      <c r="D29" s="109"/>
      <c r="E29" s="32" t="s">
        <v>150</v>
      </c>
      <c r="F29" s="70">
        <f>SUM(F30:F35)</f>
        <v>3352</v>
      </c>
      <c r="G29" s="70"/>
      <c r="H29" s="70">
        <f>SUM(H30:H35)</f>
        <v>3352</v>
      </c>
      <c r="I29" s="70">
        <f>SUM(I30:I35)</f>
        <v>1598.6888100000001</v>
      </c>
      <c r="J29" s="206">
        <f t="shared" si="12"/>
        <v>47.693580250596661</v>
      </c>
      <c r="K29" s="70">
        <f>SUM(K30:K35)</f>
        <v>2811.8667999999998</v>
      </c>
      <c r="L29" s="206">
        <f t="shared" si="17"/>
        <v>83.886241050119324</v>
      </c>
      <c r="M29" s="70">
        <f>SUM(M30:M35)</f>
        <v>3099.9974199999997</v>
      </c>
      <c r="N29" s="206">
        <f t="shared" si="18"/>
        <v>92.482023269689734</v>
      </c>
      <c r="O29" s="70">
        <f>SUM(O30:O35)</f>
        <v>3619.4287200000003</v>
      </c>
      <c r="P29" s="206">
        <f t="shared" si="19"/>
        <v>107.97818377088306</v>
      </c>
      <c r="Q29" s="331">
        <f>SUM(Q30:Q35)</f>
        <v>267.42871999999988</v>
      </c>
      <c r="R29" s="340"/>
      <c r="S29" s="331">
        <f>SUM(S30:S35)</f>
        <v>3391.0439999999999</v>
      </c>
      <c r="T29" s="331">
        <f>SUM(T30:T35)</f>
        <v>39.043999999999997</v>
      </c>
      <c r="U29" s="70">
        <f>SUM(U30:U35)</f>
        <v>3360</v>
      </c>
      <c r="V29" s="154">
        <f t="shared" si="20"/>
        <v>1.0023866348448687</v>
      </c>
    </row>
    <row r="30" spans="1:23" x14ac:dyDescent="0.2">
      <c r="A30" s="109"/>
      <c r="B30" s="29">
        <v>1340</v>
      </c>
      <c r="C30" s="109"/>
      <c r="D30" s="29">
        <v>240</v>
      </c>
      <c r="E30" s="29" t="s">
        <v>103</v>
      </c>
      <c r="F30" s="69">
        <v>3074</v>
      </c>
      <c r="G30" s="69"/>
      <c r="H30" s="69">
        <f>SUM(F30:G30)</f>
        <v>3074</v>
      </c>
      <c r="I30" s="69">
        <v>1457.7578100000001</v>
      </c>
      <c r="J30" s="34">
        <f>I30/$H30*100</f>
        <v>47.42217989590111</v>
      </c>
      <c r="K30" s="69">
        <v>2563.0637999999999</v>
      </c>
      <c r="L30" s="34">
        <f t="shared" si="17"/>
        <v>83.378783344176966</v>
      </c>
      <c r="M30" s="69">
        <v>2817.6924199999999</v>
      </c>
      <c r="N30" s="34">
        <f t="shared" si="18"/>
        <v>91.66208262849706</v>
      </c>
      <c r="O30" s="69">
        <v>3237.7657199999999</v>
      </c>
      <c r="P30" s="34">
        <f t="shared" si="19"/>
        <v>105.32744697462589</v>
      </c>
      <c r="Q30" s="253">
        <f t="shared" ref="Q30:Q35" si="21">O30-H30</f>
        <v>163.76571999999987</v>
      </c>
      <c r="R30" s="112" t="s">
        <v>267</v>
      </c>
      <c r="S30" s="254">
        <f>H30</f>
        <v>3074</v>
      </c>
      <c r="T30" s="253">
        <f>S30-H30</f>
        <v>0</v>
      </c>
      <c r="U30" s="69">
        <v>3100</v>
      </c>
      <c r="V30" s="155">
        <f t="shared" si="20"/>
        <v>1.0084580351333767</v>
      </c>
    </row>
    <row r="31" spans="1:23" x14ac:dyDescent="0.2">
      <c r="A31" s="109"/>
      <c r="B31" s="29">
        <v>1341</v>
      </c>
      <c r="C31" s="109"/>
      <c r="D31" s="29">
        <v>5</v>
      </c>
      <c r="E31" s="29" t="s">
        <v>106</v>
      </c>
      <c r="F31" s="69">
        <v>128</v>
      </c>
      <c r="G31" s="69"/>
      <c r="H31" s="69">
        <f>SUM(F31:G31)</f>
        <v>128</v>
      </c>
      <c r="I31" s="69">
        <v>91.292000000000002</v>
      </c>
      <c r="J31" s="34">
        <f>I31/$H31*100</f>
        <v>71.321875000000006</v>
      </c>
      <c r="K31" s="69">
        <v>115.89</v>
      </c>
      <c r="L31" s="34">
        <f t="shared" si="17"/>
        <v>90.5390625</v>
      </c>
      <c r="M31" s="69">
        <v>124.152</v>
      </c>
      <c r="N31" s="34">
        <f t="shared" si="18"/>
        <v>96.993750000000006</v>
      </c>
      <c r="O31" s="69">
        <v>139.68100000000001</v>
      </c>
      <c r="P31" s="34">
        <f t="shared" si="19"/>
        <v>109.12578125</v>
      </c>
      <c r="Q31" s="253">
        <f t="shared" si="21"/>
        <v>11.681000000000012</v>
      </c>
      <c r="R31" s="112"/>
      <c r="S31" s="254">
        <f>H31</f>
        <v>128</v>
      </c>
      <c r="T31" s="253">
        <f>S31-H31</f>
        <v>0</v>
      </c>
      <c r="U31" s="69">
        <v>95</v>
      </c>
      <c r="V31" s="155">
        <f t="shared" si="20"/>
        <v>0.7421875</v>
      </c>
    </row>
    <row r="32" spans="1:23" x14ac:dyDescent="0.2">
      <c r="A32" s="109"/>
      <c r="B32" s="29">
        <v>1342</v>
      </c>
      <c r="C32" s="109"/>
      <c r="D32" s="29">
        <v>9</v>
      </c>
      <c r="E32" s="29" t="s">
        <v>448</v>
      </c>
      <c r="F32" s="69"/>
      <c r="G32" s="69"/>
      <c r="H32" s="69"/>
      <c r="I32" s="69"/>
      <c r="J32" s="34"/>
      <c r="K32" s="69"/>
      <c r="L32" s="34"/>
      <c r="M32" s="69"/>
      <c r="N32" s="34"/>
      <c r="O32" s="69"/>
      <c r="P32" s="34"/>
      <c r="Q32" s="253">
        <f>O32-H32</f>
        <v>0</v>
      </c>
      <c r="R32" s="112" t="s">
        <v>449</v>
      </c>
      <c r="S32" s="254"/>
      <c r="T32" s="253"/>
      <c r="U32" s="69">
        <v>30</v>
      </c>
      <c r="V32" s="155"/>
    </row>
    <row r="33" spans="1:23" x14ac:dyDescent="0.2">
      <c r="A33" s="109"/>
      <c r="B33" s="29">
        <v>1343</v>
      </c>
      <c r="C33" s="109"/>
      <c r="D33" s="29">
        <v>30</v>
      </c>
      <c r="E33" s="29" t="s">
        <v>107</v>
      </c>
      <c r="F33" s="69">
        <v>95</v>
      </c>
      <c r="G33" s="69"/>
      <c r="H33" s="69">
        <f>SUM(F33:G33)</f>
        <v>95</v>
      </c>
      <c r="I33" s="69">
        <v>37.323999999999998</v>
      </c>
      <c r="J33" s="34">
        <f>I33/$H33*100</f>
        <v>39.288421052631577</v>
      </c>
      <c r="K33" s="69">
        <v>71.52</v>
      </c>
      <c r="L33" s="34">
        <f>K33/$H33*100</f>
        <v>75.284210526315789</v>
      </c>
      <c r="M33" s="69">
        <v>93.033000000000001</v>
      </c>
      <c r="N33" s="34">
        <f>M33/$H33*100</f>
        <v>97.929473684210535</v>
      </c>
      <c r="O33" s="69">
        <v>118.59699999999999</v>
      </c>
      <c r="P33" s="34">
        <f>O33/$H33*100</f>
        <v>124.83894736842105</v>
      </c>
      <c r="Q33" s="253">
        <f>O33-H33</f>
        <v>23.596999999999994</v>
      </c>
      <c r="R33" s="112"/>
      <c r="S33" s="257">
        <f>M33/3*4</f>
        <v>124.044</v>
      </c>
      <c r="T33" s="253">
        <f>S33-H33</f>
        <v>29.043999999999997</v>
      </c>
      <c r="U33" s="69">
        <v>120</v>
      </c>
      <c r="V33" s="155">
        <f>U33/F33</f>
        <v>1.263157894736842</v>
      </c>
    </row>
    <row r="34" spans="1:23" x14ac:dyDescent="0.2">
      <c r="A34" s="109"/>
      <c r="B34" s="29">
        <v>1344</v>
      </c>
      <c r="C34" s="109"/>
      <c r="D34" s="29">
        <v>31</v>
      </c>
      <c r="E34" s="29" t="s">
        <v>108</v>
      </c>
      <c r="F34" s="69">
        <v>0</v>
      </c>
      <c r="G34" s="69"/>
      <c r="H34" s="69">
        <f>SUM(F34:G34)</f>
        <v>0</v>
      </c>
      <c r="I34" s="69">
        <v>10</v>
      </c>
      <c r="J34" s="34"/>
      <c r="K34" s="69">
        <v>10</v>
      </c>
      <c r="L34" s="34"/>
      <c r="M34" s="69">
        <v>10</v>
      </c>
      <c r="N34" s="34"/>
      <c r="O34" s="69">
        <v>10</v>
      </c>
      <c r="P34" s="34"/>
      <c r="Q34" s="253">
        <f>O34-H34</f>
        <v>10</v>
      </c>
      <c r="R34" s="112"/>
      <c r="S34" s="254">
        <f>M34</f>
        <v>10</v>
      </c>
      <c r="T34" s="253">
        <f>S34-H34</f>
        <v>10</v>
      </c>
      <c r="U34" s="69">
        <v>0</v>
      </c>
      <c r="V34" s="155"/>
    </row>
    <row r="35" spans="1:23" ht="13.5" customHeight="1" x14ac:dyDescent="0.2">
      <c r="A35" s="109"/>
      <c r="B35" s="29">
        <v>1345</v>
      </c>
      <c r="C35" s="109"/>
      <c r="D35" s="29">
        <v>28.29</v>
      </c>
      <c r="E35" s="29" t="s">
        <v>326</v>
      </c>
      <c r="F35" s="69">
        <v>55</v>
      </c>
      <c r="G35" s="69"/>
      <c r="H35" s="69">
        <f>SUM(F35:G35)</f>
        <v>55</v>
      </c>
      <c r="I35" s="69">
        <f>0.315+2</f>
        <v>2.3149999999999999</v>
      </c>
      <c r="J35" s="34">
        <f>I35/$H35*100</f>
        <v>4.209090909090909</v>
      </c>
      <c r="K35" s="69">
        <f>44.013+7.38</f>
        <v>51.393000000000001</v>
      </c>
      <c r="L35" s="34">
        <f t="shared" si="17"/>
        <v>93.441818181818178</v>
      </c>
      <c r="M35" s="69">
        <f>44.905+10.215</f>
        <v>55.120000000000005</v>
      </c>
      <c r="N35" s="34">
        <f t="shared" si="18"/>
        <v>100.21818181818183</v>
      </c>
      <c r="O35" s="69">
        <f>101.393+11.992</f>
        <v>113.38500000000001</v>
      </c>
      <c r="P35" s="34">
        <f t="shared" si="19"/>
        <v>206.15454545454548</v>
      </c>
      <c r="Q35" s="253">
        <f t="shared" si="21"/>
        <v>58.385000000000005</v>
      </c>
      <c r="R35" s="112" t="s">
        <v>450</v>
      </c>
      <c r="S35" s="254">
        <f>H35</f>
        <v>55</v>
      </c>
      <c r="T35" s="253">
        <f>S35-H35</f>
        <v>0</v>
      </c>
      <c r="U35" s="69">
        <v>15</v>
      </c>
      <c r="V35" s="155">
        <f t="shared" si="20"/>
        <v>0.27272727272727271</v>
      </c>
    </row>
    <row r="36" spans="1:23" x14ac:dyDescent="0.2">
      <c r="A36" s="96" t="s">
        <v>32</v>
      </c>
      <c r="B36" s="32"/>
      <c r="C36" s="96"/>
      <c r="D36" s="32"/>
      <c r="E36" s="32"/>
      <c r="F36" s="70">
        <f>SUM(F37)</f>
        <v>4000</v>
      </c>
      <c r="G36" s="70">
        <f>SUM(G37)</f>
        <v>0</v>
      </c>
      <c r="H36" s="70">
        <f>SUM(H37:H37)</f>
        <v>4000</v>
      </c>
      <c r="I36" s="70">
        <f>SUM(I37)</f>
        <v>57.167700000000004</v>
      </c>
      <c r="J36" s="206">
        <f t="shared" si="12"/>
        <v>1.4291925000000001</v>
      </c>
      <c r="K36" s="70">
        <f>SUM(K37)</f>
        <v>2663.0173799999998</v>
      </c>
      <c r="L36" s="206">
        <f t="shared" si="17"/>
        <v>66.5754345</v>
      </c>
      <c r="M36" s="70">
        <f>SUM(M37)</f>
        <v>2931.68181</v>
      </c>
      <c r="N36" s="206">
        <f t="shared" si="18"/>
        <v>73.292045250000001</v>
      </c>
      <c r="O36" s="70">
        <f>SUM(O37)</f>
        <v>4165.0107200000002</v>
      </c>
      <c r="P36" s="206">
        <f t="shared" si="19"/>
        <v>104.12526800000002</v>
      </c>
      <c r="Q36" s="331">
        <f>SUM(Q37:Q37)</f>
        <v>165.01072000000022</v>
      </c>
      <c r="R36" s="234"/>
      <c r="S36" s="331">
        <f>SUM(S37)</f>
        <v>4100</v>
      </c>
      <c r="T36" s="331">
        <f>SUM(T37)</f>
        <v>100</v>
      </c>
      <c r="U36" s="70">
        <f>SUM(U37)</f>
        <v>4100</v>
      </c>
      <c r="V36" s="154">
        <f t="shared" si="20"/>
        <v>1.0249999999999999</v>
      </c>
    </row>
    <row r="37" spans="1:23" ht="13.5" thickBot="1" x14ac:dyDescent="0.25">
      <c r="A37" s="109"/>
      <c r="B37" s="29">
        <v>1511</v>
      </c>
      <c r="C37" s="109" t="s">
        <v>33</v>
      </c>
      <c r="D37" s="109"/>
      <c r="E37" s="29" t="s">
        <v>173</v>
      </c>
      <c r="F37" s="69">
        <v>4000</v>
      </c>
      <c r="G37" s="69"/>
      <c r="H37" s="69">
        <f>SUM(F37:G37)</f>
        <v>4000</v>
      </c>
      <c r="I37" s="69">
        <v>57.167700000000004</v>
      </c>
      <c r="J37" s="34">
        <f t="shared" si="12"/>
        <v>1.4291925000000001</v>
      </c>
      <c r="K37" s="69">
        <v>2663.0173799999998</v>
      </c>
      <c r="L37" s="34">
        <f t="shared" si="17"/>
        <v>66.5754345</v>
      </c>
      <c r="M37" s="69">
        <v>2931.68181</v>
      </c>
      <c r="N37" s="34">
        <f t="shared" si="18"/>
        <v>73.292045250000001</v>
      </c>
      <c r="O37" s="69">
        <v>4165.0107200000002</v>
      </c>
      <c r="P37" s="34">
        <f t="shared" si="19"/>
        <v>104.12526800000002</v>
      </c>
      <c r="Q37" s="253">
        <f>O37-H37</f>
        <v>165.01072000000022</v>
      </c>
      <c r="R37" s="112"/>
      <c r="S37" s="254">
        <v>4100</v>
      </c>
      <c r="T37" s="253">
        <f>S37-H37</f>
        <v>100</v>
      </c>
      <c r="U37" s="69">
        <v>4100</v>
      </c>
      <c r="V37" s="155">
        <f t="shared" si="20"/>
        <v>1.0249999999999999</v>
      </c>
    </row>
    <row r="38" spans="1:23" ht="18" customHeight="1" thickBot="1" x14ac:dyDescent="0.3">
      <c r="A38" s="115" t="s">
        <v>34</v>
      </c>
      <c r="B38" s="116"/>
      <c r="C38" s="115"/>
      <c r="D38" s="116"/>
      <c r="E38" s="115"/>
      <c r="F38" s="71">
        <f>SUM(F5+F14+F26+F29+F36)</f>
        <v>93221</v>
      </c>
      <c r="G38" s="71">
        <f>SUM(G5+G14+G26+G29+G36)</f>
        <v>0</v>
      </c>
      <c r="H38" s="71">
        <f>SUM(H5+H14+H26+H29+H36)</f>
        <v>93221</v>
      </c>
      <c r="I38" s="71">
        <f>SUM(I5+I14+I26+I29+I36)</f>
        <v>25964.357469999995</v>
      </c>
      <c r="J38" s="36">
        <f>I38/$H38*100</f>
        <v>27.852476877527593</v>
      </c>
      <c r="K38" s="71">
        <f t="shared" ref="K38:Q38" si="22">SUM(K5+K14+K26+K29+K36)</f>
        <v>50266.642540000008</v>
      </c>
      <c r="L38" s="71">
        <f t="shared" si="22"/>
        <v>327.90569492497798</v>
      </c>
      <c r="M38" s="71">
        <f t="shared" si="22"/>
        <v>74287.547150000013</v>
      </c>
      <c r="N38" s="71">
        <f t="shared" si="22"/>
        <v>436.76034288201038</v>
      </c>
      <c r="O38" s="71">
        <f t="shared" si="22"/>
        <v>99696.052680000008</v>
      </c>
      <c r="P38" s="71">
        <f t="shared" si="22"/>
        <v>575.39744765038199</v>
      </c>
      <c r="Q38" s="335">
        <f t="shared" si="22"/>
        <v>6475.0526799999989</v>
      </c>
      <c r="R38" s="71"/>
      <c r="S38" s="335">
        <f>SUM(S5+S14+S26+S29+S36)</f>
        <v>98689.129966666675</v>
      </c>
      <c r="T38" s="335">
        <f>SUM(T5+T14+T26+T29+T36)</f>
        <v>5468.1299666666673</v>
      </c>
      <c r="U38" s="71">
        <f>SUM(U5+U14+U26+U29+U36)</f>
        <v>102820</v>
      </c>
      <c r="V38" s="156">
        <f t="shared" si="20"/>
        <v>1.1029703607556238</v>
      </c>
      <c r="W38" s="117"/>
    </row>
    <row r="39" spans="1:23" x14ac:dyDescent="0.2">
      <c r="A39" s="110"/>
      <c r="B39" s="77"/>
      <c r="C39" s="110"/>
      <c r="D39" s="77"/>
      <c r="E39" s="110" t="s">
        <v>35</v>
      </c>
      <c r="F39" s="76"/>
      <c r="G39" s="76"/>
      <c r="H39" s="76"/>
      <c r="I39" s="76"/>
      <c r="J39" s="37"/>
      <c r="K39" s="76"/>
      <c r="L39" s="37"/>
      <c r="M39" s="76"/>
      <c r="N39" s="37"/>
      <c r="O39" s="76"/>
      <c r="P39" s="37"/>
      <c r="Q39" s="336"/>
      <c r="R39" s="235"/>
      <c r="S39" s="336"/>
      <c r="T39" s="336"/>
      <c r="U39" s="76"/>
      <c r="V39" s="157"/>
    </row>
    <row r="40" spans="1:23" x14ac:dyDescent="0.2">
      <c r="A40" s="96" t="s">
        <v>36</v>
      </c>
      <c r="B40" s="32"/>
      <c r="C40" s="96"/>
      <c r="D40" s="32"/>
      <c r="E40" s="32"/>
      <c r="F40" s="70"/>
      <c r="G40" s="70"/>
      <c r="H40" s="70"/>
      <c r="I40" s="70"/>
      <c r="J40" s="34"/>
      <c r="K40" s="70"/>
      <c r="L40" s="34"/>
      <c r="M40" s="70"/>
      <c r="N40" s="34"/>
      <c r="O40" s="70"/>
      <c r="P40" s="34"/>
      <c r="Q40" s="337"/>
      <c r="R40" s="234"/>
      <c r="S40" s="337"/>
      <c r="T40" s="337"/>
      <c r="U40" s="70"/>
      <c r="V40" s="155"/>
    </row>
    <row r="41" spans="1:23" x14ac:dyDescent="0.2">
      <c r="A41" s="109"/>
      <c r="B41" s="32"/>
      <c r="C41" s="109"/>
      <c r="D41" s="32"/>
      <c r="E41" s="32" t="s">
        <v>148</v>
      </c>
      <c r="F41" s="70">
        <f>SUM(F42:F61)</f>
        <v>8979</v>
      </c>
      <c r="G41" s="70">
        <f>SUM(G42:G61)</f>
        <v>185.24199999999999</v>
      </c>
      <c r="H41" s="70">
        <f>SUM(H42:H61)</f>
        <v>9164.2419999999984</v>
      </c>
      <c r="I41" s="70">
        <f>SUM(I42:I61)</f>
        <v>1658.8281999999997</v>
      </c>
      <c r="J41" s="206">
        <f t="shared" ref="J41:J77" si="23">I41/$H41*100</f>
        <v>18.101095540689563</v>
      </c>
      <c r="K41" s="70">
        <f>SUM(K42:K61)</f>
        <v>3253.1175399999997</v>
      </c>
      <c r="L41" s="206">
        <f t="shared" ref="L41:L59" si="24">K41/$H41*100</f>
        <v>35.497944510849891</v>
      </c>
      <c r="M41" s="70">
        <f>SUM(M42:M61)</f>
        <v>7148.2795000000006</v>
      </c>
      <c r="N41" s="206">
        <f t="shared" ref="N41:N59" si="25">M41/$H41*100</f>
        <v>78.001863110991636</v>
      </c>
      <c r="O41" s="70">
        <f>SUM(O42:O61)</f>
        <v>9191.0340699999997</v>
      </c>
      <c r="P41" s="206">
        <f t="shared" ref="P41:P59" si="26">O41/$H41*100</f>
        <v>100.29235445768457</v>
      </c>
      <c r="Q41" s="331">
        <f>SUM(Q42:Q61)</f>
        <v>26.792069999999995</v>
      </c>
      <c r="R41" s="112"/>
      <c r="S41" s="331">
        <f>SUM(S42:S61)</f>
        <v>8827.9133000000002</v>
      </c>
      <c r="T41" s="331">
        <f>SUM(T42:T61)</f>
        <v>-336.32869999999969</v>
      </c>
      <c r="U41" s="70">
        <f>SUM(U42:U61)</f>
        <v>9065</v>
      </c>
      <c r="V41" s="154">
        <f t="shared" ref="V41:V59" si="27">U41/F41</f>
        <v>1.009577903998218</v>
      </c>
      <c r="W41" s="117" t="s">
        <v>252</v>
      </c>
    </row>
    <row r="42" spans="1:23" x14ac:dyDescent="0.2">
      <c r="A42" s="109"/>
      <c r="B42" s="29">
        <v>2111</v>
      </c>
      <c r="C42" s="109">
        <v>1031</v>
      </c>
      <c r="D42" s="29">
        <v>201</v>
      </c>
      <c r="E42" s="29" t="s">
        <v>94</v>
      </c>
      <c r="F42" s="69">
        <v>400</v>
      </c>
      <c r="G42" s="69"/>
      <c r="H42" s="69">
        <f t="shared" ref="H42:H61" si="28">SUM(F42:G42)</f>
        <v>400</v>
      </c>
      <c r="I42" s="69">
        <v>0.52</v>
      </c>
      <c r="J42" s="34">
        <f t="shared" si="23"/>
        <v>0.13</v>
      </c>
      <c r="K42" s="69">
        <v>6.9219999999999997</v>
      </c>
      <c r="L42" s="34">
        <f t="shared" si="24"/>
        <v>1.7305000000000001</v>
      </c>
      <c r="M42" s="69">
        <v>266.36275999999998</v>
      </c>
      <c r="N42" s="34">
        <f t="shared" si="25"/>
        <v>66.590689999999995</v>
      </c>
      <c r="O42" s="69">
        <v>338.40895999999998</v>
      </c>
      <c r="P42" s="34">
        <f t="shared" si="26"/>
        <v>84.602239999999995</v>
      </c>
      <c r="Q42" s="253">
        <f t="shared" ref="Q42:Q61" si="29">O42-H42</f>
        <v>-61.591040000000021</v>
      </c>
      <c r="R42" s="112"/>
      <c r="S42" s="257">
        <f>M42/3*4</f>
        <v>355.15034666666662</v>
      </c>
      <c r="T42" s="253">
        <f t="shared" ref="T42:T60" si="30">S42-H42</f>
        <v>-44.849653333333379</v>
      </c>
      <c r="U42" s="69">
        <f>200+52</f>
        <v>252</v>
      </c>
      <c r="V42" s="155">
        <f t="shared" si="27"/>
        <v>0.63</v>
      </c>
      <c r="W42" s="526">
        <f>35+35</f>
        <v>70</v>
      </c>
    </row>
    <row r="43" spans="1:23" x14ac:dyDescent="0.2">
      <c r="A43" s="109"/>
      <c r="B43" s="29">
        <v>2111</v>
      </c>
      <c r="C43" s="109">
        <v>2219</v>
      </c>
      <c r="D43" s="29">
        <v>43</v>
      </c>
      <c r="E43" s="29" t="s">
        <v>170</v>
      </c>
      <c r="F43" s="69">
        <v>1070</v>
      </c>
      <c r="G43" s="69"/>
      <c r="H43" s="69">
        <f t="shared" si="28"/>
        <v>1070</v>
      </c>
      <c r="I43" s="69">
        <v>270.11799999999999</v>
      </c>
      <c r="J43" s="34">
        <f t="shared" si="23"/>
        <v>25.244672897196264</v>
      </c>
      <c r="K43" s="69">
        <v>570.21500000000003</v>
      </c>
      <c r="L43" s="34">
        <f t="shared" si="24"/>
        <v>53.291121495327111</v>
      </c>
      <c r="M43" s="69">
        <v>851.18299999999999</v>
      </c>
      <c r="N43" s="34">
        <f t="shared" si="25"/>
        <v>79.549813084112159</v>
      </c>
      <c r="O43" s="69">
        <v>1102.2159999999999</v>
      </c>
      <c r="P43" s="34">
        <f t="shared" si="26"/>
        <v>103.01084112149532</v>
      </c>
      <c r="Q43" s="253">
        <f t="shared" si="29"/>
        <v>32.215999999999894</v>
      </c>
      <c r="R43" s="112"/>
      <c r="S43" s="257">
        <f>M43/3*4</f>
        <v>1134.9106666666667</v>
      </c>
      <c r="T43" s="253">
        <f t="shared" si="30"/>
        <v>64.910666666666657</v>
      </c>
      <c r="U43" s="69">
        <v>1070</v>
      </c>
      <c r="V43" s="155">
        <f t="shared" si="27"/>
        <v>1</v>
      </c>
      <c r="W43" s="117"/>
    </row>
    <row r="44" spans="1:23" x14ac:dyDescent="0.2">
      <c r="A44" s="109"/>
      <c r="B44" s="29">
        <v>2111</v>
      </c>
      <c r="C44" s="109">
        <v>3113</v>
      </c>
      <c r="D44" s="29">
        <v>302</v>
      </c>
      <c r="E44" s="29" t="s">
        <v>338</v>
      </c>
      <c r="F44" s="69">
        <v>260</v>
      </c>
      <c r="G44" s="69"/>
      <c r="H44" s="69">
        <f t="shared" si="28"/>
        <v>260</v>
      </c>
      <c r="I44" s="69">
        <v>65</v>
      </c>
      <c r="J44" s="34">
        <f t="shared" si="23"/>
        <v>25</v>
      </c>
      <c r="K44" s="69">
        <v>130</v>
      </c>
      <c r="L44" s="34">
        <f t="shared" si="24"/>
        <v>50</v>
      </c>
      <c r="M44" s="69">
        <v>195</v>
      </c>
      <c r="N44" s="34">
        <f t="shared" si="25"/>
        <v>75</v>
      </c>
      <c r="O44" s="69">
        <v>260</v>
      </c>
      <c r="P44" s="34">
        <f t="shared" si="26"/>
        <v>100</v>
      </c>
      <c r="Q44" s="253">
        <f t="shared" si="29"/>
        <v>0</v>
      </c>
      <c r="R44" s="112"/>
      <c r="S44" s="257">
        <f>M44/3*4</f>
        <v>260</v>
      </c>
      <c r="T44" s="253">
        <f t="shared" si="30"/>
        <v>0</v>
      </c>
      <c r="U44" s="69">
        <v>260</v>
      </c>
      <c r="V44" s="155">
        <f t="shared" si="27"/>
        <v>1</v>
      </c>
      <c r="W44" s="117"/>
    </row>
    <row r="45" spans="1:23" x14ac:dyDescent="0.2">
      <c r="A45" s="109"/>
      <c r="B45" s="29">
        <v>2111</v>
      </c>
      <c r="C45" s="109">
        <v>3613</v>
      </c>
      <c r="D45" s="29">
        <v>316</v>
      </c>
      <c r="E45" s="29" t="s">
        <v>340</v>
      </c>
      <c r="F45" s="69">
        <v>195</v>
      </c>
      <c r="G45" s="69"/>
      <c r="H45" s="69">
        <f t="shared" si="28"/>
        <v>195</v>
      </c>
      <c r="I45" s="69">
        <v>23.161999999999999</v>
      </c>
      <c r="J45" s="34">
        <f t="shared" si="23"/>
        <v>11.877948717948717</v>
      </c>
      <c r="K45" s="69">
        <v>55.545999999999999</v>
      </c>
      <c r="L45" s="34">
        <f t="shared" si="24"/>
        <v>28.485128205128206</v>
      </c>
      <c r="M45" s="69">
        <v>88.906000000000006</v>
      </c>
      <c r="N45" s="34">
        <f t="shared" si="25"/>
        <v>45.592820512820516</v>
      </c>
      <c r="O45" s="69">
        <v>95.414000000000001</v>
      </c>
      <c r="P45" s="34">
        <f t="shared" si="26"/>
        <v>48.930256410256412</v>
      </c>
      <c r="Q45" s="253">
        <f t="shared" si="29"/>
        <v>-99.585999999999999</v>
      </c>
      <c r="R45" s="112"/>
      <c r="S45" s="257">
        <f>M45/3*4</f>
        <v>118.54133333333334</v>
      </c>
      <c r="T45" s="253">
        <f t="shared" si="30"/>
        <v>-76.458666666666659</v>
      </c>
      <c r="U45" s="69">
        <v>150</v>
      </c>
      <c r="V45" s="155">
        <f t="shared" si="27"/>
        <v>0.76923076923076927</v>
      </c>
      <c r="W45" s="117"/>
    </row>
    <row r="46" spans="1:23" x14ac:dyDescent="0.2">
      <c r="A46" s="109"/>
      <c r="B46" s="29">
        <v>2111</v>
      </c>
      <c r="C46" s="109">
        <v>3412</v>
      </c>
      <c r="D46" s="29">
        <v>216</v>
      </c>
      <c r="E46" s="29" t="s">
        <v>372</v>
      </c>
      <c r="F46" s="69">
        <v>200</v>
      </c>
      <c r="G46" s="69"/>
      <c r="H46" s="69">
        <f t="shared" si="28"/>
        <v>200</v>
      </c>
      <c r="I46" s="69">
        <v>126.476</v>
      </c>
      <c r="J46" s="34">
        <f t="shared" si="23"/>
        <v>63.237999999999992</v>
      </c>
      <c r="K46" s="69">
        <f>95.465+44.892</f>
        <v>140.357</v>
      </c>
      <c r="L46" s="34">
        <f t="shared" si="24"/>
        <v>70.1785</v>
      </c>
      <c r="M46" s="69">
        <v>95.465000000000003</v>
      </c>
      <c r="N46" s="34">
        <f t="shared" si="25"/>
        <v>47.732500000000002</v>
      </c>
      <c r="O46" s="69">
        <v>205.99959999999999</v>
      </c>
      <c r="P46" s="34"/>
      <c r="Q46" s="253">
        <f t="shared" si="29"/>
        <v>5.9995999999999867</v>
      </c>
      <c r="R46" s="112"/>
      <c r="S46" s="257">
        <f>M46/3*4</f>
        <v>127.28666666666668</v>
      </c>
      <c r="T46" s="253">
        <f t="shared" si="30"/>
        <v>-72.713333333333324</v>
      </c>
      <c r="U46" s="69">
        <v>115</v>
      </c>
      <c r="V46" s="155">
        <f t="shared" si="27"/>
        <v>0.57499999999999996</v>
      </c>
      <c r="W46" s="117"/>
    </row>
    <row r="47" spans="1:23" x14ac:dyDescent="0.2">
      <c r="A47" s="109"/>
      <c r="B47" s="29">
        <v>2111</v>
      </c>
      <c r="C47" s="109">
        <v>3314</v>
      </c>
      <c r="D47" s="29">
        <v>504</v>
      </c>
      <c r="E47" s="29" t="s">
        <v>169</v>
      </c>
      <c r="F47" s="69">
        <v>96</v>
      </c>
      <c r="G47" s="69"/>
      <c r="H47" s="69">
        <f t="shared" si="28"/>
        <v>96</v>
      </c>
      <c r="I47" s="69">
        <f>68.593+4.489</f>
        <v>73.082000000000008</v>
      </c>
      <c r="J47" s="34">
        <f t="shared" si="23"/>
        <v>76.127083333333346</v>
      </c>
      <c r="K47" s="69">
        <f>81.838+4.489</f>
        <v>86.326999999999998</v>
      </c>
      <c r="L47" s="34">
        <f t="shared" si="24"/>
        <v>89.923958333333331</v>
      </c>
      <c r="M47" s="69">
        <v>93.975999999999999</v>
      </c>
      <c r="N47" s="34">
        <f t="shared" si="25"/>
        <v>97.891666666666666</v>
      </c>
      <c r="O47" s="69">
        <v>100.221</v>
      </c>
      <c r="P47" s="34">
        <f t="shared" si="26"/>
        <v>104.39687500000001</v>
      </c>
      <c r="Q47" s="253">
        <f t="shared" si="29"/>
        <v>4.2210000000000036</v>
      </c>
      <c r="R47" s="112"/>
      <c r="S47" s="407">
        <v>96</v>
      </c>
      <c r="T47" s="253">
        <f t="shared" si="30"/>
        <v>0</v>
      </c>
      <c r="U47" s="69">
        <v>98</v>
      </c>
      <c r="V47" s="155">
        <f t="shared" si="27"/>
        <v>1.0208333333333333</v>
      </c>
      <c r="W47" s="117"/>
    </row>
    <row r="48" spans="1:23" x14ac:dyDescent="0.2">
      <c r="A48" s="109"/>
      <c r="B48" s="29">
        <v>2111</v>
      </c>
      <c r="C48" s="397" t="s">
        <v>282</v>
      </c>
      <c r="D48" s="29">
        <v>41</v>
      </c>
      <c r="E48" s="29" t="s">
        <v>40</v>
      </c>
      <c r="F48" s="69">
        <v>80</v>
      </c>
      <c r="G48" s="69"/>
      <c r="H48" s="69">
        <f t="shared" si="28"/>
        <v>80</v>
      </c>
      <c r="I48" s="69">
        <v>23.265000000000001</v>
      </c>
      <c r="J48" s="34">
        <f t="shared" si="23"/>
        <v>29.081250000000004</v>
      </c>
      <c r="K48" s="69">
        <v>50.13</v>
      </c>
      <c r="L48" s="34">
        <f t="shared" si="24"/>
        <v>62.662500000000001</v>
      </c>
      <c r="M48" s="69">
        <v>63.66</v>
      </c>
      <c r="N48" s="34">
        <f t="shared" si="25"/>
        <v>79.574999999999989</v>
      </c>
      <c r="O48" s="69">
        <v>82.245000000000005</v>
      </c>
      <c r="P48" s="34">
        <f t="shared" si="26"/>
        <v>102.80625000000001</v>
      </c>
      <c r="Q48" s="253">
        <f t="shared" si="29"/>
        <v>2.2450000000000045</v>
      </c>
      <c r="R48" s="112"/>
      <c r="S48" s="257">
        <f t="shared" ref="S48:S56" si="31">M48/3*4</f>
        <v>84.88</v>
      </c>
      <c r="T48" s="253">
        <f t="shared" si="30"/>
        <v>4.8799999999999955</v>
      </c>
      <c r="U48" s="69">
        <v>80</v>
      </c>
      <c r="V48" s="155">
        <f t="shared" si="27"/>
        <v>1</v>
      </c>
      <c r="W48" s="526">
        <v>14</v>
      </c>
    </row>
    <row r="49" spans="1:24" x14ac:dyDescent="0.2">
      <c r="A49" s="109"/>
      <c r="B49" s="29">
        <v>2111</v>
      </c>
      <c r="C49" s="109">
        <v>3349</v>
      </c>
      <c r="D49" s="29">
        <v>42</v>
      </c>
      <c r="E49" s="29" t="s">
        <v>37</v>
      </c>
      <c r="F49" s="69">
        <v>100</v>
      </c>
      <c r="G49" s="69"/>
      <c r="H49" s="69">
        <f t="shared" si="28"/>
        <v>100</v>
      </c>
      <c r="I49" s="69">
        <v>34.286000000000001</v>
      </c>
      <c r="J49" s="34">
        <f t="shared" si="23"/>
        <v>34.286000000000001</v>
      </c>
      <c r="K49" s="69">
        <v>64.025000000000006</v>
      </c>
      <c r="L49" s="34">
        <f t="shared" si="24"/>
        <v>64.025000000000006</v>
      </c>
      <c r="M49" s="69">
        <v>88.463999999999999</v>
      </c>
      <c r="N49" s="34">
        <f t="shared" si="25"/>
        <v>88.463999999999999</v>
      </c>
      <c r="O49" s="69">
        <v>120.20699999999999</v>
      </c>
      <c r="P49" s="34">
        <f t="shared" si="26"/>
        <v>120.20699999999999</v>
      </c>
      <c r="Q49" s="253">
        <f t="shared" si="29"/>
        <v>20.206999999999994</v>
      </c>
      <c r="R49" s="112"/>
      <c r="S49" s="257">
        <f t="shared" si="31"/>
        <v>117.952</v>
      </c>
      <c r="T49" s="253">
        <f t="shared" si="30"/>
        <v>17.951999999999998</v>
      </c>
      <c r="U49" s="69">
        <v>100</v>
      </c>
      <c r="V49" s="155">
        <f t="shared" si="27"/>
        <v>1</v>
      </c>
      <c r="W49" s="526">
        <v>18</v>
      </c>
    </row>
    <row r="50" spans="1:24" x14ac:dyDescent="0.2">
      <c r="A50" s="109"/>
      <c r="B50" s="29">
        <v>2111</v>
      </c>
      <c r="C50" s="109">
        <v>3612</v>
      </c>
      <c r="D50" s="29" t="s">
        <v>299</v>
      </c>
      <c r="E50" s="29" t="s">
        <v>174</v>
      </c>
      <c r="F50" s="69">
        <v>2050</v>
      </c>
      <c r="G50" s="69"/>
      <c r="H50" s="69">
        <f t="shared" si="28"/>
        <v>2050</v>
      </c>
      <c r="I50" s="69">
        <f>73.402+209.509+56.1</f>
        <v>339.01100000000002</v>
      </c>
      <c r="J50" s="34">
        <f t="shared" si="23"/>
        <v>16.537121951219515</v>
      </c>
      <c r="K50" s="69">
        <f>349.543+7.591+212.601</f>
        <v>569.73500000000001</v>
      </c>
      <c r="L50" s="34">
        <f t="shared" si="24"/>
        <v>27.791951219512196</v>
      </c>
      <c r="M50" s="69">
        <f>706.147-1.616+434.124</f>
        <v>1138.6550000000002</v>
      </c>
      <c r="N50" s="34">
        <f t="shared" si="25"/>
        <v>55.544146341463431</v>
      </c>
      <c r="O50" s="69">
        <f>989.118-8.319+625.94</f>
        <v>1606.739</v>
      </c>
      <c r="P50" s="34">
        <f t="shared" si="26"/>
        <v>78.377512195121952</v>
      </c>
      <c r="Q50" s="253">
        <f t="shared" si="29"/>
        <v>-443.26099999999997</v>
      </c>
      <c r="R50" s="126"/>
      <c r="S50" s="257">
        <f t="shared" si="31"/>
        <v>1518.2066666666669</v>
      </c>
      <c r="T50" s="253">
        <f t="shared" si="30"/>
        <v>-531.79333333333307</v>
      </c>
      <c r="U50" s="69">
        <v>1980</v>
      </c>
      <c r="V50" s="155">
        <f t="shared" si="27"/>
        <v>0.96585365853658534</v>
      </c>
      <c r="W50" s="117"/>
    </row>
    <row r="51" spans="1:24" x14ac:dyDescent="0.2">
      <c r="A51" s="109"/>
      <c r="B51" s="29">
        <v>2111</v>
      </c>
      <c r="C51" s="109">
        <v>3613</v>
      </c>
      <c r="D51" s="29">
        <v>703</v>
      </c>
      <c r="E51" s="29" t="s">
        <v>175</v>
      </c>
      <c r="F51" s="69">
        <v>300</v>
      </c>
      <c r="G51" s="69"/>
      <c r="H51" s="69">
        <f t="shared" si="28"/>
        <v>300</v>
      </c>
      <c r="I51" s="69">
        <v>13.02</v>
      </c>
      <c r="J51" s="34">
        <f t="shared" si="23"/>
        <v>4.34</v>
      </c>
      <c r="K51" s="69">
        <f>101.01787</f>
        <v>101.01787</v>
      </c>
      <c r="L51" s="34">
        <f t="shared" si="24"/>
        <v>33.672623333333334</v>
      </c>
      <c r="M51" s="69">
        <v>185.85186999999999</v>
      </c>
      <c r="N51" s="34">
        <f t="shared" si="25"/>
        <v>61.950623333333333</v>
      </c>
      <c r="O51" s="69">
        <v>276.02587</v>
      </c>
      <c r="P51" s="34">
        <f t="shared" si="26"/>
        <v>92.008623333333333</v>
      </c>
      <c r="Q51" s="253">
        <f t="shared" si="29"/>
        <v>-23.974130000000002</v>
      </c>
      <c r="R51" s="236"/>
      <c r="S51" s="257">
        <f t="shared" si="31"/>
        <v>247.80249333333333</v>
      </c>
      <c r="T51" s="253">
        <f t="shared" si="30"/>
        <v>-52.197506666666669</v>
      </c>
      <c r="U51" s="69">
        <v>300</v>
      </c>
      <c r="V51" s="155">
        <f t="shared" si="27"/>
        <v>1</v>
      </c>
      <c r="W51" s="117"/>
    </row>
    <row r="52" spans="1:24" x14ac:dyDescent="0.2">
      <c r="A52" s="109"/>
      <c r="B52" s="29">
        <v>2111</v>
      </c>
      <c r="C52" s="109">
        <v>3632</v>
      </c>
      <c r="D52" s="29">
        <v>238</v>
      </c>
      <c r="E52" s="29" t="s">
        <v>38</v>
      </c>
      <c r="F52" s="69">
        <v>100</v>
      </c>
      <c r="G52" s="69"/>
      <c r="H52" s="69">
        <f t="shared" si="28"/>
        <v>100</v>
      </c>
      <c r="I52" s="69"/>
      <c r="J52" s="34">
        <f t="shared" si="23"/>
        <v>0</v>
      </c>
      <c r="K52" s="69">
        <f>17.15+12.732</f>
        <v>29.881999999999998</v>
      </c>
      <c r="L52" s="34">
        <f t="shared" si="24"/>
        <v>29.881999999999998</v>
      </c>
      <c r="M52" s="69">
        <v>46.5</v>
      </c>
      <c r="N52" s="34">
        <f t="shared" si="25"/>
        <v>46.5</v>
      </c>
      <c r="O52" s="69">
        <f>119.638+37.885</f>
        <v>157.523</v>
      </c>
      <c r="P52" s="34">
        <f t="shared" si="26"/>
        <v>157.523</v>
      </c>
      <c r="Q52" s="253">
        <f t="shared" si="29"/>
        <v>57.522999999999996</v>
      </c>
      <c r="R52" s="112"/>
      <c r="S52" s="407">
        <f>M52*2</f>
        <v>93</v>
      </c>
      <c r="T52" s="253">
        <f t="shared" si="30"/>
        <v>-7</v>
      </c>
      <c r="U52" s="69">
        <v>190</v>
      </c>
      <c r="V52" s="155">
        <f t="shared" si="27"/>
        <v>1.9</v>
      </c>
      <c r="W52" s="117"/>
    </row>
    <row r="53" spans="1:24" x14ac:dyDescent="0.2">
      <c r="A53" s="109"/>
      <c r="B53" s="29">
        <v>2111</v>
      </c>
      <c r="C53" s="109">
        <v>3639</v>
      </c>
      <c r="D53" s="29">
        <v>21.318999999999999</v>
      </c>
      <c r="E53" s="29" t="s">
        <v>261</v>
      </c>
      <c r="F53" s="69">
        <f>18+48</f>
        <v>66</v>
      </c>
      <c r="G53" s="69"/>
      <c r="H53" s="69">
        <f t="shared" si="28"/>
        <v>66</v>
      </c>
      <c r="I53" s="69">
        <f>13.847+9.075</f>
        <v>22.921999999999997</v>
      </c>
      <c r="J53" s="34">
        <f t="shared" si="23"/>
        <v>34.730303030303027</v>
      </c>
      <c r="K53" s="69">
        <f>31.833+18.15</f>
        <v>49.982999999999997</v>
      </c>
      <c r="L53" s="34">
        <f t="shared" si="24"/>
        <v>75.731818181818184</v>
      </c>
      <c r="M53" s="69">
        <f>42.003+27.225</f>
        <v>69.228000000000009</v>
      </c>
      <c r="N53" s="34">
        <f t="shared" si="25"/>
        <v>104.8909090909091</v>
      </c>
      <c r="O53" s="69">
        <f>55.837+25.4592</f>
        <v>81.296199999999999</v>
      </c>
      <c r="P53" s="34">
        <f t="shared" si="26"/>
        <v>123.17606060606062</v>
      </c>
      <c r="Q53" s="253">
        <f t="shared" si="29"/>
        <v>15.296199999999999</v>
      </c>
      <c r="R53" s="112"/>
      <c r="S53" s="257">
        <f t="shared" si="31"/>
        <v>92.304000000000016</v>
      </c>
      <c r="T53" s="253">
        <f t="shared" si="30"/>
        <v>26.304000000000016</v>
      </c>
      <c r="U53" s="69">
        <f>36+91</f>
        <v>127</v>
      </c>
      <c r="V53" s="155">
        <f t="shared" si="27"/>
        <v>1.9242424242424243</v>
      </c>
      <c r="W53" s="117">
        <v>11</v>
      </c>
    </row>
    <row r="54" spans="1:24" x14ac:dyDescent="0.2">
      <c r="A54" s="109"/>
      <c r="B54" s="29">
        <v>2111.2323999999999</v>
      </c>
      <c r="C54" s="109">
        <v>3639</v>
      </c>
      <c r="D54" s="29">
        <v>239.22300000000001</v>
      </c>
      <c r="E54" s="29" t="s">
        <v>484</v>
      </c>
      <c r="F54" s="69">
        <v>40</v>
      </c>
      <c r="G54" s="69"/>
      <c r="H54" s="69">
        <f t="shared" si="28"/>
        <v>40</v>
      </c>
      <c r="I54" s="69">
        <v>23.148199999999999</v>
      </c>
      <c r="J54" s="34">
        <f t="shared" si="23"/>
        <v>57.8705</v>
      </c>
      <c r="K54" s="69">
        <f>5+23.1482</f>
        <v>28.148199999999999</v>
      </c>
      <c r="L54" s="34">
        <f t="shared" si="24"/>
        <v>70.370500000000007</v>
      </c>
      <c r="M54" s="69">
        <v>20</v>
      </c>
      <c r="N54" s="34">
        <f t="shared" si="25"/>
        <v>50</v>
      </c>
      <c r="O54" s="69">
        <f>10+25</f>
        <v>35</v>
      </c>
      <c r="P54" s="34">
        <f t="shared" si="26"/>
        <v>87.5</v>
      </c>
      <c r="Q54" s="253">
        <f t="shared" si="29"/>
        <v>-5</v>
      </c>
      <c r="R54" s="112"/>
      <c r="S54" s="257">
        <f t="shared" si="31"/>
        <v>26.666666666666668</v>
      </c>
      <c r="T54" s="253">
        <f t="shared" si="30"/>
        <v>-13.333333333333332</v>
      </c>
      <c r="U54" s="69">
        <v>6</v>
      </c>
      <c r="V54" s="155">
        <f t="shared" si="27"/>
        <v>0.15</v>
      </c>
      <c r="W54" s="117"/>
    </row>
    <row r="55" spans="1:24" x14ac:dyDescent="0.2">
      <c r="A55" s="109"/>
      <c r="B55" s="29">
        <v>2111</v>
      </c>
      <c r="C55" s="109">
        <v>3639</v>
      </c>
      <c r="D55" s="29">
        <v>243</v>
      </c>
      <c r="E55" s="29" t="s">
        <v>92</v>
      </c>
      <c r="F55" s="69">
        <v>45</v>
      </c>
      <c r="G55" s="69"/>
      <c r="H55" s="69">
        <f t="shared" si="28"/>
        <v>45</v>
      </c>
      <c r="I55" s="69">
        <v>8.9550000000000001</v>
      </c>
      <c r="J55" s="34">
        <f t="shared" si="23"/>
        <v>19.900000000000002</v>
      </c>
      <c r="K55" s="69">
        <v>20.350000000000001</v>
      </c>
      <c r="L55" s="34">
        <f t="shared" si="24"/>
        <v>45.222222222222221</v>
      </c>
      <c r="M55" s="69">
        <v>35.064999999999998</v>
      </c>
      <c r="N55" s="34">
        <f t="shared" si="25"/>
        <v>77.922222222222217</v>
      </c>
      <c r="O55" s="69">
        <v>44.585000000000001</v>
      </c>
      <c r="P55" s="34">
        <f t="shared" si="26"/>
        <v>99.077777777777783</v>
      </c>
      <c r="Q55" s="253">
        <f t="shared" si="29"/>
        <v>-0.41499999999999915</v>
      </c>
      <c r="R55" s="112"/>
      <c r="S55" s="257">
        <f t="shared" si="31"/>
        <v>46.75333333333333</v>
      </c>
      <c r="T55" s="253">
        <f t="shared" si="30"/>
        <v>1.7533333333333303</v>
      </c>
      <c r="U55" s="69">
        <v>45</v>
      </c>
      <c r="V55" s="155">
        <f t="shared" si="27"/>
        <v>1</v>
      </c>
      <c r="W55" s="526">
        <v>8</v>
      </c>
    </row>
    <row r="56" spans="1:24" x14ac:dyDescent="0.2">
      <c r="A56" s="109"/>
      <c r="B56" s="29">
        <v>2111</v>
      </c>
      <c r="C56" s="109">
        <v>4351</v>
      </c>
      <c r="D56" s="29">
        <v>227</v>
      </c>
      <c r="E56" s="29" t="s">
        <v>146</v>
      </c>
      <c r="F56" s="69">
        <f>80+100+750+20</f>
        <v>950</v>
      </c>
      <c r="G56" s="69">
        <f>12+25+25</f>
        <v>62</v>
      </c>
      <c r="H56" s="69">
        <f t="shared" si="28"/>
        <v>1012</v>
      </c>
      <c r="I56" s="69">
        <v>252.39599999999999</v>
      </c>
      <c r="J56" s="34">
        <f t="shared" si="23"/>
        <v>24.940316205533595</v>
      </c>
      <c r="K56" s="69">
        <f>425.022+150+24.756</f>
        <v>599.77799999999991</v>
      </c>
      <c r="L56" s="34">
        <f t="shared" si="24"/>
        <v>59.26660079051382</v>
      </c>
      <c r="M56" s="69">
        <f>615.15+175+24.756</f>
        <v>814.90599999999995</v>
      </c>
      <c r="N56" s="34">
        <f t="shared" si="25"/>
        <v>80.524308300395248</v>
      </c>
      <c r="O56" s="69">
        <f>840.028+225+24.756</f>
        <v>1089.7840000000001</v>
      </c>
      <c r="P56" s="34">
        <f t="shared" si="26"/>
        <v>107.68616600790514</v>
      </c>
      <c r="Q56" s="253">
        <f t="shared" si="29"/>
        <v>77.784000000000106</v>
      </c>
      <c r="R56" s="114"/>
      <c r="S56" s="257">
        <f t="shared" si="31"/>
        <v>1086.5413333333333</v>
      </c>
      <c r="T56" s="253">
        <f t="shared" si="30"/>
        <v>74.541333333333341</v>
      </c>
      <c r="U56" s="69">
        <f>100+800+10+175</f>
        <v>1085</v>
      </c>
      <c r="V56" s="155">
        <f t="shared" si="27"/>
        <v>1.1421052631578947</v>
      </c>
      <c r="W56" s="117"/>
    </row>
    <row r="57" spans="1:24" x14ac:dyDescent="0.2">
      <c r="A57" s="109"/>
      <c r="B57" s="29">
        <v>2111</v>
      </c>
      <c r="C57" s="109">
        <v>6171</v>
      </c>
      <c r="D57" s="29">
        <v>911</v>
      </c>
      <c r="E57" s="29" t="s">
        <v>176</v>
      </c>
      <c r="F57" s="69">
        <f>140+60</f>
        <v>200</v>
      </c>
      <c r="G57" s="69"/>
      <c r="H57" s="69">
        <f t="shared" si="28"/>
        <v>200</v>
      </c>
      <c r="I57" s="69">
        <f>50+3.5+0.16+1.786+6.8+21.6881+0.29</f>
        <v>84.224100000000007</v>
      </c>
      <c r="J57" s="34">
        <f t="shared" si="23"/>
        <v>42.112050000000004</v>
      </c>
      <c r="K57" s="512">
        <f>0.8+115+3.5+0.16+9.88+1.886+12.8+21.6881+0.695</f>
        <v>166.4091</v>
      </c>
      <c r="L57" s="34">
        <f t="shared" si="24"/>
        <v>83.204549999999998</v>
      </c>
      <c r="M57" s="69">
        <f>127+3.5+0.16+15.808+2.186+25+21.9381+1.03</f>
        <v>196.62209999999999</v>
      </c>
      <c r="N57" s="34">
        <f t="shared" si="25"/>
        <v>98.311049999999994</v>
      </c>
      <c r="O57" s="69">
        <f>127+3.5+1.24+25.688+2.516+26.2+40.0276+1.14</f>
        <v>227.31159999999997</v>
      </c>
      <c r="P57" s="34">
        <f t="shared" si="26"/>
        <v>113.6558</v>
      </c>
      <c r="Q57" s="253">
        <f t="shared" si="29"/>
        <v>27.31159999999997</v>
      </c>
      <c r="R57" s="112"/>
      <c r="S57" s="407">
        <f>M57+30</f>
        <v>226.62209999999999</v>
      </c>
      <c r="T57" s="253">
        <f t="shared" si="30"/>
        <v>26.622099999999989</v>
      </c>
      <c r="U57" s="69">
        <f>130+70</f>
        <v>200</v>
      </c>
      <c r="V57" s="155">
        <f t="shared" si="27"/>
        <v>1</v>
      </c>
      <c r="W57" s="117">
        <v>13</v>
      </c>
    </row>
    <row r="58" spans="1:24" x14ac:dyDescent="0.2">
      <c r="A58" s="109"/>
      <c r="B58" s="29">
        <v>2119</v>
      </c>
      <c r="C58" s="109">
        <v>2121</v>
      </c>
      <c r="D58" s="29">
        <v>20</v>
      </c>
      <c r="E58" s="29" t="s">
        <v>234</v>
      </c>
      <c r="F58" s="69">
        <v>30</v>
      </c>
      <c r="G58" s="69">
        <v>35</v>
      </c>
      <c r="H58" s="69">
        <f t="shared" si="28"/>
        <v>65</v>
      </c>
      <c r="I58" s="69">
        <v>3.0089999999999999</v>
      </c>
      <c r="J58" s="34">
        <f t="shared" si="23"/>
        <v>4.6292307692307686</v>
      </c>
      <c r="K58" s="69">
        <v>59.766469999999998</v>
      </c>
      <c r="L58" s="34">
        <f t="shared" si="24"/>
        <v>91.948415384615373</v>
      </c>
      <c r="M58" s="69">
        <v>62.828470000000003</v>
      </c>
      <c r="N58" s="34">
        <f t="shared" si="25"/>
        <v>96.659184615384618</v>
      </c>
      <c r="O58" s="69">
        <v>224.94747000000001</v>
      </c>
      <c r="P58" s="34">
        <f t="shared" si="26"/>
        <v>346.0730307692308</v>
      </c>
      <c r="Q58" s="253">
        <f t="shared" si="29"/>
        <v>159.94747000000001</v>
      </c>
      <c r="R58" s="112"/>
      <c r="S58" s="257">
        <f>M58/3*4</f>
        <v>83.771293333333332</v>
      </c>
      <c r="T58" s="253">
        <f t="shared" si="30"/>
        <v>18.771293333333332</v>
      </c>
      <c r="U58" s="69">
        <v>30</v>
      </c>
      <c r="V58" s="155">
        <f t="shared" si="27"/>
        <v>1</v>
      </c>
      <c r="W58" s="526">
        <v>5</v>
      </c>
    </row>
    <row r="59" spans="1:24" x14ac:dyDescent="0.2">
      <c r="A59" s="109"/>
      <c r="B59" s="29">
        <v>2122</v>
      </c>
      <c r="C59" s="109"/>
      <c r="D59" s="29"/>
      <c r="E59" s="29" t="s">
        <v>244</v>
      </c>
      <c r="F59" s="69">
        <f>8+462+223+647+657</f>
        <v>1997</v>
      </c>
      <c r="G59" s="69">
        <f>6.806+42.846+8.228+0.402</f>
        <v>58.281999999999996</v>
      </c>
      <c r="H59" s="69">
        <f t="shared" si="28"/>
        <v>2055.2820000000002</v>
      </c>
      <c r="I59" s="69"/>
      <c r="J59" s="34">
        <f t="shared" si="23"/>
        <v>0</v>
      </c>
      <c r="K59" s="69">
        <v>0</v>
      </c>
      <c r="L59" s="34">
        <f t="shared" si="24"/>
        <v>0</v>
      </c>
      <c r="M59" s="514">
        <f>231.228+651.668+504.846+8.402+657</f>
        <v>2053.1440000000002</v>
      </c>
      <c r="N59" s="34">
        <f t="shared" si="25"/>
        <v>99.895975345475705</v>
      </c>
      <c r="O59" s="69">
        <f>231.228+653.806+504.846+8.402+657</f>
        <v>2055.2820000000002</v>
      </c>
      <c r="P59" s="444">
        <f t="shared" si="26"/>
        <v>100</v>
      </c>
      <c r="Q59" s="253">
        <f t="shared" si="29"/>
        <v>0</v>
      </c>
      <c r="R59" s="126"/>
      <c r="S59" s="254">
        <f>M59</f>
        <v>2053.1440000000002</v>
      </c>
      <c r="T59" s="253">
        <f t="shared" si="30"/>
        <v>-2.13799999999992</v>
      </c>
      <c r="U59" s="69">
        <f>231+661+657+462+66</f>
        <v>2077</v>
      </c>
      <c r="V59" s="155">
        <f t="shared" si="27"/>
        <v>1.0400600901352028</v>
      </c>
      <c r="W59" s="117"/>
    </row>
    <row r="60" spans="1:24" x14ac:dyDescent="0.2">
      <c r="A60" s="109"/>
      <c r="B60" s="29">
        <v>2129</v>
      </c>
      <c r="C60" s="109">
        <v>3114</v>
      </c>
      <c r="D60" s="29">
        <v>311</v>
      </c>
      <c r="E60" s="29" t="s">
        <v>368</v>
      </c>
      <c r="F60" s="69">
        <v>0</v>
      </c>
      <c r="G60" s="69"/>
      <c r="H60" s="69">
        <f t="shared" si="28"/>
        <v>0</v>
      </c>
      <c r="I60" s="69">
        <v>0.67700000000000005</v>
      </c>
      <c r="J60" s="34"/>
      <c r="K60" s="69"/>
      <c r="L60" s="34"/>
      <c r="M60" s="69">
        <v>0.67700000000000005</v>
      </c>
      <c r="N60" s="34"/>
      <c r="O60" s="69">
        <v>12.809469999999999</v>
      </c>
      <c r="P60" s="444"/>
      <c r="Q60" s="253">
        <f t="shared" si="29"/>
        <v>12.809469999999999</v>
      </c>
      <c r="R60" s="126"/>
      <c r="S60" s="254">
        <v>16</v>
      </c>
      <c r="T60" s="253">
        <f t="shared" si="30"/>
        <v>16</v>
      </c>
      <c r="U60" s="69">
        <v>0</v>
      </c>
      <c r="V60" s="155"/>
      <c r="W60" s="117"/>
    </row>
    <row r="61" spans="1:24" x14ac:dyDescent="0.2">
      <c r="A61" s="109"/>
      <c r="B61" s="29">
        <v>2324</v>
      </c>
      <c r="C61" s="109">
        <v>3725</v>
      </c>
      <c r="D61" s="29">
        <v>240</v>
      </c>
      <c r="E61" s="29" t="s">
        <v>120</v>
      </c>
      <c r="F61" s="69">
        <f>730+70</f>
        <v>800</v>
      </c>
      <c r="G61" s="69">
        <v>29.96</v>
      </c>
      <c r="H61" s="69">
        <f t="shared" si="28"/>
        <v>829.96</v>
      </c>
      <c r="I61" s="69">
        <f>57.956+237.6009</f>
        <v>295.55689999999998</v>
      </c>
      <c r="J61" s="34">
        <f t="shared" si="23"/>
        <v>35.61098125210853</v>
      </c>
      <c r="K61" s="69">
        <f>66.178+458.3479</f>
        <v>524.52589999999998</v>
      </c>
      <c r="L61" s="34">
        <f>K61/$H61*100</f>
        <v>63.198937298183047</v>
      </c>
      <c r="M61" s="69">
        <f>89.349+692.4363</f>
        <v>781.78530000000001</v>
      </c>
      <c r="N61" s="34">
        <f>M61/$H61*100</f>
        <v>94.195539544074407</v>
      </c>
      <c r="O61" s="69">
        <f>104.082+29.96+940.9769</f>
        <v>1075.0189</v>
      </c>
      <c r="P61" s="34">
        <f>O61/$H61*100</f>
        <v>129.52659164297074</v>
      </c>
      <c r="Q61" s="253">
        <f t="shared" si="29"/>
        <v>245.05889999999999</v>
      </c>
      <c r="R61" s="340"/>
      <c r="S61" s="257">
        <f>M61/3*4</f>
        <v>1042.3804</v>
      </c>
      <c r="T61" s="253">
        <f>S61-H61</f>
        <v>212.42039999999997</v>
      </c>
      <c r="U61" s="69">
        <f>800+100</f>
        <v>900</v>
      </c>
      <c r="V61" s="155">
        <f t="shared" ref="V61:V73" si="32">U61/F61</f>
        <v>1.125</v>
      </c>
      <c r="W61" s="117"/>
    </row>
    <row r="62" spans="1:24" ht="15" customHeight="1" x14ac:dyDescent="0.2">
      <c r="A62" s="109"/>
      <c r="B62" s="109"/>
      <c r="C62" s="109"/>
      <c r="D62" s="109"/>
      <c r="E62" s="32" t="s">
        <v>41</v>
      </c>
      <c r="F62" s="70">
        <f>SUM(F63:F73)</f>
        <v>13502</v>
      </c>
      <c r="G62" s="70">
        <f>SUM(G63:G73)</f>
        <v>0</v>
      </c>
      <c r="H62" s="70">
        <f>SUM(H63:H73)</f>
        <v>13502</v>
      </c>
      <c r="I62" s="70">
        <f>SUM(I63:I73)</f>
        <v>3090.79268</v>
      </c>
      <c r="J62" s="206">
        <f t="shared" si="23"/>
        <v>22.89136927862539</v>
      </c>
      <c r="K62" s="70">
        <f>SUM(K63:K73)</f>
        <v>6875.1061600000003</v>
      </c>
      <c r="L62" s="206">
        <f t="shared" ref="L62:L92" si="33">K62/$H62*100</f>
        <v>50.919168715745819</v>
      </c>
      <c r="M62" s="70">
        <f>SUM(M63:M73)</f>
        <v>9988.5295499999993</v>
      </c>
      <c r="N62" s="206">
        <f t="shared" ref="N62:N92" si="34">M62/$H62*100</f>
        <v>73.978148052140412</v>
      </c>
      <c r="O62" s="70">
        <f>SUM(O63:O73)</f>
        <v>13338.007149999999</v>
      </c>
      <c r="P62" s="206">
        <f t="shared" ref="P62:P97" si="35">O62/$H62*100</f>
        <v>98.785418086209447</v>
      </c>
      <c r="Q62" s="331">
        <f>SUM(Q63:Q73)</f>
        <v>-163.99285000000103</v>
      </c>
      <c r="R62" s="112"/>
      <c r="S62" s="331">
        <f>SUM(S63:S73)</f>
        <v>12936.503199999999</v>
      </c>
      <c r="T62" s="331">
        <f>SUM(T63:T73)</f>
        <v>-565.49680000000001</v>
      </c>
      <c r="U62" s="70">
        <f>SUM(U63:U73)</f>
        <v>14245</v>
      </c>
      <c r="V62" s="154">
        <f t="shared" si="32"/>
        <v>1.0550288846096874</v>
      </c>
      <c r="W62" s="117"/>
    </row>
    <row r="63" spans="1:24" x14ac:dyDescent="0.2">
      <c r="A63" s="109"/>
      <c r="B63" s="29">
        <v>2131</v>
      </c>
      <c r="C63" s="109">
        <v>1012</v>
      </c>
      <c r="D63" s="29">
        <v>38</v>
      </c>
      <c r="E63" s="29" t="s">
        <v>186</v>
      </c>
      <c r="F63" s="69">
        <f>414+40</f>
        <v>454</v>
      </c>
      <c r="G63" s="69"/>
      <c r="H63" s="69">
        <f t="shared" ref="H63:H78" si="36">SUM(F63:G63)</f>
        <v>454</v>
      </c>
      <c r="I63" s="69">
        <v>167.04161999999999</v>
      </c>
      <c r="J63" s="34">
        <f t="shared" si="23"/>
        <v>36.793308370044052</v>
      </c>
      <c r="K63" s="69">
        <v>260.62110999999999</v>
      </c>
      <c r="L63" s="34">
        <f t="shared" si="33"/>
        <v>57.405530837004406</v>
      </c>
      <c r="M63" s="69">
        <v>432.60860000000002</v>
      </c>
      <c r="N63" s="34">
        <f t="shared" si="34"/>
        <v>95.28823788546255</v>
      </c>
      <c r="O63" s="69">
        <v>507.495</v>
      </c>
      <c r="P63" s="34">
        <f t="shared" si="35"/>
        <v>111.7830396475771</v>
      </c>
      <c r="Q63" s="253">
        <f t="shared" ref="Q63:Q73" si="37">O63-H63</f>
        <v>53.495000000000005</v>
      </c>
      <c r="R63" s="112" t="s">
        <v>486</v>
      </c>
      <c r="S63" s="407">
        <f>M63</f>
        <v>432.60860000000002</v>
      </c>
      <c r="T63" s="253">
        <f t="shared" ref="T63:T78" si="38">S63-H63</f>
        <v>-21.391399999999976</v>
      </c>
      <c r="U63" s="69">
        <v>494</v>
      </c>
      <c r="V63" s="155">
        <f t="shared" si="32"/>
        <v>1.0881057268722467</v>
      </c>
      <c r="W63" s="117"/>
      <c r="X63" s="113"/>
    </row>
    <row r="64" spans="1:24" x14ac:dyDescent="0.2">
      <c r="A64" s="109"/>
      <c r="B64" s="29">
        <v>2132</v>
      </c>
      <c r="C64" s="109">
        <v>2121</v>
      </c>
      <c r="D64" s="29">
        <v>237</v>
      </c>
      <c r="E64" s="29" t="s">
        <v>187</v>
      </c>
      <c r="F64" s="69">
        <f>1334+50</f>
        <v>1384</v>
      </c>
      <c r="G64" s="69"/>
      <c r="H64" s="69">
        <f t="shared" si="36"/>
        <v>1384</v>
      </c>
      <c r="I64" s="69">
        <v>251.41104999999999</v>
      </c>
      <c r="J64" s="34">
        <f t="shared" si="23"/>
        <v>18.165538294797688</v>
      </c>
      <c r="K64" s="69">
        <f>18.33164+582.0284+1.016</f>
        <v>601.37603999999999</v>
      </c>
      <c r="L64" s="34">
        <f t="shared" ref="L64:L75" si="39">K64/$H64*100</f>
        <v>43.45202601156069</v>
      </c>
      <c r="M64" s="69">
        <f>32.49684+954.37331+1.016</f>
        <v>987.88614999999993</v>
      </c>
      <c r="N64" s="34">
        <f t="shared" ref="N64:N75" si="40">M64/$H64*100</f>
        <v>71.379057080924852</v>
      </c>
      <c r="O64" s="69">
        <f>36.93984+1347.82686+1.703</f>
        <v>1386.4696999999999</v>
      </c>
      <c r="P64" s="34">
        <f t="shared" ref="P64:P75" si="41">O64/$H64*100</f>
        <v>100.17844653179191</v>
      </c>
      <c r="Q64" s="253">
        <f t="shared" si="37"/>
        <v>2.4696999999998752</v>
      </c>
      <c r="R64" s="237"/>
      <c r="S64" s="257">
        <f t="shared" ref="S64:S72" si="42">M64/3*4</f>
        <v>1317.1815333333332</v>
      </c>
      <c r="T64" s="253">
        <f t="shared" si="38"/>
        <v>-66.818466666666836</v>
      </c>
      <c r="U64" s="69">
        <f>1350+50</f>
        <v>1400</v>
      </c>
      <c r="V64" s="155">
        <f t="shared" si="32"/>
        <v>1.0115606936416186</v>
      </c>
      <c r="W64" s="526">
        <f>229+2+3</f>
        <v>234</v>
      </c>
    </row>
    <row r="65" spans="1:24" x14ac:dyDescent="0.2">
      <c r="A65" s="109"/>
      <c r="B65" s="29">
        <v>2132</v>
      </c>
      <c r="C65" s="109">
        <v>3113</v>
      </c>
      <c r="D65" s="29">
        <v>302</v>
      </c>
      <c r="E65" s="29" t="s">
        <v>337</v>
      </c>
      <c r="F65" s="69">
        <v>195</v>
      </c>
      <c r="G65" s="69"/>
      <c r="H65" s="69">
        <f t="shared" si="36"/>
        <v>195</v>
      </c>
      <c r="I65" s="69">
        <v>48.887500000000003</v>
      </c>
      <c r="J65" s="34">
        <f t="shared" si="23"/>
        <v>25.070512820512825</v>
      </c>
      <c r="K65" s="69">
        <v>97.762500000000003</v>
      </c>
      <c r="L65" s="34">
        <f t="shared" si="39"/>
        <v>50.134615384615387</v>
      </c>
      <c r="M65" s="69">
        <v>146.65</v>
      </c>
      <c r="N65" s="34">
        <f t="shared" si="40"/>
        <v>75.205128205128219</v>
      </c>
      <c r="O65" s="69">
        <v>195.52500000000001</v>
      </c>
      <c r="P65" s="34">
        <f t="shared" si="41"/>
        <v>100.26923076923077</v>
      </c>
      <c r="Q65" s="253">
        <f t="shared" si="37"/>
        <v>0.52500000000000568</v>
      </c>
      <c r="R65" s="237"/>
      <c r="S65" s="257">
        <f t="shared" si="42"/>
        <v>195.53333333333333</v>
      </c>
      <c r="T65" s="253">
        <f t="shared" si="38"/>
        <v>0.53333333333333144</v>
      </c>
      <c r="U65" s="69">
        <v>195</v>
      </c>
      <c r="V65" s="155">
        <f t="shared" si="32"/>
        <v>1</v>
      </c>
      <c r="W65" s="117"/>
    </row>
    <row r="66" spans="1:24" x14ac:dyDescent="0.2">
      <c r="A66" s="109"/>
      <c r="B66" s="29">
        <v>2132</v>
      </c>
      <c r="C66" s="109">
        <v>3613</v>
      </c>
      <c r="D66" s="29">
        <v>316</v>
      </c>
      <c r="E66" s="29" t="s">
        <v>339</v>
      </c>
      <c r="F66" s="69">
        <v>273</v>
      </c>
      <c r="G66" s="69"/>
      <c r="H66" s="69">
        <f t="shared" si="36"/>
        <v>273</v>
      </c>
      <c r="I66" s="69">
        <v>68.429000000000002</v>
      </c>
      <c r="J66" s="34">
        <f t="shared" si="23"/>
        <v>25.065567765567764</v>
      </c>
      <c r="K66" s="69">
        <v>136.858</v>
      </c>
      <c r="L66" s="34"/>
      <c r="M66" s="69">
        <v>205.28700000000001</v>
      </c>
      <c r="N66" s="34">
        <f t="shared" si="40"/>
        <v>75.196703296703305</v>
      </c>
      <c r="O66" s="69">
        <v>273.71600000000001</v>
      </c>
      <c r="P66" s="34"/>
      <c r="Q66" s="253">
        <f t="shared" si="37"/>
        <v>0.71600000000000819</v>
      </c>
      <c r="R66" s="237"/>
      <c r="S66" s="257">
        <f t="shared" si="42"/>
        <v>273.71600000000001</v>
      </c>
      <c r="T66" s="253">
        <f t="shared" si="38"/>
        <v>0.71600000000000819</v>
      </c>
      <c r="U66" s="69">
        <v>273</v>
      </c>
      <c r="V66" s="155">
        <f t="shared" si="32"/>
        <v>1</v>
      </c>
      <c r="W66" s="117"/>
    </row>
    <row r="67" spans="1:24" x14ac:dyDescent="0.2">
      <c r="A67" s="109"/>
      <c r="B67" s="29">
        <v>2132</v>
      </c>
      <c r="C67" s="109">
        <v>3612</v>
      </c>
      <c r="D67" s="29" t="s">
        <v>291</v>
      </c>
      <c r="E67" s="29" t="s">
        <v>145</v>
      </c>
      <c r="F67" s="69">
        <v>7865</v>
      </c>
      <c r="G67" s="69"/>
      <c r="H67" s="69">
        <f t="shared" si="36"/>
        <v>7865</v>
      </c>
      <c r="I67" s="69">
        <f>533.782+0.396+372.794+6.4611+979.706</f>
        <v>1893.1390999999999</v>
      </c>
      <c r="J67" s="34">
        <f t="shared" si="23"/>
        <v>24.070427209154481</v>
      </c>
      <c r="K67" s="69">
        <f>1056.351+0.396+766.461+9.337+1970.235+2.415</f>
        <v>3805.1949999999997</v>
      </c>
      <c r="L67" s="34">
        <f t="shared" si="39"/>
        <v>48.38137317228226</v>
      </c>
      <c r="M67" s="69">
        <f>1577.649+0.396+1145.302+9.342+2938.135+3.038</f>
        <v>5673.8620000000001</v>
      </c>
      <c r="N67" s="34">
        <f t="shared" si="40"/>
        <v>72.140648442466627</v>
      </c>
      <c r="O67" s="69">
        <f>2182.158+0.423+1587.822+9.372+4068.54894+3.914</f>
        <v>7852.2379399999991</v>
      </c>
      <c r="P67" s="34">
        <f t="shared" si="41"/>
        <v>99.837736045772402</v>
      </c>
      <c r="Q67" s="253">
        <f t="shared" si="37"/>
        <v>-12.762060000000929</v>
      </c>
      <c r="R67" s="112"/>
      <c r="S67" s="257">
        <f t="shared" si="42"/>
        <v>7565.1493333333337</v>
      </c>
      <c r="T67" s="253">
        <f t="shared" si="38"/>
        <v>-299.85066666666626</v>
      </c>
      <c r="U67" s="69">
        <v>8523</v>
      </c>
      <c r="V67" s="155">
        <f t="shared" si="32"/>
        <v>1.0836617927527019</v>
      </c>
      <c r="W67" s="117"/>
    </row>
    <row r="68" spans="1:24" x14ac:dyDescent="0.2">
      <c r="A68" s="109"/>
      <c r="B68" s="29">
        <v>2132</v>
      </c>
      <c r="C68" s="109">
        <v>3613</v>
      </c>
      <c r="D68" s="29">
        <v>703</v>
      </c>
      <c r="E68" s="29" t="s">
        <v>42</v>
      </c>
      <c r="F68" s="69">
        <v>750</v>
      </c>
      <c r="G68" s="69"/>
      <c r="H68" s="69">
        <f t="shared" si="36"/>
        <v>750</v>
      </c>
      <c r="I68" s="69">
        <v>191.30199999999999</v>
      </c>
      <c r="J68" s="34">
        <f t="shared" si="23"/>
        <v>25.506933333333333</v>
      </c>
      <c r="K68" s="69">
        <v>357.84800000000001</v>
      </c>
      <c r="L68" s="34">
        <f t="shared" si="39"/>
        <v>47.71306666666667</v>
      </c>
      <c r="M68" s="69">
        <v>520.553</v>
      </c>
      <c r="N68" s="34">
        <f t="shared" si="40"/>
        <v>69.407066666666665</v>
      </c>
      <c r="O68" s="69">
        <v>682.59199999999998</v>
      </c>
      <c r="P68" s="34">
        <f t="shared" si="41"/>
        <v>91.012266666666662</v>
      </c>
      <c r="Q68" s="253">
        <f t="shared" si="37"/>
        <v>-67.408000000000015</v>
      </c>
      <c r="R68" s="112"/>
      <c r="S68" s="257">
        <f t="shared" si="42"/>
        <v>694.07066666666663</v>
      </c>
      <c r="T68" s="253">
        <f t="shared" si="38"/>
        <v>-55.929333333333375</v>
      </c>
      <c r="U68" s="69">
        <v>750</v>
      </c>
      <c r="V68" s="155">
        <f t="shared" si="32"/>
        <v>1</v>
      </c>
      <c r="W68" s="117"/>
    </row>
    <row r="69" spans="1:24" ht="13.5" customHeight="1" x14ac:dyDescent="0.2">
      <c r="A69" s="109"/>
      <c r="B69" s="29">
        <v>2132</v>
      </c>
      <c r="C69" s="109">
        <v>3634</v>
      </c>
      <c r="D69" s="29">
        <v>21</v>
      </c>
      <c r="E69" s="29" t="s">
        <v>43</v>
      </c>
      <c r="F69" s="69">
        <v>951</v>
      </c>
      <c r="G69" s="69"/>
      <c r="H69" s="69">
        <f t="shared" si="36"/>
        <v>951</v>
      </c>
      <c r="I69" s="69">
        <v>237.79628</v>
      </c>
      <c r="J69" s="34">
        <f t="shared" si="23"/>
        <v>25.004866456361725</v>
      </c>
      <c r="K69" s="69">
        <v>475.59152</v>
      </c>
      <c r="L69" s="34">
        <f t="shared" si="39"/>
        <v>50.009623554153528</v>
      </c>
      <c r="M69" s="69">
        <v>713.38675999999998</v>
      </c>
      <c r="N69" s="34">
        <f t="shared" si="40"/>
        <v>75.014380651945316</v>
      </c>
      <c r="O69" s="69">
        <v>951.18304000000001</v>
      </c>
      <c r="P69" s="34">
        <f t="shared" si="41"/>
        <v>100.01924710830706</v>
      </c>
      <c r="Q69" s="253">
        <f t="shared" si="37"/>
        <v>0.18304000000000542</v>
      </c>
      <c r="R69" s="112"/>
      <c r="S69" s="257">
        <f t="shared" si="42"/>
        <v>951.1823466666666</v>
      </c>
      <c r="T69" s="253">
        <f t="shared" si="38"/>
        <v>0.1823466666666036</v>
      </c>
      <c r="U69" s="69">
        <v>970</v>
      </c>
      <c r="V69" s="155">
        <f t="shared" si="32"/>
        <v>1.0199789695057835</v>
      </c>
      <c r="W69" s="409">
        <v>169</v>
      </c>
    </row>
    <row r="70" spans="1:24" x14ac:dyDescent="0.2">
      <c r="A70" s="109"/>
      <c r="B70" s="29">
        <v>2132</v>
      </c>
      <c r="C70" s="109">
        <v>3639</v>
      </c>
      <c r="D70" s="29">
        <v>21</v>
      </c>
      <c r="E70" s="29" t="s">
        <v>172</v>
      </c>
      <c r="F70" s="69">
        <f>202+275+123</f>
        <v>600</v>
      </c>
      <c r="G70" s="69"/>
      <c r="H70" s="69">
        <f t="shared" si="36"/>
        <v>600</v>
      </c>
      <c r="I70" s="69">
        <v>157.99010999999999</v>
      </c>
      <c r="J70" s="34">
        <f t="shared" si="23"/>
        <v>26.331685</v>
      </c>
      <c r="K70" s="69">
        <v>279.59294999999997</v>
      </c>
      <c r="L70" s="34">
        <f t="shared" si="39"/>
        <v>46.598824999999991</v>
      </c>
      <c r="M70" s="69">
        <v>378.53897999999998</v>
      </c>
      <c r="N70" s="34">
        <f t="shared" si="40"/>
        <v>63.089829999999999</v>
      </c>
      <c r="O70" s="69">
        <v>485.15813000000003</v>
      </c>
      <c r="P70" s="34">
        <f t="shared" si="41"/>
        <v>80.859688333333338</v>
      </c>
      <c r="Q70" s="253">
        <f t="shared" si="37"/>
        <v>-114.84186999999997</v>
      </c>
      <c r="R70" s="112"/>
      <c r="S70" s="257">
        <f t="shared" si="42"/>
        <v>504.71863999999999</v>
      </c>
      <c r="T70" s="253">
        <f t="shared" si="38"/>
        <v>-95.281360000000006</v>
      </c>
      <c r="U70" s="69">
        <f>62+275+123</f>
        <v>460</v>
      </c>
      <c r="V70" s="155">
        <f t="shared" si="32"/>
        <v>0.76666666666666672</v>
      </c>
      <c r="W70" s="526">
        <f>48+22</f>
        <v>70</v>
      </c>
    </row>
    <row r="71" spans="1:24" x14ac:dyDescent="0.2">
      <c r="A71" s="109"/>
      <c r="B71" s="29">
        <v>2132</v>
      </c>
      <c r="C71" s="109">
        <v>3639</v>
      </c>
      <c r="D71" s="29">
        <v>319</v>
      </c>
      <c r="E71" s="29" t="s">
        <v>263</v>
      </c>
      <c r="F71" s="69">
        <v>274</v>
      </c>
      <c r="G71" s="69"/>
      <c r="H71" s="69">
        <f t="shared" si="36"/>
        <v>274</v>
      </c>
      <c r="I71" s="69">
        <v>68.606999999999999</v>
      </c>
      <c r="J71" s="34">
        <f t="shared" si="23"/>
        <v>25.039051094890514</v>
      </c>
      <c r="K71" s="69">
        <v>137.214</v>
      </c>
      <c r="L71" s="34">
        <f t="shared" si="39"/>
        <v>50.078102189781028</v>
      </c>
      <c r="M71" s="69">
        <v>201.852</v>
      </c>
      <c r="N71" s="34">
        <f t="shared" si="40"/>
        <v>73.66861313868614</v>
      </c>
      <c r="O71" s="69">
        <v>274.428</v>
      </c>
      <c r="P71" s="34">
        <f t="shared" si="41"/>
        <v>100.15620437956206</v>
      </c>
      <c r="Q71" s="253">
        <f t="shared" si="37"/>
        <v>0.42799999999999727</v>
      </c>
      <c r="R71" s="112"/>
      <c r="S71" s="257">
        <f t="shared" si="42"/>
        <v>269.13600000000002</v>
      </c>
      <c r="T71" s="253">
        <f t="shared" si="38"/>
        <v>-4.8639999999999759</v>
      </c>
      <c r="U71" s="69">
        <v>274</v>
      </c>
      <c r="V71" s="155">
        <f t="shared" si="32"/>
        <v>1</v>
      </c>
      <c r="W71" s="409">
        <f>48</f>
        <v>48</v>
      </c>
    </row>
    <row r="72" spans="1:24" x14ac:dyDescent="0.2">
      <c r="A72" s="109"/>
      <c r="B72" s="29">
        <v>2133</v>
      </c>
      <c r="C72" s="109">
        <v>3639</v>
      </c>
      <c r="D72" s="29">
        <v>34</v>
      </c>
      <c r="E72" s="29" t="s">
        <v>171</v>
      </c>
      <c r="F72" s="69">
        <v>44</v>
      </c>
      <c r="G72" s="69"/>
      <c r="H72" s="69">
        <f t="shared" si="36"/>
        <v>44</v>
      </c>
      <c r="I72" s="69">
        <v>6.1890200000000002</v>
      </c>
      <c r="J72" s="34">
        <f t="shared" si="23"/>
        <v>14.065954545454545</v>
      </c>
      <c r="K72" s="69">
        <v>11.047040000000001</v>
      </c>
      <c r="L72" s="34">
        <f t="shared" si="39"/>
        <v>25.106909090909092</v>
      </c>
      <c r="M72" s="69">
        <v>15.905060000000001</v>
      </c>
      <c r="N72" s="34">
        <f t="shared" si="40"/>
        <v>36.147863636363638</v>
      </c>
      <c r="O72" s="69">
        <v>17.20234</v>
      </c>
      <c r="P72" s="34">
        <f t="shared" si="41"/>
        <v>39.096227272727276</v>
      </c>
      <c r="Q72" s="253">
        <f t="shared" si="37"/>
        <v>-26.79766</v>
      </c>
      <c r="R72" s="112" t="s">
        <v>465</v>
      </c>
      <c r="S72" s="257">
        <f t="shared" si="42"/>
        <v>21.206746666666668</v>
      </c>
      <c r="T72" s="253">
        <f t="shared" si="38"/>
        <v>-22.793253333333332</v>
      </c>
      <c r="U72" s="69">
        <v>0</v>
      </c>
      <c r="V72" s="155">
        <f t="shared" si="32"/>
        <v>0</v>
      </c>
      <c r="W72" s="117"/>
    </row>
    <row r="73" spans="1:24" x14ac:dyDescent="0.2">
      <c r="A73" s="109"/>
      <c r="B73" s="29">
        <v>2132</v>
      </c>
      <c r="C73" s="109">
        <v>4355</v>
      </c>
      <c r="D73" s="29">
        <v>311</v>
      </c>
      <c r="E73" s="29" t="s">
        <v>269</v>
      </c>
      <c r="F73" s="69">
        <v>712</v>
      </c>
      <c r="G73" s="69"/>
      <c r="H73" s="69">
        <f t="shared" si="36"/>
        <v>712</v>
      </c>
      <c r="I73" s="69"/>
      <c r="J73" s="34">
        <f t="shared" si="23"/>
        <v>0</v>
      </c>
      <c r="K73" s="69">
        <v>712</v>
      </c>
      <c r="L73" s="34">
        <f t="shared" si="39"/>
        <v>100</v>
      </c>
      <c r="M73" s="69">
        <v>712</v>
      </c>
      <c r="N73" s="34">
        <f t="shared" si="40"/>
        <v>100</v>
      </c>
      <c r="O73" s="69">
        <v>712</v>
      </c>
      <c r="P73" s="34">
        <f t="shared" si="41"/>
        <v>100</v>
      </c>
      <c r="Q73" s="253">
        <f t="shared" si="37"/>
        <v>0</v>
      </c>
      <c r="R73" s="112"/>
      <c r="S73" s="254">
        <f>F73</f>
        <v>712</v>
      </c>
      <c r="T73" s="253">
        <f t="shared" si="38"/>
        <v>0</v>
      </c>
      <c r="U73" s="69">
        <v>906</v>
      </c>
      <c r="V73" s="155">
        <f t="shared" si="32"/>
        <v>1.2724719101123596</v>
      </c>
      <c r="W73" s="117"/>
      <c r="X73" s="117"/>
    </row>
    <row r="74" spans="1:24" ht="14.25" customHeight="1" x14ac:dyDescent="0.2">
      <c r="A74" s="109"/>
      <c r="B74" s="109"/>
      <c r="C74" s="109"/>
      <c r="D74" s="109"/>
      <c r="E74" s="32" t="s">
        <v>89</v>
      </c>
      <c r="F74" s="70">
        <f>SUM(F75:F78)</f>
        <v>48</v>
      </c>
      <c r="G74" s="70"/>
      <c r="H74" s="70">
        <f>SUM(H75:H78)</f>
        <v>48</v>
      </c>
      <c r="I74" s="70">
        <f>SUM(I75:I78)</f>
        <v>12.175630000000002</v>
      </c>
      <c r="J74" s="206">
        <f t="shared" si="23"/>
        <v>25.365895833333337</v>
      </c>
      <c r="K74" s="70">
        <f>SUM(K75:K78)</f>
        <v>23.89096</v>
      </c>
      <c r="L74" s="206">
        <f t="shared" si="33"/>
        <v>49.772833333333331</v>
      </c>
      <c r="M74" s="70">
        <f>SUM(M75:M78)</f>
        <v>34.092999999999996</v>
      </c>
      <c r="N74" s="206">
        <f t="shared" si="40"/>
        <v>71.027083333333323</v>
      </c>
      <c r="O74" s="70">
        <f>SUM(O75:O78)</f>
        <v>47.999030000000005</v>
      </c>
      <c r="P74" s="206">
        <f t="shared" si="35"/>
        <v>99.997979166666667</v>
      </c>
      <c r="Q74" s="331">
        <f>SUM(Q75:Q78)</f>
        <v>-9.6999999999769493E-4</v>
      </c>
      <c r="R74" s="238"/>
      <c r="S74" s="331">
        <f>SUM(S75:S78)</f>
        <v>50.457333333333331</v>
      </c>
      <c r="T74" s="253">
        <f t="shared" si="38"/>
        <v>2.4573333333333309</v>
      </c>
      <c r="U74" s="70">
        <f>SUM(U75:U78)</f>
        <v>26</v>
      </c>
      <c r="V74" s="154">
        <f t="shared" ref="V74:V87" si="43">U74/F74</f>
        <v>0.54166666666666663</v>
      </c>
    </row>
    <row r="75" spans="1:24" x14ac:dyDescent="0.2">
      <c r="A75" s="109"/>
      <c r="B75" s="29">
        <v>2141</v>
      </c>
      <c r="C75" s="109">
        <v>6310</v>
      </c>
      <c r="D75" s="29">
        <v>314</v>
      </c>
      <c r="E75" s="29" t="s">
        <v>275</v>
      </c>
      <c r="F75" s="69">
        <v>11</v>
      </c>
      <c r="G75" s="69"/>
      <c r="H75" s="69">
        <f t="shared" si="36"/>
        <v>11</v>
      </c>
      <c r="I75" s="69">
        <f>1.79464+0.15912+0.1886</f>
        <v>2.14236</v>
      </c>
      <c r="J75" s="34">
        <f t="shared" si="23"/>
        <v>19.476000000000003</v>
      </c>
      <c r="K75" s="69">
        <f>4.08346+0.3202+0.37932+0.11682</f>
        <v>4.899799999999999</v>
      </c>
      <c r="L75" s="34">
        <f t="shared" si="39"/>
        <v>44.543636363636359</v>
      </c>
      <c r="M75" s="69">
        <f>6.27229+0.48087+0.57216</f>
        <v>7.3253200000000005</v>
      </c>
      <c r="N75" s="34">
        <f t="shared" si="40"/>
        <v>66.593818181818193</v>
      </c>
      <c r="O75" s="69">
        <f>8.1895+0.63923+0.78196</f>
        <v>9.61069</v>
      </c>
      <c r="P75" s="34">
        <f t="shared" si="41"/>
        <v>87.36990909090909</v>
      </c>
      <c r="Q75" s="253">
        <f>O75-H75</f>
        <v>-1.38931</v>
      </c>
      <c r="R75" s="112"/>
      <c r="S75" s="257">
        <f>M75/3*4</f>
        <v>9.7670933333333334</v>
      </c>
      <c r="T75" s="253">
        <f t="shared" si="38"/>
        <v>-1.2329066666666666</v>
      </c>
      <c r="U75" s="69">
        <v>10</v>
      </c>
      <c r="V75" s="155">
        <f t="shared" si="43"/>
        <v>0.90909090909090906</v>
      </c>
    </row>
    <row r="76" spans="1:24" x14ac:dyDescent="0.2">
      <c r="A76" s="109"/>
      <c r="B76" s="29">
        <v>2143</v>
      </c>
      <c r="C76" s="109"/>
      <c r="D76" s="29"/>
      <c r="E76" s="29" t="s">
        <v>283</v>
      </c>
      <c r="F76" s="69">
        <v>0</v>
      </c>
      <c r="G76" s="69"/>
      <c r="H76" s="69">
        <f t="shared" si="36"/>
        <v>0</v>
      </c>
      <c r="I76" s="69">
        <v>3.1269999999999999E-2</v>
      </c>
      <c r="J76" s="34"/>
      <c r="K76" s="69">
        <v>5.2159999999999998E-2</v>
      </c>
      <c r="L76" s="34"/>
      <c r="M76" s="69">
        <v>0.11468</v>
      </c>
      <c r="N76" s="34"/>
      <c r="O76" s="69">
        <v>0.11534</v>
      </c>
      <c r="P76" s="34"/>
      <c r="Q76" s="253">
        <f>O76-H76</f>
        <v>0.11534</v>
      </c>
      <c r="R76" s="112"/>
      <c r="S76" s="257">
        <f>M76/3*4</f>
        <v>0.15290666666666666</v>
      </c>
      <c r="T76" s="253">
        <f t="shared" si="38"/>
        <v>0.15290666666666666</v>
      </c>
      <c r="U76" s="69">
        <v>0</v>
      </c>
      <c r="V76" s="155"/>
    </row>
    <row r="77" spans="1:24" x14ac:dyDescent="0.2">
      <c r="A77" s="109"/>
      <c r="B77" s="29">
        <v>2141</v>
      </c>
      <c r="C77" s="109">
        <v>6310</v>
      </c>
      <c r="D77" s="29">
        <v>245</v>
      </c>
      <c r="E77" s="29" t="s">
        <v>177</v>
      </c>
      <c r="F77" s="69">
        <v>32</v>
      </c>
      <c r="G77" s="69"/>
      <c r="H77" s="69">
        <f t="shared" si="36"/>
        <v>32</v>
      </c>
      <c r="I77" s="69">
        <v>10.002000000000001</v>
      </c>
      <c r="J77" s="34">
        <f t="shared" si="23"/>
        <v>31.256250000000001</v>
      </c>
      <c r="K77" s="69">
        <v>18.939</v>
      </c>
      <c r="L77" s="34">
        <f t="shared" si="33"/>
        <v>59.184375000000003</v>
      </c>
      <c r="M77" s="69">
        <v>26.652999999999999</v>
      </c>
      <c r="N77" s="34">
        <f t="shared" si="34"/>
        <v>83.290624999999991</v>
      </c>
      <c r="O77" s="69">
        <v>32.697000000000003</v>
      </c>
      <c r="P77" s="34">
        <f t="shared" si="35"/>
        <v>102.17812500000001</v>
      </c>
      <c r="Q77" s="253">
        <f>O77-H77</f>
        <v>0.69700000000000273</v>
      </c>
      <c r="R77" s="112"/>
      <c r="S77" s="257">
        <f>M77/3*4</f>
        <v>35.537333333333329</v>
      </c>
      <c r="T77" s="253">
        <f t="shared" si="38"/>
        <v>3.5373333333333292</v>
      </c>
      <c r="U77" s="69">
        <v>11</v>
      </c>
      <c r="V77" s="155">
        <f t="shared" si="43"/>
        <v>0.34375</v>
      </c>
    </row>
    <row r="78" spans="1:24" ht="13.5" customHeight="1" x14ac:dyDescent="0.2">
      <c r="A78" s="109"/>
      <c r="B78" s="29">
        <v>2141</v>
      </c>
      <c r="C78" s="109">
        <v>6310</v>
      </c>
      <c r="D78" s="29">
        <v>318</v>
      </c>
      <c r="E78" s="29" t="s">
        <v>399</v>
      </c>
      <c r="F78" s="69">
        <v>5</v>
      </c>
      <c r="G78" s="69"/>
      <c r="H78" s="69">
        <f t="shared" si="36"/>
        <v>5</v>
      </c>
      <c r="I78" s="69"/>
      <c r="J78" s="34">
        <f t="shared" ref="J78:J92" si="44">I78/$H78*100</f>
        <v>0</v>
      </c>
      <c r="K78" s="69">
        <v>0</v>
      </c>
      <c r="L78" s="34">
        <f t="shared" si="33"/>
        <v>0</v>
      </c>
      <c r="M78" s="69"/>
      <c r="N78" s="34">
        <f t="shared" si="34"/>
        <v>0</v>
      </c>
      <c r="O78" s="69">
        <v>5.5759999999999996</v>
      </c>
      <c r="P78" s="34">
        <f t="shared" si="35"/>
        <v>111.52</v>
      </c>
      <c r="Q78" s="253">
        <f>O78-H78</f>
        <v>0.57599999999999962</v>
      </c>
      <c r="R78" s="112"/>
      <c r="S78" s="407">
        <f>H78</f>
        <v>5</v>
      </c>
      <c r="T78" s="253">
        <f t="shared" si="38"/>
        <v>0</v>
      </c>
      <c r="U78" s="69">
        <v>5</v>
      </c>
      <c r="V78" s="155">
        <f t="shared" si="43"/>
        <v>1</v>
      </c>
    </row>
    <row r="79" spans="1:24" x14ac:dyDescent="0.2">
      <c r="A79" s="96" t="s">
        <v>135</v>
      </c>
      <c r="B79" s="32"/>
      <c r="C79" s="96"/>
      <c r="D79" s="32"/>
      <c r="E79" s="32"/>
      <c r="F79" s="70">
        <f>SUM(F80:F86)</f>
        <v>1190</v>
      </c>
      <c r="G79" s="70">
        <f>SUM(G80:G86)</f>
        <v>0</v>
      </c>
      <c r="H79" s="70">
        <f>SUM(H80:H86)</f>
        <v>1190</v>
      </c>
      <c r="I79" s="70">
        <f>SUM(I80:I86)</f>
        <v>238.78800000000001</v>
      </c>
      <c r="J79" s="206">
        <f t="shared" si="44"/>
        <v>20.066218487394959</v>
      </c>
      <c r="K79" s="70">
        <f>SUM(K80:K86)</f>
        <v>554.63930000000005</v>
      </c>
      <c r="L79" s="206">
        <f t="shared" si="33"/>
        <v>46.608344537815135</v>
      </c>
      <c r="M79" s="70">
        <f>SUM(M80:M86)</f>
        <v>772.82303000000002</v>
      </c>
      <c r="N79" s="206">
        <f t="shared" si="34"/>
        <v>64.94311176470589</v>
      </c>
      <c r="O79" s="70">
        <f>SUM(O80:O86)</f>
        <v>1049.04133</v>
      </c>
      <c r="P79" s="206">
        <f t="shared" si="35"/>
        <v>88.154733613445373</v>
      </c>
      <c r="Q79" s="331">
        <f>SUM(Q80:Q86)</f>
        <v>-140.95867000000001</v>
      </c>
      <c r="R79" s="234"/>
      <c r="S79" s="331">
        <f>SUM(S80:S86)</f>
        <v>1030.4307066666665</v>
      </c>
      <c r="T79" s="331">
        <f>SUM(T80:T86)</f>
        <v>-159.56929333333341</v>
      </c>
      <c r="U79" s="70">
        <f>SUM(U80:U86)</f>
        <v>1300</v>
      </c>
      <c r="V79" s="154">
        <f t="shared" si="43"/>
        <v>1.0924369747899159</v>
      </c>
      <c r="X79" s="113"/>
    </row>
    <row r="80" spans="1:24" x14ac:dyDescent="0.2">
      <c r="A80" s="109"/>
      <c r="B80" s="29">
        <v>2212</v>
      </c>
      <c r="C80" s="109">
        <v>6171</v>
      </c>
      <c r="D80" s="29">
        <v>11</v>
      </c>
      <c r="E80" s="29" t="s">
        <v>140</v>
      </c>
      <c r="F80" s="69">
        <v>5</v>
      </c>
      <c r="G80" s="69"/>
      <c r="H80" s="69">
        <f t="shared" ref="H80:H95" si="45">SUM(F80:G80)</f>
        <v>5</v>
      </c>
      <c r="I80" s="69">
        <v>1</v>
      </c>
      <c r="J80" s="34">
        <f t="shared" si="44"/>
        <v>20</v>
      </c>
      <c r="K80" s="69">
        <v>1</v>
      </c>
      <c r="L80" s="34">
        <f t="shared" si="33"/>
        <v>20</v>
      </c>
      <c r="M80" s="69">
        <v>1</v>
      </c>
      <c r="N80" s="34">
        <f t="shared" si="34"/>
        <v>20</v>
      </c>
      <c r="O80" s="69">
        <v>1</v>
      </c>
      <c r="P80" s="34">
        <f t="shared" si="35"/>
        <v>20</v>
      </c>
      <c r="Q80" s="253">
        <f t="shared" ref="Q80:Q86" si="46">O80-H80</f>
        <v>-4</v>
      </c>
      <c r="R80" s="234"/>
      <c r="S80" s="257">
        <f t="shared" ref="S80:S86" si="47">M80/3*4</f>
        <v>1.3333333333333333</v>
      </c>
      <c r="T80" s="253">
        <f t="shared" ref="T80:T95" si="48">S80-H80</f>
        <v>-3.666666666666667</v>
      </c>
      <c r="U80" s="69">
        <v>5</v>
      </c>
      <c r="V80" s="209">
        <f t="shared" si="43"/>
        <v>1</v>
      </c>
    </row>
    <row r="81" spans="1:23" x14ac:dyDescent="0.2">
      <c r="B81" s="29">
        <v>2212</v>
      </c>
      <c r="C81" s="109">
        <v>6171</v>
      </c>
      <c r="D81" s="29">
        <v>14.33</v>
      </c>
      <c r="E81" s="29" t="s">
        <v>243</v>
      </c>
      <c r="F81" s="69">
        <v>65</v>
      </c>
      <c r="G81" s="69"/>
      <c r="H81" s="69">
        <f t="shared" si="45"/>
        <v>65</v>
      </c>
      <c r="I81" s="69">
        <f>11.27054+1.3</f>
        <v>12.570540000000001</v>
      </c>
      <c r="J81" s="34">
        <f t="shared" si="44"/>
        <v>19.339292307692311</v>
      </c>
      <c r="K81" s="69">
        <f>22.79256+3.1</f>
        <v>25.892560000000003</v>
      </c>
      <c r="L81" s="34">
        <f t="shared" si="33"/>
        <v>39.834707692307695</v>
      </c>
      <c r="M81" s="69">
        <f>38.64056+1+5.1</f>
        <v>44.740560000000002</v>
      </c>
      <c r="N81" s="34">
        <f t="shared" si="34"/>
        <v>68.83163076923077</v>
      </c>
      <c r="O81" s="69">
        <f>60.58856+1.2+5.8</f>
        <v>67.588560000000001</v>
      </c>
      <c r="P81" s="34">
        <f t="shared" si="35"/>
        <v>103.98240000000001</v>
      </c>
      <c r="Q81" s="253">
        <f t="shared" si="46"/>
        <v>2.5885600000000011</v>
      </c>
      <c r="R81" s="112"/>
      <c r="S81" s="257">
        <f t="shared" si="47"/>
        <v>59.65408</v>
      </c>
      <c r="T81" s="253">
        <f t="shared" si="48"/>
        <v>-5.3459199999999996</v>
      </c>
      <c r="U81" s="69">
        <v>65</v>
      </c>
      <c r="V81" s="155">
        <f t="shared" si="43"/>
        <v>1</v>
      </c>
    </row>
    <row r="82" spans="1:23" x14ac:dyDescent="0.2">
      <c r="A82" s="97"/>
      <c r="B82" s="29">
        <v>2212</v>
      </c>
      <c r="C82" s="109">
        <v>2169</v>
      </c>
      <c r="D82" s="29">
        <v>15</v>
      </c>
      <c r="E82" s="29" t="s">
        <v>162</v>
      </c>
      <c r="F82" s="69">
        <v>40</v>
      </c>
      <c r="G82" s="69"/>
      <c r="H82" s="69">
        <f t="shared" si="45"/>
        <v>40</v>
      </c>
      <c r="I82" s="69">
        <v>31</v>
      </c>
      <c r="J82" s="34">
        <f t="shared" si="44"/>
        <v>77.5</v>
      </c>
      <c r="K82" s="69">
        <v>31</v>
      </c>
      <c r="L82" s="34">
        <f t="shared" si="33"/>
        <v>77.5</v>
      </c>
      <c r="M82" s="69">
        <v>31</v>
      </c>
      <c r="N82" s="34">
        <f t="shared" si="34"/>
        <v>77.5</v>
      </c>
      <c r="O82" s="69">
        <v>51</v>
      </c>
      <c r="P82" s="34">
        <f t="shared" si="35"/>
        <v>127.49999999999999</v>
      </c>
      <c r="Q82" s="253">
        <f t="shared" si="46"/>
        <v>11</v>
      </c>
      <c r="R82" s="408"/>
      <c r="S82" s="257">
        <f t="shared" si="47"/>
        <v>41.333333333333336</v>
      </c>
      <c r="T82" s="253">
        <f t="shared" si="48"/>
        <v>1.3333333333333357</v>
      </c>
      <c r="U82" s="69">
        <v>50</v>
      </c>
      <c r="V82" s="155">
        <f t="shared" si="43"/>
        <v>1.25</v>
      </c>
    </row>
    <row r="83" spans="1:23" x14ac:dyDescent="0.2">
      <c r="A83" s="109"/>
      <c r="B83" s="29">
        <v>2212</v>
      </c>
      <c r="C83" s="227" t="s">
        <v>183</v>
      </c>
      <c r="D83" s="29">
        <v>17</v>
      </c>
      <c r="E83" s="29" t="s">
        <v>138</v>
      </c>
      <c r="F83" s="69">
        <v>30</v>
      </c>
      <c r="G83" s="69"/>
      <c r="H83" s="69">
        <f t="shared" si="45"/>
        <v>30</v>
      </c>
      <c r="I83" s="69">
        <v>20.8</v>
      </c>
      <c r="J83" s="34">
        <f t="shared" si="44"/>
        <v>69.333333333333343</v>
      </c>
      <c r="K83" s="69">
        <v>22.1</v>
      </c>
      <c r="L83" s="34">
        <f t="shared" si="33"/>
        <v>73.666666666666671</v>
      </c>
      <c r="M83" s="69">
        <v>35.65</v>
      </c>
      <c r="N83" s="34">
        <f t="shared" si="34"/>
        <v>118.83333333333333</v>
      </c>
      <c r="O83" s="69">
        <v>71.900000000000006</v>
      </c>
      <c r="P83" s="34">
        <f t="shared" si="35"/>
        <v>239.66666666666669</v>
      </c>
      <c r="Q83" s="253">
        <f t="shared" si="46"/>
        <v>41.900000000000006</v>
      </c>
      <c r="R83" s="112"/>
      <c r="S83" s="257">
        <f t="shared" si="47"/>
        <v>47.533333333333331</v>
      </c>
      <c r="T83" s="253">
        <f t="shared" si="48"/>
        <v>17.533333333333331</v>
      </c>
      <c r="U83" s="69">
        <v>30</v>
      </c>
      <c r="V83" s="155">
        <f t="shared" si="43"/>
        <v>1</v>
      </c>
    </row>
    <row r="84" spans="1:23" x14ac:dyDescent="0.2">
      <c r="A84" s="109"/>
      <c r="B84" s="29">
        <v>2212</v>
      </c>
      <c r="C84" s="109">
        <v>6171</v>
      </c>
      <c r="D84" s="29">
        <v>25.26</v>
      </c>
      <c r="E84" s="29" t="s">
        <v>137</v>
      </c>
      <c r="F84" s="69">
        <v>900</v>
      </c>
      <c r="G84" s="69"/>
      <c r="H84" s="69">
        <f t="shared" si="45"/>
        <v>900</v>
      </c>
      <c r="I84" s="69">
        <f>160.16746+6.55</f>
        <v>166.71746000000002</v>
      </c>
      <c r="J84" s="34">
        <f t="shared" si="44"/>
        <v>18.524162222222223</v>
      </c>
      <c r="K84" s="69">
        <f>454.89674+6.55</f>
        <v>461.44674000000003</v>
      </c>
      <c r="L84" s="34">
        <f t="shared" si="33"/>
        <v>51.271860000000004</v>
      </c>
      <c r="M84" s="69">
        <f>638.13247+7.3</f>
        <v>645.43246999999997</v>
      </c>
      <c r="N84" s="34">
        <f t="shared" si="34"/>
        <v>71.714718888888882</v>
      </c>
      <c r="O84" s="69">
        <f>813.65277+7.3</f>
        <v>820.95276999999999</v>
      </c>
      <c r="P84" s="34">
        <f t="shared" si="35"/>
        <v>91.216974444444446</v>
      </c>
      <c r="Q84" s="253">
        <f t="shared" si="46"/>
        <v>-79.047230000000013</v>
      </c>
      <c r="R84" s="112"/>
      <c r="S84" s="257">
        <f t="shared" si="47"/>
        <v>860.57662666666658</v>
      </c>
      <c r="T84" s="253">
        <f t="shared" si="48"/>
        <v>-39.423373333333416</v>
      </c>
      <c r="U84" s="69">
        <v>1000</v>
      </c>
      <c r="V84" s="155">
        <f t="shared" si="43"/>
        <v>1.1111111111111112</v>
      </c>
      <c r="W84" s="542"/>
    </row>
    <row r="85" spans="1:23" x14ac:dyDescent="0.2">
      <c r="A85" s="109"/>
      <c r="B85" s="29">
        <v>2212</v>
      </c>
      <c r="C85" s="109">
        <v>6171</v>
      </c>
      <c r="D85" s="29">
        <v>30.13</v>
      </c>
      <c r="E85" s="29" t="s">
        <v>312</v>
      </c>
      <c r="F85" s="69">
        <v>0</v>
      </c>
      <c r="G85" s="69"/>
      <c r="H85" s="69">
        <f t="shared" si="45"/>
        <v>0</v>
      </c>
      <c r="I85" s="69"/>
      <c r="J85" s="34"/>
      <c r="K85" s="69"/>
      <c r="L85" s="34"/>
      <c r="M85" s="69"/>
      <c r="N85" s="34"/>
      <c r="O85" s="69"/>
      <c r="P85" s="34"/>
      <c r="Q85" s="253">
        <f t="shared" si="46"/>
        <v>0</v>
      </c>
      <c r="R85" s="112"/>
      <c r="S85" s="257">
        <f t="shared" si="47"/>
        <v>0</v>
      </c>
      <c r="T85" s="253">
        <f t="shared" si="48"/>
        <v>0</v>
      </c>
      <c r="U85" s="69">
        <v>0</v>
      </c>
      <c r="V85" s="155"/>
    </row>
    <row r="86" spans="1:23" x14ac:dyDescent="0.2">
      <c r="A86" s="109"/>
      <c r="B86" s="29">
        <v>2212</v>
      </c>
      <c r="C86" s="109">
        <v>5311</v>
      </c>
      <c r="D86" s="29">
        <v>16</v>
      </c>
      <c r="E86" s="29" t="s">
        <v>44</v>
      </c>
      <c r="F86" s="69">
        <v>150</v>
      </c>
      <c r="G86" s="69"/>
      <c r="H86" s="69">
        <f t="shared" si="45"/>
        <v>150</v>
      </c>
      <c r="I86" s="69">
        <f>6.7</f>
        <v>6.7</v>
      </c>
      <c r="J86" s="34">
        <f t="shared" si="44"/>
        <v>4.4666666666666668</v>
      </c>
      <c r="K86" s="69">
        <v>13.2</v>
      </c>
      <c r="L86" s="34">
        <f t="shared" si="33"/>
        <v>8.7999999999999989</v>
      </c>
      <c r="M86" s="69">
        <v>15</v>
      </c>
      <c r="N86" s="34">
        <f t="shared" si="34"/>
        <v>10</v>
      </c>
      <c r="O86" s="69">
        <v>36.6</v>
      </c>
      <c r="P86" s="34">
        <f t="shared" si="35"/>
        <v>24.400000000000002</v>
      </c>
      <c r="Q86" s="253">
        <f t="shared" si="46"/>
        <v>-113.4</v>
      </c>
      <c r="R86" s="112"/>
      <c r="S86" s="257">
        <f t="shared" si="47"/>
        <v>20</v>
      </c>
      <c r="T86" s="253">
        <f t="shared" si="48"/>
        <v>-130</v>
      </c>
      <c r="U86" s="69">
        <v>150</v>
      </c>
      <c r="V86" s="155">
        <f t="shared" si="43"/>
        <v>1</v>
      </c>
    </row>
    <row r="87" spans="1:23" x14ac:dyDescent="0.2">
      <c r="A87" s="96" t="s">
        <v>134</v>
      </c>
      <c r="B87" s="29"/>
      <c r="C87" s="109"/>
      <c r="D87" s="29"/>
      <c r="E87" s="29"/>
      <c r="F87" s="70">
        <f>SUM(F88:F95)</f>
        <v>679</v>
      </c>
      <c r="G87" s="70">
        <f>SUM(G88:G95)</f>
        <v>1272.9688000000001</v>
      </c>
      <c r="H87" s="70">
        <f>SUM(H88:H95)</f>
        <v>1951.9688000000001</v>
      </c>
      <c r="I87" s="70">
        <f>SUM(I88:I95)</f>
        <v>1160.7935</v>
      </c>
      <c r="J87" s="206">
        <f t="shared" si="44"/>
        <v>59.467830633358474</v>
      </c>
      <c r="K87" s="70">
        <f>SUM(K88:K95)</f>
        <v>2044.6935000000001</v>
      </c>
      <c r="L87" s="206">
        <f t="shared" si="33"/>
        <v>104.75031670588177</v>
      </c>
      <c r="M87" s="70">
        <f>SUM(M88:M95)</f>
        <v>2141.7094999999999</v>
      </c>
      <c r="N87" s="206">
        <f t="shared" si="34"/>
        <v>109.72047811419937</v>
      </c>
      <c r="O87" s="70">
        <f>SUM(O88:O95)</f>
        <v>2485.8330000000001</v>
      </c>
      <c r="P87" s="206">
        <f t="shared" si="35"/>
        <v>127.35003756207578</v>
      </c>
      <c r="Q87" s="331">
        <f>SUM(Q88:Q95)</f>
        <v>533.86419999999987</v>
      </c>
      <c r="R87" s="340"/>
      <c r="S87" s="331">
        <f>SUM(S88:S95)</f>
        <v>2141.7094999999999</v>
      </c>
      <c r="T87" s="331">
        <f>SUM(T88:T95)</f>
        <v>189.74069999999989</v>
      </c>
      <c r="U87" s="70">
        <f>SUM(U88:U95)</f>
        <v>1869</v>
      </c>
      <c r="V87" s="155">
        <f t="shared" si="43"/>
        <v>2.7525773195876289</v>
      </c>
    </row>
    <row r="88" spans="1:23" x14ac:dyDescent="0.2">
      <c r="A88" s="109"/>
      <c r="B88" s="29">
        <v>2321</v>
      </c>
      <c r="C88" s="109">
        <v>2199</v>
      </c>
      <c r="D88" s="29"/>
      <c r="E88" s="29" t="s">
        <v>266</v>
      </c>
      <c r="F88" s="69"/>
      <c r="G88" s="69">
        <f>10+30</f>
        <v>40</v>
      </c>
      <c r="H88" s="69">
        <f t="shared" si="45"/>
        <v>40</v>
      </c>
      <c r="I88" s="69"/>
      <c r="J88" s="34"/>
      <c r="K88" s="69">
        <f>30+10</f>
        <v>40</v>
      </c>
      <c r="L88" s="34">
        <f t="shared" si="33"/>
        <v>100</v>
      </c>
      <c r="M88" s="69">
        <f>30+10</f>
        <v>40</v>
      </c>
      <c r="N88" s="34">
        <f t="shared" si="34"/>
        <v>100</v>
      </c>
      <c r="O88" s="69">
        <f>30+10</f>
        <v>40</v>
      </c>
      <c r="P88" s="34">
        <f t="shared" si="35"/>
        <v>100</v>
      </c>
      <c r="Q88" s="253">
        <f t="shared" ref="Q88:Q95" si="49">O88-H88</f>
        <v>0</v>
      </c>
      <c r="R88" s="112"/>
      <c r="S88" s="254">
        <f t="shared" ref="S88:S95" si="50">M88</f>
        <v>40</v>
      </c>
      <c r="T88" s="253">
        <f t="shared" si="48"/>
        <v>0</v>
      </c>
      <c r="U88" s="69"/>
      <c r="V88" s="155"/>
    </row>
    <row r="89" spans="1:23" x14ac:dyDescent="0.2">
      <c r="A89" s="109"/>
      <c r="B89" s="29">
        <v>2222</v>
      </c>
      <c r="C89" s="109">
        <v>6402</v>
      </c>
      <c r="D89" s="29"/>
      <c r="E89" s="29" t="s">
        <v>388</v>
      </c>
      <c r="F89" s="69">
        <v>79</v>
      </c>
      <c r="G89" s="69"/>
      <c r="H89" s="69">
        <f t="shared" si="45"/>
        <v>79</v>
      </c>
      <c r="I89" s="69">
        <v>79.292000000000002</v>
      </c>
      <c r="J89" s="34">
        <f t="shared" si="44"/>
        <v>100.36962025316456</v>
      </c>
      <c r="K89" s="69">
        <v>79.292000000000002</v>
      </c>
      <c r="L89" s="34">
        <f t="shared" si="33"/>
        <v>100.36962025316456</v>
      </c>
      <c r="M89" s="69">
        <v>79.292000000000002</v>
      </c>
      <c r="N89" s="34">
        <f t="shared" si="34"/>
        <v>100.36962025316456</v>
      </c>
      <c r="O89" s="69">
        <v>79.292000000000002</v>
      </c>
      <c r="P89" s="34">
        <f t="shared" si="35"/>
        <v>100.36962025316456</v>
      </c>
      <c r="Q89" s="253">
        <f t="shared" si="49"/>
        <v>0.29200000000000159</v>
      </c>
      <c r="R89" s="112"/>
      <c r="S89" s="254">
        <f t="shared" si="50"/>
        <v>79.292000000000002</v>
      </c>
      <c r="T89" s="253">
        <f t="shared" si="48"/>
        <v>0.29200000000000159</v>
      </c>
      <c r="U89" s="69"/>
      <c r="V89" s="155"/>
    </row>
    <row r="90" spans="1:23" x14ac:dyDescent="0.2">
      <c r="A90" s="109"/>
      <c r="B90" s="29">
        <v>2229</v>
      </c>
      <c r="C90" s="109">
        <v>4355</v>
      </c>
      <c r="D90" s="29"/>
      <c r="E90" s="29" t="s">
        <v>398</v>
      </c>
      <c r="F90" s="69"/>
      <c r="G90" s="69">
        <v>1028.0070000000001</v>
      </c>
      <c r="H90" s="69">
        <f t="shared" si="45"/>
        <v>1028.0070000000001</v>
      </c>
      <c r="I90" s="69">
        <v>1028.0070000000001</v>
      </c>
      <c r="J90" s="34">
        <f t="shared" si="44"/>
        <v>100</v>
      </c>
      <c r="K90" s="69">
        <v>1028.0070000000001</v>
      </c>
      <c r="L90" s="34">
        <f t="shared" si="33"/>
        <v>100</v>
      </c>
      <c r="M90" s="69">
        <v>1028.0070000000001</v>
      </c>
      <c r="N90" s="34">
        <f t="shared" si="34"/>
        <v>100</v>
      </c>
      <c r="O90" s="69">
        <v>1028.0070000000001</v>
      </c>
      <c r="P90" s="34">
        <f t="shared" si="35"/>
        <v>100</v>
      </c>
      <c r="Q90" s="253">
        <f t="shared" si="49"/>
        <v>0</v>
      </c>
      <c r="R90" s="112"/>
      <c r="S90" s="254">
        <f t="shared" si="50"/>
        <v>1028.0070000000001</v>
      </c>
      <c r="T90" s="253">
        <f t="shared" si="48"/>
        <v>0</v>
      </c>
      <c r="U90" s="69">
        <v>769</v>
      </c>
      <c r="V90" s="155"/>
    </row>
    <row r="91" spans="1:23" x14ac:dyDescent="0.2">
      <c r="A91" s="109"/>
      <c r="B91" s="29"/>
      <c r="C91" s="109"/>
      <c r="D91" s="29" t="s">
        <v>482</v>
      </c>
      <c r="E91" s="29" t="s">
        <v>413</v>
      </c>
      <c r="F91" s="69"/>
      <c r="G91" s="69">
        <v>59.761800000000001</v>
      </c>
      <c r="H91" s="69">
        <f t="shared" si="45"/>
        <v>59.761800000000001</v>
      </c>
      <c r="I91" s="69">
        <v>35.219000000000001</v>
      </c>
      <c r="J91" s="34"/>
      <c r="K91" s="69">
        <v>35.219000000000001</v>
      </c>
      <c r="L91" s="34"/>
      <c r="M91" s="69">
        <v>35.219000000000001</v>
      </c>
      <c r="N91" s="34"/>
      <c r="O91" s="69">
        <f>59.7618+35.219</f>
        <v>94.980800000000002</v>
      </c>
      <c r="P91" s="34">
        <f t="shared" si="35"/>
        <v>158.93229454266773</v>
      </c>
      <c r="Q91" s="253">
        <f t="shared" si="49"/>
        <v>35.219000000000001</v>
      </c>
      <c r="R91" s="112"/>
      <c r="S91" s="254">
        <f t="shared" si="50"/>
        <v>35.219000000000001</v>
      </c>
      <c r="T91" s="253">
        <f t="shared" si="48"/>
        <v>-24.5428</v>
      </c>
      <c r="U91" s="69"/>
      <c r="V91" s="155"/>
    </row>
    <row r="92" spans="1:23" x14ac:dyDescent="0.2">
      <c r="A92" s="109"/>
      <c r="B92" s="29"/>
      <c r="C92" s="109">
        <v>3613</v>
      </c>
      <c r="D92" s="29">
        <v>305</v>
      </c>
      <c r="E92" s="29" t="s">
        <v>379</v>
      </c>
      <c r="F92" s="69">
        <v>600</v>
      </c>
      <c r="G92" s="69">
        <v>145.19999999999999</v>
      </c>
      <c r="H92" s="69">
        <f t="shared" si="45"/>
        <v>745.2</v>
      </c>
      <c r="I92" s="69"/>
      <c r="J92" s="34">
        <f t="shared" si="44"/>
        <v>0</v>
      </c>
      <c r="K92" s="69">
        <v>847.10699999999997</v>
      </c>
      <c r="L92" s="34">
        <f t="shared" si="33"/>
        <v>113.67512077294685</v>
      </c>
      <c r="M92" s="69">
        <v>847.10699999999997</v>
      </c>
      <c r="N92" s="34">
        <f t="shared" si="34"/>
        <v>113.67512077294685</v>
      </c>
      <c r="O92" s="69">
        <v>847.10699999999997</v>
      </c>
      <c r="P92" s="34">
        <f t="shared" si="35"/>
        <v>113.67512077294685</v>
      </c>
      <c r="Q92" s="253">
        <f t="shared" si="49"/>
        <v>101.90699999999993</v>
      </c>
      <c r="R92" s="112"/>
      <c r="S92" s="254">
        <f t="shared" si="50"/>
        <v>847.10699999999997</v>
      </c>
      <c r="T92" s="253">
        <f t="shared" si="48"/>
        <v>101.90699999999993</v>
      </c>
      <c r="U92" s="69">
        <v>1100</v>
      </c>
      <c r="V92" s="155">
        <f>U92/F92</f>
        <v>1.8333333333333333</v>
      </c>
    </row>
    <row r="93" spans="1:23" x14ac:dyDescent="0.2">
      <c r="A93" s="109"/>
      <c r="B93" s="29">
        <v>2322</v>
      </c>
      <c r="C93" s="109">
        <v>6171</v>
      </c>
      <c r="D93" s="29">
        <v>314</v>
      </c>
      <c r="E93" s="29" t="s">
        <v>485</v>
      </c>
      <c r="F93" s="69"/>
      <c r="G93" s="69"/>
      <c r="H93" s="69"/>
      <c r="I93" s="69"/>
      <c r="J93" s="34"/>
      <c r="K93" s="69"/>
      <c r="L93" s="34"/>
      <c r="M93" s="69"/>
      <c r="N93" s="34"/>
      <c r="O93" s="69">
        <v>216.53899999999999</v>
      </c>
      <c r="P93" s="34"/>
      <c r="Q93" s="253">
        <f t="shared" si="49"/>
        <v>216.53899999999999</v>
      </c>
      <c r="R93" s="112"/>
      <c r="S93" s="254"/>
      <c r="T93" s="253"/>
      <c r="U93" s="69"/>
      <c r="V93" s="155"/>
    </row>
    <row r="94" spans="1:23" x14ac:dyDescent="0.2">
      <c r="A94" s="109"/>
      <c r="B94" s="29">
        <v>2324</v>
      </c>
      <c r="C94" s="109">
        <v>5512</v>
      </c>
      <c r="D94" s="29">
        <v>223</v>
      </c>
      <c r="E94" s="29" t="s">
        <v>308</v>
      </c>
      <c r="F94" s="69"/>
      <c r="G94" s="69"/>
      <c r="H94" s="69">
        <f t="shared" si="45"/>
        <v>0</v>
      </c>
      <c r="I94" s="69">
        <f>8.193+1.82+8.2625</f>
        <v>18.275500000000001</v>
      </c>
      <c r="J94" s="34"/>
      <c r="K94" s="69">
        <f>4.309+0.677+1.82+8.2625</f>
        <v>15.0685</v>
      </c>
      <c r="L94" s="34"/>
      <c r="M94" s="514">
        <f>44.892+25.464+23.148+4.309+1.82+8.2625+4.489</f>
        <v>112.38449999999999</v>
      </c>
      <c r="N94" s="34"/>
      <c r="O94" s="514">
        <f>44.892+11.2+36.8817+60.255+4.309+7.29+8.2625+4.817+2</f>
        <v>179.90719999999999</v>
      </c>
      <c r="P94" s="34"/>
      <c r="Q94" s="253">
        <f t="shared" si="49"/>
        <v>179.90719999999999</v>
      </c>
      <c r="R94" s="112"/>
      <c r="S94" s="254">
        <f t="shared" si="50"/>
        <v>112.38449999999999</v>
      </c>
      <c r="T94" s="253">
        <f t="shared" si="48"/>
        <v>112.38449999999999</v>
      </c>
      <c r="U94" s="69"/>
      <c r="V94" s="155"/>
    </row>
    <row r="95" spans="1:23" x14ac:dyDescent="0.2">
      <c r="A95" s="109"/>
      <c r="B95" s="29">
        <v>2328</v>
      </c>
      <c r="C95" s="109"/>
      <c r="D95" s="29"/>
      <c r="E95" s="29" t="s">
        <v>362</v>
      </c>
      <c r="F95" s="69"/>
      <c r="G95" s="69"/>
      <c r="H95" s="69">
        <f t="shared" si="45"/>
        <v>0</v>
      </c>
      <c r="I95" s="69"/>
      <c r="J95" s="34"/>
      <c r="K95" s="69"/>
      <c r="L95" s="34"/>
      <c r="M95" s="69">
        <v>-0.3</v>
      </c>
      <c r="N95" s="34"/>
      <c r="O95" s="69"/>
      <c r="P95" s="34"/>
      <c r="Q95" s="253">
        <f t="shared" si="49"/>
        <v>0</v>
      </c>
      <c r="R95" s="112"/>
      <c r="S95" s="254">
        <f t="shared" si="50"/>
        <v>-0.3</v>
      </c>
      <c r="T95" s="253">
        <f t="shared" si="48"/>
        <v>-0.3</v>
      </c>
      <c r="U95" s="69"/>
      <c r="V95" s="155"/>
      <c r="W95" s="113"/>
    </row>
    <row r="96" spans="1:23" x14ac:dyDescent="0.2">
      <c r="A96" s="96" t="s">
        <v>133</v>
      </c>
      <c r="B96" s="29"/>
      <c r="C96" s="109"/>
      <c r="D96" s="29"/>
      <c r="E96" s="29"/>
      <c r="F96" s="70">
        <f>SUM(F97:F97)</f>
        <v>2995</v>
      </c>
      <c r="G96" s="70">
        <f>SUM(G97:G97)</f>
        <v>0</v>
      </c>
      <c r="H96" s="70">
        <f>SUM(H97:H97)</f>
        <v>2995</v>
      </c>
      <c r="I96" s="70">
        <f>SUM(I97:I97)</f>
        <v>0</v>
      </c>
      <c r="J96" s="31"/>
      <c r="K96" s="70">
        <f>SUM(K97:K97)</f>
        <v>0</v>
      </c>
      <c r="L96" s="31"/>
      <c r="M96" s="70">
        <f>SUM(M97:M97)</f>
        <v>0</v>
      </c>
      <c r="N96" s="206"/>
      <c r="O96" s="70">
        <f>SUM(O97:O97)</f>
        <v>2960.6909999999998</v>
      </c>
      <c r="P96" s="206">
        <f t="shared" si="35"/>
        <v>98.854457429048409</v>
      </c>
      <c r="Q96" s="331">
        <f>SUM(Q97:Q97)</f>
        <v>-34.309000000000196</v>
      </c>
      <c r="R96" s="233"/>
      <c r="S96" s="331">
        <f>SUM(S97:S97)</f>
        <v>2995</v>
      </c>
      <c r="T96" s="331">
        <f>SUM(T97:T97)</f>
        <v>0</v>
      </c>
      <c r="U96" s="70">
        <f>SUM(U97:U97)</f>
        <v>0</v>
      </c>
      <c r="V96" s="154">
        <f>U96/F96</f>
        <v>0</v>
      </c>
    </row>
    <row r="97" spans="1:34" ht="13.5" thickBot="1" x14ac:dyDescent="0.25">
      <c r="A97" s="109"/>
      <c r="B97" s="29"/>
      <c r="C97" s="109"/>
      <c r="D97" s="29"/>
      <c r="E97" s="29" t="s">
        <v>386</v>
      </c>
      <c r="F97" s="69">
        <v>2995</v>
      </c>
      <c r="G97" s="69"/>
      <c r="H97" s="69">
        <f>SUM(F97:G97)</f>
        <v>2995</v>
      </c>
      <c r="I97" s="69"/>
      <c r="J97" s="34"/>
      <c r="K97" s="69"/>
      <c r="L97" s="34"/>
      <c r="M97" s="69"/>
      <c r="N97" s="34"/>
      <c r="O97" s="69">
        <v>2960.6909999999998</v>
      </c>
      <c r="P97" s="34">
        <f t="shared" si="35"/>
        <v>98.854457429048409</v>
      </c>
      <c r="Q97" s="253">
        <f>O97-H97</f>
        <v>-34.309000000000196</v>
      </c>
      <c r="R97" s="532"/>
      <c r="S97" s="254">
        <v>2995</v>
      </c>
      <c r="T97" s="253">
        <f>S97-H97</f>
        <v>0</v>
      </c>
      <c r="U97" s="69"/>
      <c r="V97" s="155"/>
      <c r="W97" s="542"/>
    </row>
    <row r="98" spans="1:34" ht="16.5" thickBot="1" x14ac:dyDescent="0.3">
      <c r="A98" s="115" t="s">
        <v>45</v>
      </c>
      <c r="B98" s="118"/>
      <c r="C98" s="119"/>
      <c r="D98" s="118"/>
      <c r="E98" s="118"/>
      <c r="F98" s="71">
        <f>SUM(F41+F62+F74+F79+F87+F96)</f>
        <v>27393</v>
      </c>
      <c r="G98" s="71">
        <f>SUM(G41+G62+G74+G79+G87+G96)</f>
        <v>1458.2108000000001</v>
      </c>
      <c r="H98" s="71">
        <f>SUM(H41+H62+H74+H79+H87+H96)</f>
        <v>28851.210799999997</v>
      </c>
      <c r="I98" s="71">
        <f>SUM(I41+I62+I74+I79+I87+I96)</f>
        <v>6161.3780099999985</v>
      </c>
      <c r="J98" s="36">
        <f>I98/$H98*100</f>
        <v>21.355699948648251</v>
      </c>
      <c r="K98" s="71">
        <f>SUM(K41+K62+K74+K79+K87+K96)</f>
        <v>12751.447460000001</v>
      </c>
      <c r="L98" s="36">
        <f>K98/$H98*100</f>
        <v>44.197269738156024</v>
      </c>
      <c r="M98" s="71">
        <f>SUM(M41+M62+M74+M79+M87+M96)</f>
        <v>20085.434580000001</v>
      </c>
      <c r="N98" s="36">
        <f>M98/$H98*100</f>
        <v>69.617302092569375</v>
      </c>
      <c r="O98" s="71">
        <f>SUM(O41+O62+O74+O79+O87+O96)</f>
        <v>29072.605579999996</v>
      </c>
      <c r="P98" s="36">
        <f>O98/$H98*100</f>
        <v>100.76736737856422</v>
      </c>
      <c r="Q98" s="335">
        <f>SUM(Q41+Q62+Q74+Q79+Q87+Q96)</f>
        <v>221.3947799999986</v>
      </c>
      <c r="R98" s="239"/>
      <c r="S98" s="71">
        <f>SUM(S41+S62+S74+S79+S87+S96)</f>
        <v>27982.014039999998</v>
      </c>
      <c r="T98" s="348">
        <f>SUM(T41+T62+T74+T79+T87+T96)</f>
        <v>-869.19676000000004</v>
      </c>
      <c r="U98" s="71">
        <f>SUM(U41+U62+U74+U79+U87+U96)</f>
        <v>26505</v>
      </c>
      <c r="V98" s="510">
        <f>U98/F98</f>
        <v>0.9675829591501478</v>
      </c>
    </row>
    <row r="99" spans="1:34" x14ac:dyDescent="0.2">
      <c r="A99" s="110" t="s">
        <v>151</v>
      </c>
      <c r="B99" s="77"/>
      <c r="C99" s="110"/>
      <c r="D99" s="77"/>
      <c r="E99" s="110" t="s">
        <v>46</v>
      </c>
      <c r="F99" s="76"/>
      <c r="G99" s="76"/>
      <c r="H99" s="76"/>
      <c r="I99" s="76"/>
      <c r="J99" s="30"/>
      <c r="K99" s="76"/>
      <c r="L99" s="30"/>
      <c r="M99" s="76"/>
      <c r="N99" s="30"/>
      <c r="O99" s="76"/>
      <c r="P99" s="30"/>
      <c r="Q99" s="30"/>
      <c r="R99" s="235"/>
      <c r="S99" s="30"/>
      <c r="T99" s="30"/>
      <c r="U99" s="76"/>
      <c r="V99" s="153"/>
    </row>
    <row r="100" spans="1:34" x14ac:dyDescent="0.2">
      <c r="A100" s="96" t="s">
        <v>47</v>
      </c>
      <c r="B100" s="32"/>
      <c r="C100" s="96"/>
      <c r="D100" s="32"/>
      <c r="E100" s="32"/>
      <c r="F100" s="70"/>
      <c r="G100" s="70"/>
      <c r="H100" s="70"/>
      <c r="I100" s="70"/>
      <c r="J100" s="31"/>
      <c r="K100" s="70"/>
      <c r="L100" s="31"/>
      <c r="M100" s="70"/>
      <c r="N100" s="31"/>
      <c r="O100" s="70"/>
      <c r="P100" s="31"/>
      <c r="Q100" s="302"/>
      <c r="R100" s="234"/>
      <c r="S100" s="302"/>
      <c r="T100" s="302"/>
      <c r="U100" s="70"/>
      <c r="V100" s="155"/>
      <c r="W100" s="330"/>
    </row>
    <row r="101" spans="1:34" x14ac:dyDescent="0.2">
      <c r="A101" s="109"/>
      <c r="B101" s="29">
        <v>3111</v>
      </c>
      <c r="C101" s="109">
        <v>2121</v>
      </c>
      <c r="D101" s="29">
        <v>20</v>
      </c>
      <c r="E101" s="29" t="s">
        <v>178</v>
      </c>
      <c r="F101" s="69">
        <v>50</v>
      </c>
      <c r="G101" s="69"/>
      <c r="H101" s="69">
        <f>SUM(F101:G101)</f>
        <v>50</v>
      </c>
      <c r="I101" s="69">
        <v>31.3</v>
      </c>
      <c r="J101" s="34">
        <f>I101/$H101*100</f>
        <v>62.6</v>
      </c>
      <c r="K101" s="69">
        <v>111.3</v>
      </c>
      <c r="L101" s="34">
        <f>K101/$H101*100</f>
        <v>222.6</v>
      </c>
      <c r="M101" s="69">
        <v>111.3</v>
      </c>
      <c r="N101" s="461">
        <f>M101/$H101*100</f>
        <v>222.6</v>
      </c>
      <c r="O101" s="69">
        <v>111.3</v>
      </c>
      <c r="P101" s="34">
        <f>O101/$H101*100</f>
        <v>222.6</v>
      </c>
      <c r="Q101" s="253">
        <f t="shared" ref="Q101:Q106" si="51">O101-H101</f>
        <v>61.3</v>
      </c>
      <c r="R101" s="112"/>
      <c r="S101" s="254">
        <f>M101</f>
        <v>111.3</v>
      </c>
      <c r="T101" s="253">
        <f t="shared" ref="T101:T106" si="52">S101-H101</f>
        <v>61.3</v>
      </c>
      <c r="U101" s="69">
        <v>50</v>
      </c>
      <c r="V101" s="155">
        <f>U101/F101</f>
        <v>1</v>
      </c>
      <c r="W101" s="230"/>
    </row>
    <row r="102" spans="1:34" x14ac:dyDescent="0.2">
      <c r="A102" s="109"/>
      <c r="B102" s="29">
        <v>3111</v>
      </c>
      <c r="C102" s="109">
        <v>3612</v>
      </c>
      <c r="D102" s="29">
        <v>326</v>
      </c>
      <c r="E102" s="29" t="s">
        <v>336</v>
      </c>
      <c r="F102" s="69">
        <v>9130</v>
      </c>
      <c r="G102" s="69">
        <v>325</v>
      </c>
      <c r="H102" s="69">
        <f>SUM(F102:G102)</f>
        <v>9455</v>
      </c>
      <c r="I102" s="69">
        <v>60.5</v>
      </c>
      <c r="J102" s="34">
        <f>I102/$H102*100</f>
        <v>0.63987308302485457</v>
      </c>
      <c r="K102" s="69">
        <v>330.411</v>
      </c>
      <c r="L102" s="34">
        <f>K102/$H102*100</f>
        <v>3.4945637228979378</v>
      </c>
      <c r="M102" s="69">
        <v>5536.4790000000003</v>
      </c>
      <c r="N102" s="461">
        <f>M102/$H102*100</f>
        <v>58.556097303014276</v>
      </c>
      <c r="O102" s="69">
        <v>10607.913</v>
      </c>
      <c r="P102" s="34">
        <f>O102/$H102*100</f>
        <v>112.19368588048653</v>
      </c>
      <c r="Q102" s="253">
        <f t="shared" si="51"/>
        <v>1152.9130000000005</v>
      </c>
      <c r="R102" s="112"/>
      <c r="S102" s="254">
        <f>M102+618+507-60+1420+1580</f>
        <v>9601.4789999999994</v>
      </c>
      <c r="T102" s="253">
        <f t="shared" si="52"/>
        <v>146.47899999999936</v>
      </c>
      <c r="U102" s="69">
        <f>1239+1558</f>
        <v>2797</v>
      </c>
      <c r="V102" s="155">
        <f>U102/F102</f>
        <v>0.30635268346111721</v>
      </c>
      <c r="W102" s="534">
        <v>175</v>
      </c>
      <c r="AH102" s="113"/>
    </row>
    <row r="103" spans="1:34" x14ac:dyDescent="0.2">
      <c r="A103" s="109"/>
      <c r="B103" s="29">
        <v>3112</v>
      </c>
      <c r="C103" s="109">
        <v>3612</v>
      </c>
      <c r="D103" s="29">
        <v>45</v>
      </c>
      <c r="E103" s="29" t="s">
        <v>179</v>
      </c>
      <c r="F103" s="69">
        <v>4000</v>
      </c>
      <c r="G103" s="69"/>
      <c r="H103" s="69">
        <f>SUM(F103:G103)</f>
        <v>4000</v>
      </c>
      <c r="I103" s="69">
        <f>3532.785+20</f>
        <v>3552.7849999999999</v>
      </c>
      <c r="J103" s="34">
        <f>I103/$H103*100</f>
        <v>88.819624999999988</v>
      </c>
      <c r="K103" s="69">
        <v>5922.7849999999999</v>
      </c>
      <c r="L103" s="34">
        <f>K103/$H103*100</f>
        <v>148.069625</v>
      </c>
      <c r="M103" s="69">
        <v>9213.5949999999993</v>
      </c>
      <c r="N103" s="461">
        <f>M103/$H103*100</f>
        <v>230.33987500000001</v>
      </c>
      <c r="O103" s="69">
        <v>11498.594999999999</v>
      </c>
      <c r="P103" s="34">
        <f>O103/$H103*100</f>
        <v>287.46487500000001</v>
      </c>
      <c r="Q103" s="253">
        <f t="shared" si="51"/>
        <v>7498.5949999999993</v>
      </c>
      <c r="R103" s="112"/>
      <c r="S103" s="254">
        <f>M103+1355+910</f>
        <v>11478.594999999999</v>
      </c>
      <c r="T103" s="253">
        <f t="shared" si="52"/>
        <v>7478.5949999999993</v>
      </c>
      <c r="U103" s="69">
        <v>4000</v>
      </c>
      <c r="V103" s="155">
        <f>U103/F103</f>
        <v>1</v>
      </c>
    </row>
    <row r="104" spans="1:34" x14ac:dyDescent="0.2">
      <c r="A104" s="109"/>
      <c r="B104" s="29">
        <v>3113</v>
      </c>
      <c r="C104" s="109">
        <v>6171</v>
      </c>
      <c r="D104" s="29">
        <v>314</v>
      </c>
      <c r="E104" s="29" t="s">
        <v>419</v>
      </c>
      <c r="F104" s="69"/>
      <c r="G104" s="69"/>
      <c r="H104" s="69"/>
      <c r="I104" s="69"/>
      <c r="J104" s="34"/>
      <c r="K104" s="69">
        <v>43.51</v>
      </c>
      <c r="L104" s="34"/>
      <c r="M104" s="69">
        <v>43.51</v>
      </c>
      <c r="N104" s="461"/>
      <c r="O104" s="69">
        <v>124.11</v>
      </c>
      <c r="P104" s="34"/>
      <c r="Q104" s="253">
        <f t="shared" si="51"/>
        <v>124.11</v>
      </c>
      <c r="R104" s="112"/>
      <c r="S104" s="254">
        <f>M104</f>
        <v>43.51</v>
      </c>
      <c r="T104" s="253">
        <f t="shared" si="52"/>
        <v>43.51</v>
      </c>
      <c r="U104" s="69"/>
      <c r="V104" s="155"/>
    </row>
    <row r="105" spans="1:34" x14ac:dyDescent="0.2">
      <c r="A105" s="109"/>
      <c r="B105" s="29">
        <v>3201</v>
      </c>
      <c r="C105" s="109">
        <v>6409</v>
      </c>
      <c r="D105" s="29">
        <v>231</v>
      </c>
      <c r="E105" s="29" t="s">
        <v>420</v>
      </c>
      <c r="F105" s="69"/>
      <c r="G105" s="69"/>
      <c r="H105" s="69"/>
      <c r="I105" s="69"/>
      <c r="J105" s="34"/>
      <c r="K105" s="69">
        <v>5.55722</v>
      </c>
      <c r="L105" s="34"/>
      <c r="M105" s="69">
        <v>5.55722</v>
      </c>
      <c r="N105" s="461"/>
      <c r="O105" s="69">
        <v>5.55722</v>
      </c>
      <c r="P105" s="34"/>
      <c r="Q105" s="253">
        <f t="shared" si="51"/>
        <v>5.55722</v>
      </c>
      <c r="R105" s="112"/>
      <c r="S105" s="254">
        <f>M105</f>
        <v>5.55722</v>
      </c>
      <c r="T105" s="253">
        <f t="shared" si="52"/>
        <v>5.55722</v>
      </c>
      <c r="U105" s="69"/>
      <c r="V105" s="155"/>
    </row>
    <row r="106" spans="1:34" ht="13.5" thickBot="1" x14ac:dyDescent="0.25">
      <c r="A106" s="109"/>
      <c r="B106" s="29">
        <v>3112</v>
      </c>
      <c r="C106" s="109">
        <v>3612</v>
      </c>
      <c r="D106" s="29">
        <v>245</v>
      </c>
      <c r="E106" s="29" t="s">
        <v>180</v>
      </c>
      <c r="F106" s="69">
        <v>378</v>
      </c>
      <c r="G106" s="69"/>
      <c r="H106" s="69">
        <f>SUM(F106:G106)</f>
        <v>378</v>
      </c>
      <c r="I106" s="69">
        <v>89.373000000000005</v>
      </c>
      <c r="J106" s="34">
        <f>I106/$H106*100</f>
        <v>23.643650793650796</v>
      </c>
      <c r="K106" s="69">
        <v>183.11099999999999</v>
      </c>
      <c r="L106" s="34">
        <f>K106/$H106*100</f>
        <v>48.44206349206349</v>
      </c>
      <c r="M106" s="69">
        <v>281.37200000000001</v>
      </c>
      <c r="N106" s="34">
        <f>M106/$H106*100</f>
        <v>74.437037037037044</v>
      </c>
      <c r="O106" s="69">
        <v>378.00299999999999</v>
      </c>
      <c r="P106" s="34">
        <f>O106/$H106*100</f>
        <v>100.00079365079364</v>
      </c>
      <c r="Q106" s="253">
        <f t="shared" si="51"/>
        <v>2.9999999999859028E-3</v>
      </c>
      <c r="R106" s="112"/>
      <c r="S106" s="257">
        <f>H106</f>
        <v>378</v>
      </c>
      <c r="T106" s="253">
        <f t="shared" si="52"/>
        <v>0</v>
      </c>
      <c r="U106" s="69">
        <v>268</v>
      </c>
      <c r="V106" s="155">
        <f>U106/F106</f>
        <v>0.70899470899470896</v>
      </c>
    </row>
    <row r="107" spans="1:34" ht="15.75" customHeight="1" thickBot="1" x14ac:dyDescent="0.3">
      <c r="A107" s="115" t="s">
        <v>48</v>
      </c>
      <c r="B107" s="118"/>
      <c r="C107" s="119"/>
      <c r="D107" s="118"/>
      <c r="E107" s="118"/>
      <c r="F107" s="71">
        <f>SUM(F101:F106)</f>
        <v>13558</v>
      </c>
      <c r="G107" s="71">
        <f>SUM(G101:G106)</f>
        <v>325</v>
      </c>
      <c r="H107" s="71">
        <f>SUM(H101:H106)</f>
        <v>13883</v>
      </c>
      <c r="I107" s="71">
        <f>SUM(I101:I106)</f>
        <v>3733.9580000000001</v>
      </c>
      <c r="J107" s="36">
        <f>I107/$H107*100</f>
        <v>26.895901462219985</v>
      </c>
      <c r="K107" s="71">
        <f>SUM(K101:K106)</f>
        <v>6596.6742199999999</v>
      </c>
      <c r="L107" s="36">
        <f>K107/$H107*100</f>
        <v>47.516201253331417</v>
      </c>
      <c r="M107" s="71">
        <f>SUM(M101:M106)</f>
        <v>15191.81322</v>
      </c>
      <c r="N107" s="36">
        <f>M107/$H107*100</f>
        <v>109.4274524238277</v>
      </c>
      <c r="O107" s="71">
        <f>SUM(O101:O106)</f>
        <v>22725.478219999997</v>
      </c>
      <c r="P107" s="36">
        <f>O107/$H107*100</f>
        <v>163.69284895195563</v>
      </c>
      <c r="Q107" s="332">
        <f>SUM(Q101:Q106)</f>
        <v>8842.4782200000009</v>
      </c>
      <c r="R107" s="488"/>
      <c r="S107" s="71">
        <f>SUM(S101:S106)</f>
        <v>21618.441219999993</v>
      </c>
      <c r="T107" s="348">
        <f>SUM(T101:T106)</f>
        <v>7735.4412199999988</v>
      </c>
      <c r="U107" s="71">
        <f>SUM(U101:U106)</f>
        <v>7115</v>
      </c>
      <c r="V107" s="156">
        <f>U107/F107</f>
        <v>0.52478241628558786</v>
      </c>
      <c r="W107" s="409">
        <f>SUM(W42:W106)</f>
        <v>835</v>
      </c>
    </row>
    <row r="108" spans="1:34" x14ac:dyDescent="0.2">
      <c r="A108" s="110" t="s">
        <v>49</v>
      </c>
      <c r="B108" s="78"/>
      <c r="C108" s="120"/>
      <c r="D108" s="78"/>
      <c r="E108" s="110" t="s">
        <v>50</v>
      </c>
      <c r="F108" s="72"/>
      <c r="G108" s="72"/>
      <c r="H108" s="76"/>
      <c r="I108" s="72"/>
      <c r="J108" s="37"/>
      <c r="K108" s="72"/>
      <c r="L108" s="37"/>
      <c r="M108" s="72"/>
      <c r="N108" s="37"/>
      <c r="O108" s="72"/>
      <c r="P108" s="37"/>
      <c r="Q108" s="37"/>
      <c r="R108" s="240"/>
      <c r="S108" s="37"/>
      <c r="T108" s="37"/>
      <c r="U108" s="72"/>
      <c r="V108" s="157"/>
    </row>
    <row r="109" spans="1:34" x14ac:dyDescent="0.2">
      <c r="A109" s="96" t="s">
        <v>51</v>
      </c>
      <c r="B109" s="32"/>
      <c r="C109" s="96" t="s">
        <v>309</v>
      </c>
      <c r="D109" s="32" t="s">
        <v>142</v>
      </c>
      <c r="E109" s="32"/>
      <c r="F109" s="70">
        <f>SUM(F110:F143)</f>
        <v>28221</v>
      </c>
      <c r="G109" s="70">
        <f>SUM(G110:G143)</f>
        <v>17785.100509999997</v>
      </c>
      <c r="H109" s="70">
        <f>SUM(H110:H143)</f>
        <v>46006.100509999997</v>
      </c>
      <c r="I109" s="70">
        <f>SUM(I110:I143)</f>
        <v>6732.8620799999999</v>
      </c>
      <c r="J109" s="31">
        <f>I109/$H109*100</f>
        <v>14.63471584281856</v>
      </c>
      <c r="K109" s="70">
        <f>SUM(K110:K143)</f>
        <v>20408.8112</v>
      </c>
      <c r="L109" s="31">
        <f>K109/$H109*100</f>
        <v>44.361097710430577</v>
      </c>
      <c r="M109" s="70">
        <f>SUM(M110:M143)</f>
        <v>35176.401919999997</v>
      </c>
      <c r="N109" s="31">
        <f>M109/$H109*100</f>
        <v>76.460298808315585</v>
      </c>
      <c r="O109" s="70">
        <f>SUM(O110:O143)</f>
        <v>45946.687610000001</v>
      </c>
      <c r="P109" s="31">
        <f>O109/$H109*100</f>
        <v>99.870858648437107</v>
      </c>
      <c r="Q109" s="331">
        <f>SUM(Q110:Q143)</f>
        <v>-59.412899999999993</v>
      </c>
      <c r="R109" s="241"/>
      <c r="S109" s="70">
        <f>SUM(S110:S143)</f>
        <v>45947.148943333326</v>
      </c>
      <c r="T109" s="347">
        <f>SUM(T110:T143)</f>
        <v>-58.951566666669493</v>
      </c>
      <c r="U109" s="70">
        <f>SUM(U110:U143)</f>
        <v>35444</v>
      </c>
      <c r="V109" s="154">
        <f>U109/F109</f>
        <v>1.2559441550618333</v>
      </c>
    </row>
    <row r="110" spans="1:34" x14ac:dyDescent="0.2">
      <c r="A110" s="109"/>
      <c r="B110" s="29">
        <v>4112</v>
      </c>
      <c r="C110" s="29"/>
      <c r="D110" s="29"/>
      <c r="E110" s="29" t="s">
        <v>181</v>
      </c>
      <c r="F110" s="69">
        <v>20372.900000000001</v>
      </c>
      <c r="G110" s="69"/>
      <c r="H110" s="69">
        <f t="shared" ref="H110:H119" si="53">SUM(F110:G110)</f>
        <v>20372.900000000001</v>
      </c>
      <c r="I110" s="69">
        <v>5093.2259999999997</v>
      </c>
      <c r="J110" s="34">
        <f>I110/$H110*100</f>
        <v>25.000004908481362</v>
      </c>
      <c r="K110" s="69">
        <v>10186.451999999999</v>
      </c>
      <c r="L110" s="34">
        <f>K110/$H110*100</f>
        <v>50.000009816962724</v>
      </c>
      <c r="M110" s="69">
        <v>15279.678</v>
      </c>
      <c r="N110" s="34">
        <f>M110/$H110*100</f>
        <v>75.000014725444089</v>
      </c>
      <c r="O110" s="69">
        <v>20372.900000000001</v>
      </c>
      <c r="P110" s="34">
        <f>O110/$H110*100</f>
        <v>100</v>
      </c>
      <c r="Q110" s="253">
        <f t="shared" ref="Q110:Q143" si="54">O110-H110</f>
        <v>0</v>
      </c>
      <c r="R110" s="126"/>
      <c r="S110" s="257">
        <f>M110/3*4</f>
        <v>20372.903999999999</v>
      </c>
      <c r="T110" s="253">
        <f>S110-H110</f>
        <v>3.9999999971769284E-3</v>
      </c>
      <c r="U110" s="34">
        <v>23138.1</v>
      </c>
      <c r="V110" s="445">
        <f>U110/F110</f>
        <v>1.135729326703611</v>
      </c>
      <c r="W110" s="66">
        <f>U110-H110</f>
        <v>2765.1999999999971</v>
      </c>
      <c r="Z110" s="113"/>
    </row>
    <row r="111" spans="1:34" x14ac:dyDescent="0.2">
      <c r="A111" s="109"/>
      <c r="B111" s="29">
        <v>4111</v>
      </c>
      <c r="C111" s="29">
        <v>110</v>
      </c>
      <c r="D111" s="29"/>
      <c r="E111" s="207" t="s">
        <v>415</v>
      </c>
      <c r="F111" s="69"/>
      <c r="G111" s="69">
        <v>180</v>
      </c>
      <c r="H111" s="69">
        <f t="shared" si="53"/>
        <v>180</v>
      </c>
      <c r="I111" s="69"/>
      <c r="J111" s="34"/>
      <c r="K111" s="69">
        <v>180</v>
      </c>
      <c r="L111" s="34">
        <f>K111/$H111*100</f>
        <v>100</v>
      </c>
      <c r="M111" s="69">
        <v>180</v>
      </c>
      <c r="N111" s="34">
        <f t="shared" ref="N111:N148" si="55">M111/$H111*100</f>
        <v>100</v>
      </c>
      <c r="O111" s="69">
        <v>180</v>
      </c>
      <c r="P111" s="34">
        <f t="shared" ref="P111:P146" si="56">O111/$H111*100</f>
        <v>100</v>
      </c>
      <c r="Q111" s="253">
        <f t="shared" si="54"/>
        <v>0</v>
      </c>
      <c r="R111" s="126"/>
      <c r="S111" s="254">
        <f>H111</f>
        <v>180</v>
      </c>
      <c r="T111" s="253">
        <f t="shared" ref="T111:T149" si="57">S111-H111</f>
        <v>0</v>
      </c>
      <c r="U111" s="69"/>
      <c r="V111" s="445"/>
      <c r="W111" s="66"/>
    </row>
    <row r="112" spans="1:34" x14ac:dyDescent="0.2">
      <c r="A112" s="109"/>
      <c r="B112" s="29">
        <v>4111</v>
      </c>
      <c r="C112" s="29">
        <v>314</v>
      </c>
      <c r="D112" s="29">
        <v>98018</v>
      </c>
      <c r="E112" s="207" t="s">
        <v>428</v>
      </c>
      <c r="F112" s="69"/>
      <c r="G112" s="69">
        <v>40.18</v>
      </c>
      <c r="H112" s="69">
        <f t="shared" si="53"/>
        <v>40.18</v>
      </c>
      <c r="I112" s="69"/>
      <c r="J112" s="34"/>
      <c r="K112" s="69"/>
      <c r="L112" s="34"/>
      <c r="M112" s="69">
        <v>40.18</v>
      </c>
      <c r="N112" s="34">
        <f t="shared" si="55"/>
        <v>100</v>
      </c>
      <c r="O112" s="69">
        <v>40.18</v>
      </c>
      <c r="P112" s="34">
        <f t="shared" si="56"/>
        <v>100</v>
      </c>
      <c r="Q112" s="253">
        <f t="shared" si="54"/>
        <v>0</v>
      </c>
      <c r="R112" s="126"/>
      <c r="S112" s="254">
        <f t="shared" ref="S112:S127" si="58">H112</f>
        <v>40.18</v>
      </c>
      <c r="T112" s="253">
        <f t="shared" si="57"/>
        <v>0</v>
      </c>
      <c r="U112" s="69"/>
      <c r="V112" s="445"/>
      <c r="W112" s="66"/>
    </row>
    <row r="113" spans="1:25" x14ac:dyDescent="0.2">
      <c r="A113" s="109"/>
      <c r="B113" s="29">
        <v>4116</v>
      </c>
      <c r="C113" s="29">
        <v>314</v>
      </c>
      <c r="D113" s="251" t="s">
        <v>281</v>
      </c>
      <c r="E113" s="414" t="s">
        <v>331</v>
      </c>
      <c r="F113" s="69">
        <v>2950</v>
      </c>
      <c r="G113" s="69">
        <v>733.2</v>
      </c>
      <c r="H113" s="69">
        <f t="shared" si="53"/>
        <v>3683.2</v>
      </c>
      <c r="I113" s="69"/>
      <c r="J113" s="34">
        <f>I113/$H113*100</f>
        <v>0</v>
      </c>
      <c r="K113" s="69">
        <v>1608.75</v>
      </c>
      <c r="L113" s="34">
        <f t="shared" ref="L113:L121" si="59">K113/$H113*100</f>
        <v>43.678051694178976</v>
      </c>
      <c r="M113" s="69">
        <v>3683.2</v>
      </c>
      <c r="N113" s="34">
        <f t="shared" si="55"/>
        <v>100</v>
      </c>
      <c r="O113" s="69">
        <v>3683.2</v>
      </c>
      <c r="P113" s="34">
        <f t="shared" si="56"/>
        <v>100</v>
      </c>
      <c r="Q113" s="253">
        <f t="shared" si="54"/>
        <v>0</v>
      </c>
      <c r="R113" s="441"/>
      <c r="S113" s="254">
        <f t="shared" si="58"/>
        <v>3683.2</v>
      </c>
      <c r="T113" s="253">
        <f t="shared" si="57"/>
        <v>0</v>
      </c>
      <c r="U113" s="69">
        <v>3500</v>
      </c>
      <c r="V113" s="445">
        <f>U113/F113</f>
        <v>1.1864406779661016</v>
      </c>
      <c r="W113" s="66"/>
    </row>
    <row r="114" spans="1:25" x14ac:dyDescent="0.2">
      <c r="A114" s="109"/>
      <c r="B114" s="29">
        <v>4116</v>
      </c>
      <c r="C114" s="29">
        <v>314</v>
      </c>
      <c r="D114" s="251" t="s">
        <v>371</v>
      </c>
      <c r="E114" s="414" t="s">
        <v>294</v>
      </c>
      <c r="F114" s="69">
        <v>518</v>
      </c>
      <c r="G114" s="69">
        <v>14.894</v>
      </c>
      <c r="H114" s="69">
        <f t="shared" si="53"/>
        <v>532.89400000000001</v>
      </c>
      <c r="I114" s="69"/>
      <c r="J114" s="34">
        <f>I114/$H114*100</f>
        <v>0</v>
      </c>
      <c r="K114" s="69">
        <v>247.279</v>
      </c>
      <c r="L114" s="34">
        <f t="shared" si="59"/>
        <v>46.403037001730176</v>
      </c>
      <c r="M114" s="69">
        <v>532.89400000000001</v>
      </c>
      <c r="N114" s="34">
        <f t="shared" si="55"/>
        <v>100</v>
      </c>
      <c r="O114" s="69">
        <v>532.89400000000001</v>
      </c>
      <c r="P114" s="34">
        <f t="shared" si="56"/>
        <v>100</v>
      </c>
      <c r="Q114" s="253">
        <f t="shared" si="54"/>
        <v>0</v>
      </c>
      <c r="R114" s="126"/>
      <c r="S114" s="254">
        <f t="shared" si="58"/>
        <v>532.89400000000001</v>
      </c>
      <c r="T114" s="253">
        <f t="shared" si="57"/>
        <v>0</v>
      </c>
      <c r="U114" s="69">
        <v>530</v>
      </c>
      <c r="V114" s="445">
        <f>U114/F114</f>
        <v>1.0231660231660231</v>
      </c>
      <c r="W114" s="440"/>
    </row>
    <row r="115" spans="1:25" x14ac:dyDescent="0.2">
      <c r="A115" s="109"/>
      <c r="B115" s="29">
        <v>4116</v>
      </c>
      <c r="C115" s="29">
        <v>3005</v>
      </c>
      <c r="D115" s="29">
        <v>3005</v>
      </c>
      <c r="E115" s="475" t="s">
        <v>324</v>
      </c>
      <c r="F115" s="69">
        <v>105</v>
      </c>
      <c r="G115" s="69"/>
      <c r="H115" s="69">
        <f t="shared" si="53"/>
        <v>105</v>
      </c>
      <c r="I115" s="69"/>
      <c r="J115" s="34">
        <f>I115/$H115*100</f>
        <v>0</v>
      </c>
      <c r="K115" s="69">
        <v>33.325099999999999</v>
      </c>
      <c r="L115" s="34">
        <f t="shared" si="59"/>
        <v>31.738190476190475</v>
      </c>
      <c r="M115" s="69">
        <v>33.325099999999999</v>
      </c>
      <c r="N115" s="34">
        <f t="shared" si="55"/>
        <v>31.738190476190475</v>
      </c>
      <c r="O115" s="69">
        <v>33.325099999999999</v>
      </c>
      <c r="P115" s="34">
        <f t="shared" si="56"/>
        <v>31.738190476190475</v>
      </c>
      <c r="Q115" s="253">
        <f t="shared" si="54"/>
        <v>-71.674900000000008</v>
      </c>
      <c r="R115" s="126" t="s">
        <v>514</v>
      </c>
      <c r="S115" s="254">
        <f>M115</f>
        <v>33.325099999999999</v>
      </c>
      <c r="T115" s="253">
        <f t="shared" si="57"/>
        <v>-71.674900000000008</v>
      </c>
      <c r="U115" s="69"/>
      <c r="V115" s="445">
        <f>U115/F115</f>
        <v>0</v>
      </c>
      <c r="X115" s="543"/>
      <c r="Y115" s="636"/>
    </row>
    <row r="116" spans="1:25" x14ac:dyDescent="0.2">
      <c r="A116" s="109"/>
      <c r="B116" s="29">
        <v>4116</v>
      </c>
      <c r="C116" s="29">
        <v>6206</v>
      </c>
      <c r="D116" s="29">
        <v>6206</v>
      </c>
      <c r="E116" s="475" t="s">
        <v>325</v>
      </c>
      <c r="F116" s="69">
        <v>633</v>
      </c>
      <c r="G116" s="69">
        <v>350.00200999999998</v>
      </c>
      <c r="H116" s="69">
        <f t="shared" si="53"/>
        <v>983.00200999999993</v>
      </c>
      <c r="I116" s="69">
        <v>626.59407999999996</v>
      </c>
      <c r="J116" s="34">
        <f>I116/$H116*100</f>
        <v>63.742909335454968</v>
      </c>
      <c r="K116" s="69">
        <v>626.59407999999996</v>
      </c>
      <c r="L116" s="34">
        <f t="shared" si="59"/>
        <v>63.742909335454968</v>
      </c>
      <c r="M116" s="69">
        <v>983.00201000000004</v>
      </c>
      <c r="N116" s="34">
        <f t="shared" si="55"/>
        <v>100.00000000000003</v>
      </c>
      <c r="O116" s="69">
        <v>983.00201000000004</v>
      </c>
      <c r="P116" s="34">
        <f t="shared" si="56"/>
        <v>100.00000000000003</v>
      </c>
      <c r="Q116" s="253">
        <f t="shared" si="54"/>
        <v>0</v>
      </c>
      <c r="R116" s="126" t="s">
        <v>444</v>
      </c>
      <c r="S116" s="254">
        <f t="shared" si="58"/>
        <v>983.00200999999993</v>
      </c>
      <c r="T116" s="253">
        <f t="shared" si="57"/>
        <v>0</v>
      </c>
      <c r="U116" s="69"/>
      <c r="V116" s="445">
        <f>U116/F116</f>
        <v>0</v>
      </c>
    </row>
    <row r="117" spans="1:25" x14ac:dyDescent="0.2">
      <c r="A117" s="109"/>
      <c r="B117" s="29">
        <v>4116</v>
      </c>
      <c r="C117" s="29">
        <v>15479</v>
      </c>
      <c r="D117" s="29"/>
      <c r="E117" s="419" t="s">
        <v>456</v>
      </c>
      <c r="F117" s="69"/>
      <c r="G117" s="69"/>
      <c r="H117" s="69"/>
      <c r="I117" s="69"/>
      <c r="J117" s="34"/>
      <c r="K117" s="69"/>
      <c r="L117" s="34"/>
      <c r="M117" s="69"/>
      <c r="N117" s="34"/>
      <c r="O117" s="69"/>
      <c r="P117" s="34"/>
      <c r="Q117" s="253">
        <f t="shared" si="54"/>
        <v>0</v>
      </c>
      <c r="R117" s="126"/>
      <c r="S117" s="254"/>
      <c r="T117" s="253">
        <f t="shared" si="57"/>
        <v>0</v>
      </c>
      <c r="U117" s="69">
        <v>903</v>
      </c>
      <c r="V117" s="445"/>
    </row>
    <row r="118" spans="1:25" x14ac:dyDescent="0.2">
      <c r="A118" s="109"/>
      <c r="B118" s="29">
        <v>4116</v>
      </c>
      <c r="C118" s="29">
        <v>103.102</v>
      </c>
      <c r="D118" s="29"/>
      <c r="E118" s="207" t="s">
        <v>332</v>
      </c>
      <c r="F118" s="69">
        <v>700</v>
      </c>
      <c r="G118" s="69">
        <v>395</v>
      </c>
      <c r="H118" s="69">
        <f t="shared" si="53"/>
        <v>1095</v>
      </c>
      <c r="I118" s="69"/>
      <c r="J118" s="34"/>
      <c r="K118" s="69">
        <v>0</v>
      </c>
      <c r="L118" s="34">
        <f t="shared" si="59"/>
        <v>0</v>
      </c>
      <c r="M118" s="69">
        <f>230+865</f>
        <v>1095</v>
      </c>
      <c r="N118" s="34">
        <f t="shared" si="55"/>
        <v>100</v>
      </c>
      <c r="O118" s="69">
        <f>230+865</f>
        <v>1095</v>
      </c>
      <c r="P118" s="34">
        <f t="shared" si="56"/>
        <v>100</v>
      </c>
      <c r="Q118" s="253">
        <f t="shared" si="54"/>
        <v>0</v>
      </c>
      <c r="R118" s="126"/>
      <c r="S118" s="254">
        <f t="shared" si="58"/>
        <v>1095</v>
      </c>
      <c r="T118" s="253">
        <f t="shared" si="57"/>
        <v>0</v>
      </c>
      <c r="U118" s="69">
        <v>800</v>
      </c>
      <c r="V118" s="445">
        <f>U118/F118</f>
        <v>1.1428571428571428</v>
      </c>
    </row>
    <row r="119" spans="1:25" x14ac:dyDescent="0.2">
      <c r="A119" s="109"/>
      <c r="B119" s="29">
        <v>4116</v>
      </c>
      <c r="C119" s="29">
        <v>201</v>
      </c>
      <c r="D119" s="29"/>
      <c r="E119" s="207" t="s">
        <v>481</v>
      </c>
      <c r="F119" s="69"/>
      <c r="G119" s="69">
        <v>57.12</v>
      </c>
      <c r="H119" s="69">
        <f t="shared" si="53"/>
        <v>57.12</v>
      </c>
      <c r="I119" s="69"/>
      <c r="J119" s="34"/>
      <c r="K119" s="69"/>
      <c r="L119" s="34"/>
      <c r="M119" s="69"/>
      <c r="N119" s="34"/>
      <c r="O119" s="69">
        <v>63.16</v>
      </c>
      <c r="P119" s="34">
        <f t="shared" si="56"/>
        <v>110.57422969187675</v>
      </c>
      <c r="Q119" s="253">
        <f t="shared" si="54"/>
        <v>6.0399999999999991</v>
      </c>
      <c r="R119" s="126"/>
      <c r="S119" s="254">
        <f t="shared" si="58"/>
        <v>57.12</v>
      </c>
      <c r="T119" s="253">
        <f t="shared" si="57"/>
        <v>0</v>
      </c>
      <c r="U119" s="69"/>
      <c r="V119" s="445"/>
      <c r="X119" s="542"/>
    </row>
    <row r="120" spans="1:25" x14ac:dyDescent="0.2">
      <c r="A120" s="109"/>
      <c r="B120" s="29">
        <v>4116</v>
      </c>
      <c r="C120" s="29">
        <v>203</v>
      </c>
      <c r="D120" s="29"/>
      <c r="E120" s="207" t="s">
        <v>418</v>
      </c>
      <c r="F120" s="69"/>
      <c r="G120" s="69">
        <v>23.065020000000001</v>
      </c>
      <c r="H120" s="69">
        <f t="shared" ref="H120:H127" si="60">SUM(F120:G120)</f>
        <v>23.065020000000001</v>
      </c>
      <c r="I120" s="69"/>
      <c r="J120" s="34"/>
      <c r="K120" s="69">
        <v>23.065020000000001</v>
      </c>
      <c r="L120" s="34">
        <f t="shared" si="59"/>
        <v>100</v>
      </c>
      <c r="M120" s="69">
        <v>23.065020000000001</v>
      </c>
      <c r="N120" s="34">
        <f t="shared" si="55"/>
        <v>100</v>
      </c>
      <c r="O120" s="69">
        <v>23.065020000000001</v>
      </c>
      <c r="P120" s="34">
        <f t="shared" si="56"/>
        <v>100</v>
      </c>
      <c r="Q120" s="253">
        <f t="shared" si="54"/>
        <v>0</v>
      </c>
      <c r="R120" s="126"/>
      <c r="S120" s="254">
        <f t="shared" si="58"/>
        <v>23.065020000000001</v>
      </c>
      <c r="T120" s="253">
        <f t="shared" si="57"/>
        <v>0</v>
      </c>
      <c r="U120" s="69"/>
      <c r="V120" s="445"/>
      <c r="X120" s="542"/>
    </row>
    <row r="121" spans="1:25" x14ac:dyDescent="0.2">
      <c r="A121" s="109"/>
      <c r="B121" s="29">
        <v>4116</v>
      </c>
      <c r="C121" s="29">
        <v>223</v>
      </c>
      <c r="D121" s="29"/>
      <c r="E121" s="207" t="s">
        <v>364</v>
      </c>
      <c r="F121" s="69"/>
      <c r="G121" s="69">
        <f>150+95.837</f>
        <v>245.83699999999999</v>
      </c>
      <c r="H121" s="69">
        <f t="shared" si="60"/>
        <v>245.83699999999999</v>
      </c>
      <c r="I121" s="69"/>
      <c r="J121" s="34"/>
      <c r="K121" s="69">
        <v>150</v>
      </c>
      <c r="L121" s="34">
        <f t="shared" si="59"/>
        <v>61.016039082806905</v>
      </c>
      <c r="M121" s="69">
        <v>150</v>
      </c>
      <c r="N121" s="34">
        <f t="shared" si="55"/>
        <v>61.016039082806905</v>
      </c>
      <c r="O121" s="69">
        <v>245.83699999999999</v>
      </c>
      <c r="P121" s="34">
        <f t="shared" si="56"/>
        <v>100</v>
      </c>
      <c r="Q121" s="253">
        <f t="shared" si="54"/>
        <v>0</v>
      </c>
      <c r="R121" s="126"/>
      <c r="S121" s="254">
        <f t="shared" si="58"/>
        <v>245.83699999999999</v>
      </c>
      <c r="T121" s="253">
        <f t="shared" si="57"/>
        <v>0</v>
      </c>
      <c r="U121" s="69"/>
      <c r="V121" s="445"/>
      <c r="X121" s="542"/>
    </row>
    <row r="122" spans="1:25" x14ac:dyDescent="0.2">
      <c r="A122" s="109"/>
      <c r="B122" s="29">
        <v>4116</v>
      </c>
      <c r="C122" s="29">
        <v>301</v>
      </c>
      <c r="D122" s="29"/>
      <c r="E122" s="207" t="s">
        <v>365</v>
      </c>
      <c r="F122" s="69">
        <v>0</v>
      </c>
      <c r="G122" s="69">
        <v>823.33399999999995</v>
      </c>
      <c r="H122" s="69">
        <f t="shared" si="60"/>
        <v>823.33399999999995</v>
      </c>
      <c r="I122" s="69"/>
      <c r="J122" s="34"/>
      <c r="K122" s="69"/>
      <c r="L122" s="34"/>
      <c r="M122" s="69">
        <v>823.33399999999995</v>
      </c>
      <c r="N122" s="34">
        <f t="shared" si="55"/>
        <v>100</v>
      </c>
      <c r="O122" s="69">
        <v>823.33399999999995</v>
      </c>
      <c r="P122" s="34">
        <f t="shared" si="56"/>
        <v>100</v>
      </c>
      <c r="Q122" s="253">
        <f t="shared" si="54"/>
        <v>0</v>
      </c>
      <c r="R122" s="126"/>
      <c r="S122" s="254">
        <f t="shared" si="58"/>
        <v>823.33399999999995</v>
      </c>
      <c r="T122" s="253">
        <f t="shared" si="57"/>
        <v>0</v>
      </c>
      <c r="U122" s="69"/>
      <c r="V122" s="445"/>
      <c r="X122" s="542"/>
    </row>
    <row r="123" spans="1:25" x14ac:dyDescent="0.2">
      <c r="A123" s="109"/>
      <c r="B123" s="29">
        <v>4116</v>
      </c>
      <c r="C123" s="29">
        <v>303</v>
      </c>
      <c r="D123" s="29"/>
      <c r="E123" s="419" t="s">
        <v>480</v>
      </c>
      <c r="F123" s="69"/>
      <c r="G123" s="69">
        <v>1465.6695</v>
      </c>
      <c r="H123" s="69">
        <f t="shared" si="60"/>
        <v>1465.6695</v>
      </c>
      <c r="I123" s="69"/>
      <c r="J123" s="34"/>
      <c r="K123" s="69"/>
      <c r="L123" s="34"/>
      <c r="M123" s="69"/>
      <c r="N123" s="34"/>
      <c r="O123" s="69">
        <v>1465.6695</v>
      </c>
      <c r="P123" s="34">
        <f t="shared" si="56"/>
        <v>100</v>
      </c>
      <c r="Q123" s="253">
        <f t="shared" si="54"/>
        <v>0</v>
      </c>
      <c r="R123" s="126"/>
      <c r="S123" s="254">
        <f t="shared" si="58"/>
        <v>1465.6695</v>
      </c>
      <c r="T123" s="253">
        <f t="shared" si="57"/>
        <v>0</v>
      </c>
      <c r="U123" s="69"/>
      <c r="V123" s="445"/>
      <c r="X123" s="542"/>
    </row>
    <row r="124" spans="1:25" x14ac:dyDescent="0.2">
      <c r="A124" s="109"/>
      <c r="B124" s="29">
        <v>4116</v>
      </c>
      <c r="C124" s="29">
        <v>303</v>
      </c>
      <c r="D124" s="29"/>
      <c r="E124" s="207" t="s">
        <v>370</v>
      </c>
      <c r="F124" s="69">
        <v>0</v>
      </c>
      <c r="G124" s="69">
        <v>1666.4860000000001</v>
      </c>
      <c r="H124" s="69">
        <f t="shared" si="60"/>
        <v>1666.4860000000001</v>
      </c>
      <c r="I124" s="69"/>
      <c r="J124" s="34"/>
      <c r="K124" s="69"/>
      <c r="L124" s="34"/>
      <c r="M124" s="69"/>
      <c r="N124" s="34"/>
      <c r="O124" s="69">
        <v>1666.4860000000001</v>
      </c>
      <c r="P124" s="34">
        <f t="shared" si="56"/>
        <v>100</v>
      </c>
      <c r="Q124" s="253">
        <f t="shared" si="54"/>
        <v>0</v>
      </c>
      <c r="R124" s="126"/>
      <c r="S124" s="254">
        <f t="shared" si="58"/>
        <v>1666.4860000000001</v>
      </c>
      <c r="T124" s="253">
        <f t="shared" si="57"/>
        <v>0</v>
      </c>
      <c r="U124" s="69"/>
      <c r="V124" s="445"/>
    </row>
    <row r="125" spans="1:25" x14ac:dyDescent="0.2">
      <c r="A125" s="109"/>
      <c r="B125" s="29">
        <v>4116</v>
      </c>
      <c r="C125" s="29">
        <v>304</v>
      </c>
      <c r="D125" s="29"/>
      <c r="E125" s="207" t="s">
        <v>366</v>
      </c>
      <c r="F125" s="69">
        <v>0</v>
      </c>
      <c r="G125" s="69">
        <v>1379.77</v>
      </c>
      <c r="H125" s="69">
        <f t="shared" si="60"/>
        <v>1379.77</v>
      </c>
      <c r="I125" s="69"/>
      <c r="J125" s="34"/>
      <c r="K125" s="69"/>
      <c r="L125" s="34"/>
      <c r="M125" s="69"/>
      <c r="N125" s="34"/>
      <c r="O125" s="69">
        <v>1379.77</v>
      </c>
      <c r="P125" s="34">
        <f t="shared" si="56"/>
        <v>100</v>
      </c>
      <c r="Q125" s="253">
        <f t="shared" si="54"/>
        <v>0</v>
      </c>
      <c r="R125" s="126"/>
      <c r="S125" s="254">
        <f t="shared" si="58"/>
        <v>1379.77</v>
      </c>
      <c r="T125" s="253">
        <f t="shared" si="57"/>
        <v>0</v>
      </c>
      <c r="U125" s="69"/>
      <c r="V125" s="445"/>
      <c r="X125" s="543"/>
    </row>
    <row r="126" spans="1:25" x14ac:dyDescent="0.2">
      <c r="A126" s="109"/>
      <c r="B126" s="29">
        <v>4116</v>
      </c>
      <c r="C126" s="29">
        <v>306</v>
      </c>
      <c r="D126" s="29"/>
      <c r="E126" s="207" t="s">
        <v>414</v>
      </c>
      <c r="F126" s="69"/>
      <c r="G126" s="69">
        <v>338.8</v>
      </c>
      <c r="H126" s="69">
        <f t="shared" si="60"/>
        <v>338.8</v>
      </c>
      <c r="I126" s="69"/>
      <c r="J126" s="34"/>
      <c r="K126" s="69">
        <v>338.8</v>
      </c>
      <c r="L126" s="34">
        <f>K126/$H126*100</f>
        <v>100</v>
      </c>
      <c r="M126" s="69">
        <v>338.8</v>
      </c>
      <c r="N126" s="34">
        <f t="shared" si="55"/>
        <v>100</v>
      </c>
      <c r="O126" s="69">
        <v>338.8</v>
      </c>
      <c r="P126" s="34">
        <f t="shared" si="56"/>
        <v>100</v>
      </c>
      <c r="Q126" s="253">
        <f t="shared" si="54"/>
        <v>0</v>
      </c>
      <c r="R126" s="126"/>
      <c r="S126" s="254">
        <f t="shared" si="58"/>
        <v>338.8</v>
      </c>
      <c r="T126" s="253">
        <f t="shared" si="57"/>
        <v>0</v>
      </c>
      <c r="U126" s="69"/>
      <c r="V126" s="445"/>
    </row>
    <row r="127" spans="1:25" x14ac:dyDescent="0.2">
      <c r="A127" s="109"/>
      <c r="B127" s="29">
        <v>4116</v>
      </c>
      <c r="C127" s="29">
        <v>312</v>
      </c>
      <c r="D127" s="29"/>
      <c r="E127" s="207" t="s">
        <v>422</v>
      </c>
      <c r="F127" s="69"/>
      <c r="G127" s="69">
        <f>23.57239+24.99516</f>
        <v>48.567549999999997</v>
      </c>
      <c r="H127" s="69">
        <f t="shared" si="60"/>
        <v>48.567549999999997</v>
      </c>
      <c r="I127" s="69"/>
      <c r="J127" s="34"/>
      <c r="K127" s="69"/>
      <c r="L127" s="34"/>
      <c r="M127" s="69">
        <v>23.572389999999999</v>
      </c>
      <c r="N127" s="34">
        <f t="shared" si="55"/>
        <v>48.535266860280167</v>
      </c>
      <c r="O127" s="69">
        <v>48.56758</v>
      </c>
      <c r="P127" s="34">
        <f t="shared" si="56"/>
        <v>100.00006176963838</v>
      </c>
      <c r="Q127" s="253">
        <f t="shared" si="54"/>
        <v>3.0000000002416982E-5</v>
      </c>
      <c r="R127" s="126"/>
      <c r="S127" s="254">
        <f t="shared" si="58"/>
        <v>48.567549999999997</v>
      </c>
      <c r="T127" s="253">
        <f t="shared" si="57"/>
        <v>0</v>
      </c>
      <c r="U127" s="69"/>
      <c r="V127" s="445"/>
    </row>
    <row r="128" spans="1:25" x14ac:dyDescent="0.2">
      <c r="A128" s="109"/>
      <c r="B128" s="29">
        <v>4116</v>
      </c>
      <c r="C128" s="29">
        <v>226</v>
      </c>
      <c r="D128" s="29"/>
      <c r="E128" s="419" t="s">
        <v>475</v>
      </c>
      <c r="F128" s="69"/>
      <c r="G128" s="69"/>
      <c r="H128" s="69"/>
      <c r="I128" s="69"/>
      <c r="J128" s="34"/>
      <c r="K128" s="69"/>
      <c r="L128" s="34"/>
      <c r="M128" s="69"/>
      <c r="N128" s="34"/>
      <c r="O128" s="69"/>
      <c r="P128" s="34"/>
      <c r="Q128" s="253">
        <f t="shared" si="54"/>
        <v>0</v>
      </c>
      <c r="R128" s="126" t="s">
        <v>476</v>
      </c>
      <c r="S128" s="254"/>
      <c r="T128" s="253">
        <f t="shared" si="57"/>
        <v>0</v>
      </c>
      <c r="U128" s="531">
        <v>384</v>
      </c>
      <c r="V128" s="445"/>
    </row>
    <row r="129" spans="1:27" x14ac:dyDescent="0.2">
      <c r="A129" s="109"/>
      <c r="B129" s="29">
        <v>4121</v>
      </c>
      <c r="C129" s="29"/>
      <c r="D129" s="29" t="s">
        <v>274</v>
      </c>
      <c r="E129" s="207" t="s">
        <v>254</v>
      </c>
      <c r="F129" s="69">
        <v>175.1</v>
      </c>
      <c r="G129" s="69"/>
      <c r="H129" s="69">
        <f>SUM(F129:G129)</f>
        <v>175.1</v>
      </c>
      <c r="I129" s="69">
        <f>15+13.5+7.5+4.5+38.8+3+7.5+9+19.5+13.5+38.58-I130</f>
        <v>139.30000000000001</v>
      </c>
      <c r="J129" s="34">
        <f>I129/$H129*100</f>
        <v>79.554540262707036</v>
      </c>
      <c r="K129" s="69">
        <f>15+13.5+7.5+4.5+51.235+10.5+9+19.5+13.5+50.1-K130</f>
        <v>122</v>
      </c>
      <c r="L129" s="34">
        <f>K129/$H129*100</f>
        <v>69.674471730439748</v>
      </c>
      <c r="M129" s="69">
        <f>279.93-M130</f>
        <v>182</v>
      </c>
      <c r="N129" s="34">
        <f t="shared" si="55"/>
        <v>103.94060536836093</v>
      </c>
      <c r="O129" s="69">
        <f>305.66-O130</f>
        <v>182.00000000000003</v>
      </c>
      <c r="P129" s="34">
        <f t="shared" si="56"/>
        <v>103.94060536836096</v>
      </c>
      <c r="Q129" s="253">
        <f t="shared" si="54"/>
        <v>6.9000000000000341</v>
      </c>
      <c r="R129" s="126"/>
      <c r="S129" s="407">
        <f>M129</f>
        <v>182</v>
      </c>
      <c r="T129" s="253">
        <f t="shared" si="57"/>
        <v>6.9000000000000057</v>
      </c>
      <c r="U129" s="34">
        <f>500+40+0.9-50</f>
        <v>490.9</v>
      </c>
      <c r="V129" s="445">
        <f>U129/F129</f>
        <v>2.8035408338092518</v>
      </c>
      <c r="Y129" s="113"/>
      <c r="Z129" s="113"/>
      <c r="AA129" s="113"/>
    </row>
    <row r="130" spans="1:27" x14ac:dyDescent="0.2">
      <c r="A130" s="109"/>
      <c r="B130" s="29">
        <v>4121</v>
      </c>
      <c r="C130" s="29">
        <v>321</v>
      </c>
      <c r="D130" s="29">
        <v>321</v>
      </c>
      <c r="E130" s="207" t="s">
        <v>184</v>
      </c>
      <c r="F130" s="69">
        <f>65+60</f>
        <v>125</v>
      </c>
      <c r="G130" s="69"/>
      <c r="H130" s="69">
        <f>SUM(F130:G130)</f>
        <v>125</v>
      </c>
      <c r="I130" s="69">
        <v>31.08</v>
      </c>
      <c r="J130" s="34">
        <f>I130/$H130*100</f>
        <v>24.864000000000001</v>
      </c>
      <c r="K130" s="69">
        <f>29.735+42.6</f>
        <v>72.335000000000008</v>
      </c>
      <c r="L130" s="34">
        <f>K130/$H130*100</f>
        <v>57.868000000000009</v>
      </c>
      <c r="M130" s="69">
        <f>39.25+58.68</f>
        <v>97.93</v>
      </c>
      <c r="N130" s="34">
        <f t="shared" si="55"/>
        <v>78.344000000000008</v>
      </c>
      <c r="O130" s="69">
        <f>65.38+58.28</f>
        <v>123.66</v>
      </c>
      <c r="P130" s="34">
        <f t="shared" si="56"/>
        <v>98.927999999999997</v>
      </c>
      <c r="Q130" s="253">
        <f t="shared" si="54"/>
        <v>-1.3400000000000034</v>
      </c>
      <c r="R130" s="126" t="s">
        <v>0</v>
      </c>
      <c r="S130" s="257">
        <f>M130/3*4</f>
        <v>130.57333333333335</v>
      </c>
      <c r="T130" s="253">
        <f t="shared" si="57"/>
        <v>5.5733333333333519</v>
      </c>
      <c r="U130" s="69">
        <f>60+65</f>
        <v>125</v>
      </c>
      <c r="V130" s="445">
        <f>U130/F130</f>
        <v>1</v>
      </c>
    </row>
    <row r="131" spans="1:27" x14ac:dyDescent="0.2">
      <c r="A131" s="109"/>
      <c r="B131" s="29">
        <v>4121</v>
      </c>
      <c r="C131" s="29">
        <v>227</v>
      </c>
      <c r="D131" s="29"/>
      <c r="E131" s="207" t="s">
        <v>445</v>
      </c>
      <c r="F131" s="69"/>
      <c r="G131" s="69"/>
      <c r="H131" s="69"/>
      <c r="I131" s="69"/>
      <c r="J131" s="34"/>
      <c r="K131" s="69"/>
      <c r="L131" s="34"/>
      <c r="M131" s="69"/>
      <c r="N131" s="34"/>
      <c r="O131" s="69"/>
      <c r="P131" s="34"/>
      <c r="Q131" s="253">
        <f t="shared" si="54"/>
        <v>0</v>
      </c>
      <c r="R131" s="126"/>
      <c r="S131" s="257"/>
      <c r="T131" s="253">
        <f t="shared" si="57"/>
        <v>0</v>
      </c>
      <c r="U131" s="69">
        <v>408</v>
      </c>
      <c r="V131" s="445"/>
    </row>
    <row r="132" spans="1:27" x14ac:dyDescent="0.2">
      <c r="A132" s="109"/>
      <c r="B132" s="29">
        <v>4121</v>
      </c>
      <c r="C132" s="29">
        <v>225</v>
      </c>
      <c r="D132" s="29"/>
      <c r="E132" s="207" t="s">
        <v>442</v>
      </c>
      <c r="F132" s="69"/>
      <c r="G132" s="69"/>
      <c r="H132" s="69"/>
      <c r="I132" s="69"/>
      <c r="J132" s="34"/>
      <c r="K132" s="69"/>
      <c r="L132" s="34"/>
      <c r="M132" s="69"/>
      <c r="N132" s="34"/>
      <c r="O132" s="69"/>
      <c r="P132" s="34"/>
      <c r="Q132" s="253">
        <f t="shared" si="54"/>
        <v>0</v>
      </c>
      <c r="R132" s="126" t="s">
        <v>464</v>
      </c>
      <c r="S132" s="257"/>
      <c r="T132" s="253">
        <f t="shared" si="57"/>
        <v>0</v>
      </c>
      <c r="U132" s="69">
        <v>1481</v>
      </c>
      <c r="V132" s="445"/>
    </row>
    <row r="133" spans="1:27" x14ac:dyDescent="0.2">
      <c r="A133" s="109"/>
      <c r="B133" s="29">
        <v>4122</v>
      </c>
      <c r="C133" s="29">
        <v>102</v>
      </c>
      <c r="D133" s="29"/>
      <c r="E133" s="207" t="s">
        <v>343</v>
      </c>
      <c r="F133" s="69">
        <v>500</v>
      </c>
      <c r="G133" s="69"/>
      <c r="H133" s="69">
        <f t="shared" ref="H133:H142" si="61">SUM(F133:G133)</f>
        <v>500</v>
      </c>
      <c r="I133" s="69">
        <v>500</v>
      </c>
      <c r="J133" s="34">
        <f>I133/$H133*100</f>
        <v>100</v>
      </c>
      <c r="K133" s="69">
        <v>500</v>
      </c>
      <c r="L133" s="34">
        <f>K133/$H133*100</f>
        <v>100</v>
      </c>
      <c r="M133" s="69">
        <v>500</v>
      </c>
      <c r="N133" s="34">
        <f t="shared" si="55"/>
        <v>100</v>
      </c>
      <c r="O133" s="69">
        <v>500</v>
      </c>
      <c r="P133" s="34">
        <f t="shared" si="56"/>
        <v>100</v>
      </c>
      <c r="Q133" s="253">
        <f t="shared" si="54"/>
        <v>0</v>
      </c>
      <c r="R133" s="126"/>
      <c r="S133" s="407">
        <f>H133</f>
        <v>500</v>
      </c>
      <c r="T133" s="253">
        <f t="shared" si="57"/>
        <v>0</v>
      </c>
      <c r="U133" s="69"/>
      <c r="V133" s="155"/>
    </row>
    <row r="134" spans="1:27" x14ac:dyDescent="0.2">
      <c r="A134" s="109"/>
      <c r="B134" s="29">
        <v>4122</v>
      </c>
      <c r="C134" s="29">
        <v>46</v>
      </c>
      <c r="D134" s="29"/>
      <c r="E134" s="207" t="s">
        <v>478</v>
      </c>
      <c r="F134" s="69"/>
      <c r="G134" s="69"/>
      <c r="H134" s="69"/>
      <c r="I134" s="69"/>
      <c r="J134" s="34"/>
      <c r="K134" s="69"/>
      <c r="L134" s="34"/>
      <c r="M134" s="69"/>
      <c r="N134" s="34"/>
      <c r="O134" s="69"/>
      <c r="P134" s="34"/>
      <c r="Q134" s="253">
        <f t="shared" si="54"/>
        <v>0</v>
      </c>
      <c r="R134" s="126"/>
      <c r="S134" s="407"/>
      <c r="T134" s="253">
        <f t="shared" si="57"/>
        <v>0</v>
      </c>
      <c r="U134" s="69">
        <v>120</v>
      </c>
      <c r="V134" s="155"/>
    </row>
    <row r="135" spans="1:27" x14ac:dyDescent="0.2">
      <c r="A135" s="109"/>
      <c r="B135" s="29">
        <v>4122</v>
      </c>
      <c r="C135" s="29">
        <v>249</v>
      </c>
      <c r="D135" s="29"/>
      <c r="E135" s="207" t="s">
        <v>458</v>
      </c>
      <c r="F135" s="69"/>
      <c r="G135" s="69">
        <v>31.416</v>
      </c>
      <c r="H135" s="69">
        <f t="shared" si="61"/>
        <v>31.416</v>
      </c>
      <c r="I135" s="69"/>
      <c r="J135" s="34"/>
      <c r="K135" s="69"/>
      <c r="L135" s="34"/>
      <c r="M135" s="69"/>
      <c r="N135" s="34"/>
      <c r="O135" s="69">
        <v>31.416</v>
      </c>
      <c r="P135" s="34">
        <f t="shared" si="56"/>
        <v>100</v>
      </c>
      <c r="Q135" s="253">
        <f t="shared" si="54"/>
        <v>0</v>
      </c>
      <c r="R135" s="126" t="s">
        <v>463</v>
      </c>
      <c r="S135" s="407">
        <v>31</v>
      </c>
      <c r="T135" s="253">
        <f t="shared" si="57"/>
        <v>-0.41600000000000037</v>
      </c>
      <c r="U135" s="69">
        <v>3</v>
      </c>
      <c r="V135" s="155"/>
    </row>
    <row r="136" spans="1:27" x14ac:dyDescent="0.2">
      <c r="A136" s="109"/>
      <c r="B136" s="29">
        <v>4122</v>
      </c>
      <c r="C136" s="29">
        <v>201</v>
      </c>
      <c r="D136" s="29"/>
      <c r="E136" s="207" t="s">
        <v>421</v>
      </c>
      <c r="F136" s="69"/>
      <c r="G136" s="69">
        <v>36.948999999999998</v>
      </c>
      <c r="H136" s="69">
        <f t="shared" si="61"/>
        <v>36.948999999999998</v>
      </c>
      <c r="I136" s="69"/>
      <c r="J136" s="34"/>
      <c r="K136" s="69">
        <v>36.948999999999998</v>
      </c>
      <c r="L136" s="34">
        <f>K136/$H136*100</f>
        <v>100</v>
      </c>
      <c r="M136" s="69">
        <v>36.948999999999998</v>
      </c>
      <c r="N136" s="34">
        <f t="shared" si="55"/>
        <v>100</v>
      </c>
      <c r="O136" s="69">
        <v>36.948999999999998</v>
      </c>
      <c r="P136" s="34">
        <f t="shared" si="56"/>
        <v>100</v>
      </c>
      <c r="Q136" s="253">
        <f t="shared" si="54"/>
        <v>0</v>
      </c>
      <c r="R136" s="126"/>
      <c r="S136" s="407">
        <f t="shared" ref="S136:S149" si="62">H136</f>
        <v>36.948999999999998</v>
      </c>
      <c r="T136" s="253">
        <f t="shared" si="57"/>
        <v>0</v>
      </c>
      <c r="U136" s="69"/>
      <c r="V136" s="155"/>
    </row>
    <row r="137" spans="1:27" x14ac:dyDescent="0.2">
      <c r="A137" s="109"/>
      <c r="B137" s="29">
        <v>4122</v>
      </c>
      <c r="C137" s="29">
        <v>223</v>
      </c>
      <c r="D137" s="29"/>
      <c r="E137" s="207" t="s">
        <v>427</v>
      </c>
      <c r="F137" s="69"/>
      <c r="G137" s="69">
        <v>33.725000000000001</v>
      </c>
      <c r="H137" s="69">
        <f t="shared" si="61"/>
        <v>33.725000000000001</v>
      </c>
      <c r="I137" s="69"/>
      <c r="J137" s="34"/>
      <c r="K137" s="69"/>
      <c r="L137" s="34"/>
      <c r="M137" s="69">
        <v>33.725000000000001</v>
      </c>
      <c r="N137" s="34">
        <f t="shared" si="55"/>
        <v>100</v>
      </c>
      <c r="O137" s="69">
        <v>33.725000000000001</v>
      </c>
      <c r="P137" s="34">
        <f t="shared" si="56"/>
        <v>100</v>
      </c>
      <c r="Q137" s="253">
        <f t="shared" si="54"/>
        <v>0</v>
      </c>
      <c r="R137" s="126"/>
      <c r="S137" s="407">
        <f t="shared" si="62"/>
        <v>33.725000000000001</v>
      </c>
      <c r="T137" s="253">
        <f t="shared" si="57"/>
        <v>0</v>
      </c>
      <c r="U137" s="69"/>
      <c r="V137" s="155"/>
    </row>
    <row r="138" spans="1:27" x14ac:dyDescent="0.2">
      <c r="A138" s="109"/>
      <c r="B138" s="29">
        <v>4122</v>
      </c>
      <c r="C138" s="29">
        <v>227</v>
      </c>
      <c r="D138" s="29">
        <v>13305</v>
      </c>
      <c r="E138" s="439" t="s">
        <v>310</v>
      </c>
      <c r="F138" s="69">
        <v>1800</v>
      </c>
      <c r="G138" s="69">
        <f>1119.6-120.6</f>
        <v>998.99999999999989</v>
      </c>
      <c r="H138" s="69">
        <f t="shared" si="61"/>
        <v>2799</v>
      </c>
      <c r="I138" s="69"/>
      <c r="J138" s="34">
        <f>I138/$H138*100</f>
        <v>0</v>
      </c>
      <c r="K138" s="69">
        <v>1679.4</v>
      </c>
      <c r="L138" s="34">
        <f>K138/$H138*100</f>
        <v>60</v>
      </c>
      <c r="M138" s="69">
        <v>2799</v>
      </c>
      <c r="N138" s="34">
        <f t="shared" si="55"/>
        <v>100</v>
      </c>
      <c r="O138" s="69">
        <v>2799</v>
      </c>
      <c r="P138" s="34">
        <f t="shared" si="56"/>
        <v>100</v>
      </c>
      <c r="Q138" s="253">
        <f t="shared" si="54"/>
        <v>0</v>
      </c>
      <c r="R138" s="126"/>
      <c r="S138" s="407">
        <f t="shared" si="62"/>
        <v>2799</v>
      </c>
      <c r="T138" s="253">
        <f t="shared" si="57"/>
        <v>0</v>
      </c>
      <c r="U138" s="69">
        <v>3480</v>
      </c>
      <c r="V138" s="155">
        <f>U138/F138</f>
        <v>1.9333333333333333</v>
      </c>
      <c r="W138" s="113"/>
      <c r="Z138" s="443"/>
    </row>
    <row r="139" spans="1:27" x14ac:dyDescent="0.2">
      <c r="A139" s="109"/>
      <c r="B139" s="29">
        <v>4122</v>
      </c>
      <c r="C139" s="29">
        <v>253</v>
      </c>
      <c r="D139" s="29"/>
      <c r="E139" s="439" t="s">
        <v>424</v>
      </c>
      <c r="F139" s="69"/>
      <c r="G139" s="69">
        <v>120</v>
      </c>
      <c r="H139" s="69">
        <f t="shared" si="61"/>
        <v>120</v>
      </c>
      <c r="I139" s="69"/>
      <c r="J139" s="34"/>
      <c r="K139" s="69"/>
      <c r="L139" s="34"/>
      <c r="M139" s="69">
        <v>0</v>
      </c>
      <c r="N139" s="34">
        <f t="shared" si="55"/>
        <v>0</v>
      </c>
      <c r="O139" s="69">
        <v>120</v>
      </c>
      <c r="P139" s="34">
        <f t="shared" si="56"/>
        <v>100</v>
      </c>
      <c r="Q139" s="253">
        <f t="shared" si="54"/>
        <v>0</v>
      </c>
      <c r="R139" s="126"/>
      <c r="S139" s="407">
        <f t="shared" si="62"/>
        <v>120</v>
      </c>
      <c r="T139" s="253">
        <f t="shared" si="57"/>
        <v>0</v>
      </c>
      <c r="U139" s="69"/>
      <c r="V139" s="155"/>
      <c r="W139" s="113"/>
      <c r="Z139" s="125"/>
    </row>
    <row r="140" spans="1:27" x14ac:dyDescent="0.2">
      <c r="A140" s="109"/>
      <c r="B140" s="29">
        <v>4122</v>
      </c>
      <c r="C140" s="29">
        <v>307</v>
      </c>
      <c r="D140" s="251" t="s">
        <v>284</v>
      </c>
      <c r="E140" s="29" t="s">
        <v>311</v>
      </c>
      <c r="F140" s="69">
        <v>0</v>
      </c>
      <c r="G140" s="69">
        <f>4261.2+2840.8+812.426+804</f>
        <v>8718.4259999999995</v>
      </c>
      <c r="H140" s="69">
        <f t="shared" si="61"/>
        <v>8718.4259999999995</v>
      </c>
      <c r="I140" s="69"/>
      <c r="J140" s="34">
        <f>I140/$H140*100</f>
        <v>0</v>
      </c>
      <c r="K140" s="69">
        <v>4261.2</v>
      </c>
      <c r="L140" s="34">
        <f>K140/$H140*100</f>
        <v>48.875794782223309</v>
      </c>
      <c r="M140" s="69">
        <v>7914.4260000000004</v>
      </c>
      <c r="N140" s="34">
        <f t="shared" si="55"/>
        <v>90.778151927882405</v>
      </c>
      <c r="O140" s="69">
        <v>8718.4259999999995</v>
      </c>
      <c r="P140" s="34">
        <f t="shared" si="56"/>
        <v>100</v>
      </c>
      <c r="Q140" s="253">
        <f t="shared" si="54"/>
        <v>0</v>
      </c>
      <c r="R140" s="126"/>
      <c r="S140" s="407">
        <f t="shared" si="62"/>
        <v>8718.4259999999995</v>
      </c>
      <c r="T140" s="253">
        <f t="shared" si="57"/>
        <v>0</v>
      </c>
      <c r="U140" s="69"/>
      <c r="V140" s="155"/>
    </row>
    <row r="141" spans="1:27" x14ac:dyDescent="0.2">
      <c r="A141" s="109"/>
      <c r="B141" s="29">
        <v>4122</v>
      </c>
      <c r="C141" s="29">
        <v>301</v>
      </c>
      <c r="D141" s="251"/>
      <c r="E141" s="29" t="s">
        <v>429</v>
      </c>
      <c r="F141" s="69"/>
      <c r="G141" s="69">
        <f>73.38243</f>
        <v>73.382429999999999</v>
      </c>
      <c r="H141" s="69">
        <f t="shared" si="61"/>
        <v>73.382429999999999</v>
      </c>
      <c r="I141" s="69"/>
      <c r="J141" s="34"/>
      <c r="K141" s="69"/>
      <c r="L141" s="34"/>
      <c r="M141" s="69">
        <v>73.382400000000004</v>
      </c>
      <c r="N141" s="34">
        <f t="shared" si="55"/>
        <v>99.999959118279406</v>
      </c>
      <c r="O141" s="69">
        <v>73.382400000000004</v>
      </c>
      <c r="P141" s="34">
        <f t="shared" si="56"/>
        <v>99.999959118279406</v>
      </c>
      <c r="Q141" s="253">
        <f t="shared" si="54"/>
        <v>-2.9999999995311555E-5</v>
      </c>
      <c r="R141" s="126"/>
      <c r="S141" s="407">
        <f t="shared" si="62"/>
        <v>73.382429999999999</v>
      </c>
      <c r="T141" s="253">
        <f t="shared" si="57"/>
        <v>0</v>
      </c>
      <c r="U141" s="69"/>
      <c r="V141" s="155"/>
    </row>
    <row r="142" spans="1:27" x14ac:dyDescent="0.2">
      <c r="A142" s="109"/>
      <c r="B142" s="29">
        <v>4122</v>
      </c>
      <c r="C142" s="29">
        <v>310</v>
      </c>
      <c r="D142" s="251"/>
      <c r="E142" s="29" t="s">
        <v>426</v>
      </c>
      <c r="F142" s="69"/>
      <c r="G142" s="69">
        <v>10.276999999999999</v>
      </c>
      <c r="H142" s="69">
        <f t="shared" si="61"/>
        <v>10.276999999999999</v>
      </c>
      <c r="I142" s="69"/>
      <c r="J142" s="34"/>
      <c r="K142" s="69"/>
      <c r="L142" s="34"/>
      <c r="M142" s="69">
        <v>10.276999999999999</v>
      </c>
      <c r="N142" s="34">
        <f t="shared" si="55"/>
        <v>100</v>
      </c>
      <c r="O142" s="69">
        <v>10.276999999999999</v>
      </c>
      <c r="P142" s="34">
        <f t="shared" si="56"/>
        <v>100</v>
      </c>
      <c r="Q142" s="253">
        <f t="shared" si="54"/>
        <v>0</v>
      </c>
      <c r="R142" s="126"/>
      <c r="S142" s="407">
        <f t="shared" si="62"/>
        <v>10.276999999999999</v>
      </c>
      <c r="T142" s="253">
        <f t="shared" si="57"/>
        <v>0</v>
      </c>
      <c r="U142" s="69"/>
      <c r="V142" s="155"/>
    </row>
    <row r="143" spans="1:27" ht="13.5" customHeight="1" x14ac:dyDescent="0.2">
      <c r="A143" s="109"/>
      <c r="B143" s="29">
        <v>4132</v>
      </c>
      <c r="C143" s="109"/>
      <c r="D143" s="29"/>
      <c r="E143" s="29" t="s">
        <v>477</v>
      </c>
      <c r="F143" s="69">
        <v>342</v>
      </c>
      <c r="G143" s="69"/>
      <c r="H143" s="69">
        <f>SUM(F143:G143)</f>
        <v>342</v>
      </c>
      <c r="I143" s="69">
        <v>342.66199999999998</v>
      </c>
      <c r="J143" s="34">
        <f>I143/$H143*100</f>
        <v>100.19356725146199</v>
      </c>
      <c r="K143" s="69">
        <v>342.66199999999998</v>
      </c>
      <c r="L143" s="34">
        <f>K143/$H143*100</f>
        <v>100.19356725146199</v>
      </c>
      <c r="M143" s="69">
        <v>342.66199999999998</v>
      </c>
      <c r="N143" s="34">
        <f t="shared" si="55"/>
        <v>100.19356725146199</v>
      </c>
      <c r="O143" s="69">
        <v>342.66199999999998</v>
      </c>
      <c r="P143" s="34">
        <f t="shared" si="56"/>
        <v>100.19356725146199</v>
      </c>
      <c r="Q143" s="253">
        <f t="shared" si="54"/>
        <v>0.66199999999997772</v>
      </c>
      <c r="R143" s="408"/>
      <c r="S143" s="407">
        <f>M143</f>
        <v>342.66199999999998</v>
      </c>
      <c r="T143" s="253">
        <f t="shared" si="57"/>
        <v>0.66199999999997772</v>
      </c>
      <c r="U143" s="69">
        <v>81</v>
      </c>
      <c r="V143" s="155"/>
    </row>
    <row r="144" spans="1:27" x14ac:dyDescent="0.2">
      <c r="A144" s="96" t="s">
        <v>52</v>
      </c>
      <c r="B144" s="32"/>
      <c r="C144" s="96"/>
      <c r="D144" s="32"/>
      <c r="E144" s="32"/>
      <c r="F144" s="70">
        <f>SUM(F145:F149)</f>
        <v>16084</v>
      </c>
      <c r="G144" s="70">
        <f>SUM(G145:G149)</f>
        <v>1317.20885</v>
      </c>
      <c r="H144" s="70">
        <f>SUM(H145:H149)</f>
        <v>17401.208849999999</v>
      </c>
      <c r="I144" s="70">
        <f>SUM(I145:I149)</f>
        <v>0</v>
      </c>
      <c r="J144" s="31">
        <f>I144/$H144*100</f>
        <v>0</v>
      </c>
      <c r="K144" s="70">
        <f>SUM(K145:K149)</f>
        <v>15461.209489999999</v>
      </c>
      <c r="L144" s="31">
        <f>K144/$H144*100</f>
        <v>88.851352933448652</v>
      </c>
      <c r="M144" s="70">
        <f>SUM(M145:M149)</f>
        <v>16061.209489999999</v>
      </c>
      <c r="N144" s="31">
        <f>M144/$H144*100</f>
        <v>92.299389246167223</v>
      </c>
      <c r="O144" s="70">
        <f>SUM(O145:O149)</f>
        <v>17401.483359999998</v>
      </c>
      <c r="P144" s="31">
        <f>O144/$H144*100</f>
        <v>100.00157753408034</v>
      </c>
      <c r="Q144" s="331">
        <f>SUM(Q145:Q149)</f>
        <v>0.27450999999928172</v>
      </c>
      <c r="R144" s="112"/>
      <c r="S144" s="70">
        <f>SUM(S145:S149)</f>
        <v>17401.208849999999</v>
      </c>
      <c r="T144" s="347">
        <f>SUM(T145:T149)</f>
        <v>0</v>
      </c>
      <c r="U144" s="70">
        <f>SUM(U145:U149)</f>
        <v>4579</v>
      </c>
      <c r="V144" s="154">
        <f>U144/F144</f>
        <v>0.28469286247202191</v>
      </c>
    </row>
    <row r="145" spans="1:24" x14ac:dyDescent="0.2">
      <c r="A145" s="96"/>
      <c r="B145" s="33">
        <v>4213</v>
      </c>
      <c r="C145" s="33">
        <v>239</v>
      </c>
      <c r="D145" s="32"/>
      <c r="E145" s="383" t="s">
        <v>377</v>
      </c>
      <c r="F145" s="403">
        <v>600</v>
      </c>
      <c r="G145" s="403"/>
      <c r="H145" s="69">
        <f>SUM(F145:G145)</f>
        <v>600</v>
      </c>
      <c r="I145" s="403"/>
      <c r="J145" s="34"/>
      <c r="K145" s="403"/>
      <c r="L145" s="34">
        <f>K145/$H145*100</f>
        <v>0</v>
      </c>
      <c r="M145" s="403">
        <v>600</v>
      </c>
      <c r="N145" s="34">
        <f t="shared" si="55"/>
        <v>100</v>
      </c>
      <c r="O145" s="403">
        <v>600</v>
      </c>
      <c r="P145" s="34">
        <f t="shared" si="56"/>
        <v>100</v>
      </c>
      <c r="Q145" s="253">
        <f>O145-H145</f>
        <v>0</v>
      </c>
      <c r="R145" s="126"/>
      <c r="S145" s="407">
        <f t="shared" si="62"/>
        <v>600</v>
      </c>
      <c r="T145" s="253">
        <f t="shared" si="57"/>
        <v>0</v>
      </c>
      <c r="U145" s="403"/>
      <c r="V145" s="154"/>
    </row>
    <row r="146" spans="1:24" x14ac:dyDescent="0.2">
      <c r="A146" s="96"/>
      <c r="B146" s="33">
        <v>4216</v>
      </c>
      <c r="C146" s="33"/>
      <c r="D146" s="32"/>
      <c r="E146" s="419" t="s">
        <v>480</v>
      </c>
      <c r="F146" s="403"/>
      <c r="G146" s="403">
        <v>1340.27387</v>
      </c>
      <c r="H146" s="69">
        <f>SUM(F146:G146)</f>
        <v>1340.27387</v>
      </c>
      <c r="I146" s="403"/>
      <c r="J146" s="34"/>
      <c r="K146" s="403"/>
      <c r="L146" s="34"/>
      <c r="M146" s="403"/>
      <c r="N146" s="34"/>
      <c r="O146" s="403">
        <v>1340.27387</v>
      </c>
      <c r="P146" s="34">
        <f t="shared" si="56"/>
        <v>100</v>
      </c>
      <c r="Q146" s="253">
        <f>O146-H146</f>
        <v>0</v>
      </c>
      <c r="R146" s="126"/>
      <c r="S146" s="254">
        <f t="shared" si="62"/>
        <v>1340.27387</v>
      </c>
      <c r="T146" s="253">
        <f t="shared" si="57"/>
        <v>0</v>
      </c>
      <c r="U146" s="403"/>
      <c r="V146" s="154"/>
    </row>
    <row r="147" spans="1:24" x14ac:dyDescent="0.2">
      <c r="A147" s="96"/>
      <c r="B147" s="33">
        <v>4216</v>
      </c>
      <c r="C147" s="33">
        <v>226</v>
      </c>
      <c r="D147" s="32"/>
      <c r="E147" s="419" t="s">
        <v>451</v>
      </c>
      <c r="F147" s="403"/>
      <c r="G147" s="403"/>
      <c r="H147" s="69"/>
      <c r="I147" s="403"/>
      <c r="J147" s="34"/>
      <c r="K147" s="403"/>
      <c r="L147" s="34"/>
      <c r="M147" s="403"/>
      <c r="N147" s="34"/>
      <c r="O147" s="403"/>
      <c r="P147" s="34"/>
      <c r="Q147" s="253">
        <f>O147-H147</f>
        <v>0</v>
      </c>
      <c r="R147" s="126" t="s">
        <v>476</v>
      </c>
      <c r="S147" s="407"/>
      <c r="T147" s="253">
        <f t="shared" si="57"/>
        <v>0</v>
      </c>
      <c r="U147" s="530">
        <f>5079-500</f>
        <v>4579</v>
      </c>
      <c r="V147" s="154"/>
      <c r="X147" s="113"/>
    </row>
    <row r="148" spans="1:24" x14ac:dyDescent="0.2">
      <c r="A148" s="96"/>
      <c r="B148" s="33">
        <v>4216</v>
      </c>
      <c r="C148" s="33">
        <v>203</v>
      </c>
      <c r="D148" s="32"/>
      <c r="E148" s="207" t="s">
        <v>369</v>
      </c>
      <c r="F148" s="403">
        <v>15484</v>
      </c>
      <c r="G148" s="403">
        <v>-23.065020000000001</v>
      </c>
      <c r="H148" s="69">
        <f>SUM(F148:G148)</f>
        <v>15460.93498</v>
      </c>
      <c r="I148" s="403"/>
      <c r="J148" s="34"/>
      <c r="K148" s="403">
        <v>15461.209489999999</v>
      </c>
      <c r="L148" s="34">
        <f>K148/$H148*100</f>
        <v>100.00177550711102</v>
      </c>
      <c r="M148" s="403">
        <v>15461.209489999999</v>
      </c>
      <c r="N148" s="34">
        <f t="shared" si="55"/>
        <v>100.00177550711102</v>
      </c>
      <c r="O148" s="403">
        <v>15461.209489999999</v>
      </c>
      <c r="P148" s="34">
        <f>O148/$H148*100</f>
        <v>100.00177550711102</v>
      </c>
      <c r="Q148" s="253">
        <f>O148-H148</f>
        <v>0.27450999999928172</v>
      </c>
      <c r="R148" s="484"/>
      <c r="S148" s="407">
        <f t="shared" si="62"/>
        <v>15460.93498</v>
      </c>
      <c r="T148" s="253">
        <f t="shared" si="57"/>
        <v>0</v>
      </c>
      <c r="U148" s="403"/>
      <c r="V148" s="154"/>
    </row>
    <row r="149" spans="1:24" ht="13.5" thickBot="1" x14ac:dyDescent="0.25">
      <c r="A149" s="96"/>
      <c r="B149" s="33">
        <v>4216</v>
      </c>
      <c r="C149" s="33">
        <v>312</v>
      </c>
      <c r="D149" s="32"/>
      <c r="E149" s="207" t="s">
        <v>360</v>
      </c>
      <c r="F149" s="403">
        <v>0</v>
      </c>
      <c r="G149" s="403"/>
      <c r="H149" s="69">
        <f>SUM(F149:G149)</f>
        <v>0</v>
      </c>
      <c r="I149" s="403"/>
      <c r="J149" s="34"/>
      <c r="K149" s="403"/>
      <c r="L149" s="34"/>
      <c r="M149" s="403"/>
      <c r="N149" s="34"/>
      <c r="O149" s="403"/>
      <c r="P149" s="34"/>
      <c r="Q149" s="253">
        <f>O149-H149</f>
        <v>0</v>
      </c>
      <c r="R149" s="126"/>
      <c r="S149" s="407">
        <f t="shared" si="62"/>
        <v>0</v>
      </c>
      <c r="T149" s="253">
        <f t="shared" si="57"/>
        <v>0</v>
      </c>
      <c r="U149" s="403"/>
      <c r="V149" s="154"/>
    </row>
    <row r="150" spans="1:24" ht="14.25" customHeight="1" thickBot="1" x14ac:dyDescent="0.3">
      <c r="A150" s="115" t="s">
        <v>53</v>
      </c>
      <c r="B150" s="118"/>
      <c r="C150" s="119"/>
      <c r="D150" s="118"/>
      <c r="E150" s="118"/>
      <c r="F150" s="121">
        <f>SUM(F109+F144)</f>
        <v>44305</v>
      </c>
      <c r="G150" s="121">
        <f>SUM(G109+G144)</f>
        <v>19102.309359999996</v>
      </c>
      <c r="H150" s="121">
        <f>SUM(H109+H144)</f>
        <v>63407.309359999999</v>
      </c>
      <c r="I150" s="121">
        <f>SUM(I109+I144)</f>
        <v>6732.8620799999999</v>
      </c>
      <c r="J150" s="36">
        <f>I150/$H150*100</f>
        <v>10.618432082922245</v>
      </c>
      <c r="K150" s="121">
        <f>SUM(K109+K144)</f>
        <v>35870.020689999998</v>
      </c>
      <c r="L150" s="36">
        <f>K150/$H150*100</f>
        <v>56.570797676250741</v>
      </c>
      <c r="M150" s="121">
        <f>SUM(M109+M144)</f>
        <v>51237.611409999998</v>
      </c>
      <c r="N150" s="36">
        <f>M150/$H150*100</f>
        <v>80.807105564272447</v>
      </c>
      <c r="O150" s="121">
        <f>SUM(O109+O144)</f>
        <v>63348.170969999999</v>
      </c>
      <c r="P150" s="36">
        <f>O150/$H150*100</f>
        <v>99.906732535102165</v>
      </c>
      <c r="Q150" s="332">
        <f>SUM(Q109+Q144)</f>
        <v>-59.138390000000712</v>
      </c>
      <c r="R150" s="121"/>
      <c r="S150" s="71">
        <f>SUM(S109+S144)</f>
        <v>63348.357793333329</v>
      </c>
      <c r="T150" s="348">
        <f>SUM(T109+T144)</f>
        <v>-58.951566666669493</v>
      </c>
      <c r="U150" s="121">
        <f>SUM(U109+U144)</f>
        <v>40023</v>
      </c>
      <c r="V150" s="156">
        <f>U150/F150</f>
        <v>0.90335176616634694</v>
      </c>
    </row>
    <row r="151" spans="1:24" ht="15.75" x14ac:dyDescent="0.25">
      <c r="A151" s="39" t="s">
        <v>11</v>
      </c>
      <c r="B151" s="40"/>
      <c r="C151" s="41"/>
      <c r="D151" s="41"/>
      <c r="E151" s="42"/>
      <c r="F151" s="127">
        <f>SUM(F38+F98+F107+F150)</f>
        <v>178477</v>
      </c>
      <c r="G151" s="127">
        <f>SUM(G38+G98+G107+G150)</f>
        <v>20885.520159999996</v>
      </c>
      <c r="H151" s="127">
        <f>SUM(H38+H98+H107+H150)</f>
        <v>199362.52016000001</v>
      </c>
      <c r="I151" s="127">
        <f>SUM(I38+I98+I107+I150)</f>
        <v>42592.555559999993</v>
      </c>
      <c r="J151" s="438">
        <f>I151/$H151*100</f>
        <v>21.364374570414235</v>
      </c>
      <c r="K151" s="127">
        <f>SUM(K38+K98+K107+K150)</f>
        <v>105484.78491000002</v>
      </c>
      <c r="L151" s="127">
        <f>K151/$H151*100</f>
        <v>52.91104106496163</v>
      </c>
      <c r="M151" s="127">
        <f>SUM(M38+M98+M107+M150)</f>
        <v>160802.40636000002</v>
      </c>
      <c r="N151" s="127">
        <f>M151/$H151*100</f>
        <v>80.658293359728177</v>
      </c>
      <c r="O151" s="127">
        <f>SUM(O38+O98+O107+O150)</f>
        <v>214842.30744999999</v>
      </c>
      <c r="P151" s="127">
        <f>O151/$H151*100</f>
        <v>107.76464266080532</v>
      </c>
      <c r="Q151" s="537">
        <f>SUM(Q38+Q98+Q107+Q150)</f>
        <v>15479.787289999998</v>
      </c>
      <c r="R151" s="242"/>
      <c r="S151" s="127">
        <f>SUM(S38+S98+S107+S150)</f>
        <v>211637.94301999998</v>
      </c>
      <c r="T151" s="349">
        <f>SUM(T38+T98+T107+T150)</f>
        <v>12275.422859999995</v>
      </c>
      <c r="U151" s="127">
        <f>SUM(U38+U98+U107+U150)</f>
        <v>176463</v>
      </c>
      <c r="V151" s="208">
        <f>U151/F151</f>
        <v>0.98871563282663877</v>
      </c>
    </row>
    <row r="152" spans="1:24" ht="24" customHeight="1" thickBot="1" x14ac:dyDescent="0.25">
      <c r="A152" s="106"/>
      <c r="B152" s="23"/>
      <c r="C152" s="106"/>
      <c r="D152" s="23"/>
      <c r="E152" s="23"/>
      <c r="F152" s="149"/>
      <c r="G152" s="149"/>
      <c r="H152" s="149"/>
      <c r="I152" s="149"/>
      <c r="J152" s="108"/>
      <c r="K152" s="149"/>
      <c r="L152" s="108"/>
      <c r="M152" s="149"/>
      <c r="N152" s="108"/>
      <c r="O152" s="149"/>
      <c r="P152" s="108"/>
      <c r="Q152" s="333"/>
      <c r="R152" s="230"/>
      <c r="S152" s="333"/>
      <c r="T152" s="333"/>
      <c r="U152" s="149"/>
      <c r="V152" s="152"/>
    </row>
    <row r="153" spans="1:24" ht="13.5" thickBot="1" x14ac:dyDescent="0.25">
      <c r="A153" s="43"/>
      <c r="B153" s="44"/>
      <c r="C153" s="43"/>
      <c r="D153" s="44"/>
      <c r="E153" s="45"/>
      <c r="F153" s="442" t="str">
        <f>F3</f>
        <v>R 2019</v>
      </c>
      <c r="G153" s="442" t="str">
        <f>G3</f>
        <v>Změna</v>
      </c>
      <c r="H153" s="150" t="s">
        <v>99</v>
      </c>
      <c r="I153" s="442" t="str">
        <f>I3</f>
        <v>1.Q.2019</v>
      </c>
      <c r="J153" s="404" t="s">
        <v>4</v>
      </c>
      <c r="K153" s="442" t="str">
        <f>K3</f>
        <v>2.Q.2019</v>
      </c>
      <c r="L153" s="404" t="s">
        <v>4</v>
      </c>
      <c r="M153" s="442" t="str">
        <f>M3</f>
        <v>3.Q.2019</v>
      </c>
      <c r="N153" s="404" t="s">
        <v>4</v>
      </c>
      <c r="O153" s="442" t="str">
        <f>O3</f>
        <v>4.Q.2019</v>
      </c>
      <c r="P153" s="415" t="s">
        <v>4</v>
      </c>
      <c r="Q153" s="255" t="s">
        <v>90</v>
      </c>
      <c r="R153" s="243"/>
      <c r="S153" s="255" t="s">
        <v>454</v>
      </c>
      <c r="T153" s="255" t="s">
        <v>432</v>
      </c>
      <c r="U153" s="442" t="s">
        <v>393</v>
      </c>
      <c r="V153" s="511" t="str">
        <f>V2</f>
        <v>R 20/19</v>
      </c>
    </row>
    <row r="154" spans="1:24" x14ac:dyDescent="0.2">
      <c r="A154" s="43" t="s">
        <v>54</v>
      </c>
      <c r="B154" s="23"/>
      <c r="C154" s="106"/>
      <c r="D154" s="23"/>
      <c r="E154" s="62" t="s">
        <v>55</v>
      </c>
      <c r="F154" s="368">
        <f>F38</f>
        <v>93221</v>
      </c>
      <c r="G154" s="368">
        <f>G38</f>
        <v>0</v>
      </c>
      <c r="H154" s="368">
        <f>H38</f>
        <v>93221</v>
      </c>
      <c r="I154" s="368">
        <f>I38</f>
        <v>25964.357469999995</v>
      </c>
      <c r="J154" s="38">
        <f t="shared" ref="J154:J160" si="63">I154/$H154*100</f>
        <v>27.852476877527593</v>
      </c>
      <c r="K154" s="368">
        <f>K38</f>
        <v>50266.642540000008</v>
      </c>
      <c r="L154" s="38">
        <f t="shared" ref="L154:L160" si="64">K154/$H154*100</f>
        <v>53.922016004977422</v>
      </c>
      <c r="M154" s="368">
        <f>M38</f>
        <v>74287.547150000013</v>
      </c>
      <c r="N154" s="386">
        <f t="shared" ref="N154:N160" si="65">M154/$H154*100</f>
        <v>79.689712779309403</v>
      </c>
      <c r="O154" s="368">
        <f>O38</f>
        <v>99696.052680000008</v>
      </c>
      <c r="P154" s="386">
        <f t="shared" ref="P154:P160" si="66">O154/$H154*100</f>
        <v>106.94591634932044</v>
      </c>
      <c r="Q154" s="253">
        <f>Q38</f>
        <v>6475.0526799999989</v>
      </c>
      <c r="R154" s="244"/>
      <c r="S154" s="365">
        <f>S38</f>
        <v>98689.129966666675</v>
      </c>
      <c r="T154" s="365">
        <f>T38</f>
        <v>5468.1299666666673</v>
      </c>
      <c r="U154" s="368">
        <f>U38</f>
        <v>102820</v>
      </c>
      <c r="V154" s="158">
        <f t="shared" ref="V154:V160" si="67">U154/F154</f>
        <v>1.1029703607556238</v>
      </c>
    </row>
    <row r="155" spans="1:24" x14ac:dyDescent="0.2">
      <c r="A155" s="106"/>
      <c r="B155" s="23"/>
      <c r="C155" s="106"/>
      <c r="D155" s="23"/>
      <c r="E155" s="62" t="s">
        <v>56</v>
      </c>
      <c r="F155" s="368">
        <f>F98</f>
        <v>27393</v>
      </c>
      <c r="G155" s="368">
        <f>G98</f>
        <v>1458.2108000000001</v>
      </c>
      <c r="H155" s="46">
        <f>H98</f>
        <v>28851.210799999997</v>
      </c>
      <c r="I155" s="368">
        <f>I98</f>
        <v>6161.3780099999985</v>
      </c>
      <c r="J155" s="38">
        <f t="shared" si="63"/>
        <v>21.355699948648251</v>
      </c>
      <c r="K155" s="368">
        <f>K98</f>
        <v>12751.447460000001</v>
      </c>
      <c r="L155" s="38">
        <f t="shared" si="64"/>
        <v>44.197269738156024</v>
      </c>
      <c r="M155" s="368">
        <f>M98</f>
        <v>20085.434580000001</v>
      </c>
      <c r="N155" s="386">
        <f t="shared" si="65"/>
        <v>69.617302092569375</v>
      </c>
      <c r="O155" s="368">
        <f>O98</f>
        <v>29072.605579999996</v>
      </c>
      <c r="P155" s="386">
        <f t="shared" si="66"/>
        <v>100.76736737856422</v>
      </c>
      <c r="Q155" s="253">
        <f>Q98</f>
        <v>221.3947799999986</v>
      </c>
      <c r="R155" s="245"/>
      <c r="S155" s="365">
        <f>S98</f>
        <v>27982.014039999998</v>
      </c>
      <c r="T155" s="365">
        <f>T98</f>
        <v>-869.19676000000004</v>
      </c>
      <c r="U155" s="368">
        <f>U98</f>
        <v>26505</v>
      </c>
      <c r="V155" s="158">
        <f t="shared" si="67"/>
        <v>0.9675829591501478</v>
      </c>
    </row>
    <row r="156" spans="1:24" x14ac:dyDescent="0.2">
      <c r="A156" s="106"/>
      <c r="B156" s="23"/>
      <c r="C156" s="106"/>
      <c r="D156" s="23"/>
      <c r="E156" s="62" t="s">
        <v>57</v>
      </c>
      <c r="F156" s="147">
        <f>F109</f>
        <v>28221</v>
      </c>
      <c r="G156" s="147">
        <f>G109</f>
        <v>17785.100509999997</v>
      </c>
      <c r="H156" s="147">
        <f>H109</f>
        <v>46006.100509999997</v>
      </c>
      <c r="I156" s="147">
        <f>I109</f>
        <v>6732.8620799999999</v>
      </c>
      <c r="J156" s="38">
        <f t="shared" si="63"/>
        <v>14.63471584281856</v>
      </c>
      <c r="K156" s="147">
        <f>K109</f>
        <v>20408.8112</v>
      </c>
      <c r="L156" s="38">
        <f t="shared" si="64"/>
        <v>44.361097710430577</v>
      </c>
      <c r="M156" s="147">
        <f>M109</f>
        <v>35176.401919999997</v>
      </c>
      <c r="N156" s="386">
        <f t="shared" si="65"/>
        <v>76.460298808315585</v>
      </c>
      <c r="O156" s="147">
        <f>O109</f>
        <v>45946.687610000001</v>
      </c>
      <c r="P156" s="386">
        <f t="shared" si="66"/>
        <v>99.870858648437107</v>
      </c>
      <c r="Q156" s="253">
        <f>Q109</f>
        <v>-59.412899999999993</v>
      </c>
      <c r="R156" s="339"/>
      <c r="S156" s="365">
        <f>S109</f>
        <v>45947.148943333326</v>
      </c>
      <c r="T156" s="365">
        <f>T109</f>
        <v>-58.951566666669493</v>
      </c>
      <c r="U156" s="147">
        <f>U109</f>
        <v>35444</v>
      </c>
      <c r="V156" s="158">
        <f t="shared" si="67"/>
        <v>1.2559441550618333</v>
      </c>
    </row>
    <row r="157" spans="1:24" x14ac:dyDescent="0.2">
      <c r="A157" s="106"/>
      <c r="B157" s="23"/>
      <c r="C157" s="106"/>
      <c r="D157" s="23"/>
      <c r="E157" s="122" t="s">
        <v>58</v>
      </c>
      <c r="F157" s="179">
        <f>SUM(F154:F156)</f>
        <v>148835</v>
      </c>
      <c r="G157" s="179">
        <f>SUM(G154:G156)</f>
        <v>19243.311309999997</v>
      </c>
      <c r="H157" s="179">
        <f>SUM(H154:H156)</f>
        <v>168078.31130999999</v>
      </c>
      <c r="I157" s="179">
        <f>SUM(I154:I156)</f>
        <v>38858.597559999995</v>
      </c>
      <c r="J157" s="210">
        <f t="shared" si="63"/>
        <v>23.119340774628583</v>
      </c>
      <c r="K157" s="179">
        <f>SUM(K154:K156)</f>
        <v>83426.901200000008</v>
      </c>
      <c r="L157" s="210">
        <f t="shared" si="64"/>
        <v>49.6357326235443</v>
      </c>
      <c r="M157" s="179">
        <f>SUM(M154:M156)</f>
        <v>129549.38365</v>
      </c>
      <c r="N157" s="387">
        <f t="shared" si="65"/>
        <v>77.076799879945199</v>
      </c>
      <c r="O157" s="179">
        <f>SUM(O154:O156)</f>
        <v>174715.34586999999</v>
      </c>
      <c r="P157" s="387">
        <f t="shared" si="66"/>
        <v>103.94877513241956</v>
      </c>
      <c r="Q157" s="331">
        <f>SUM(Q154:Q156)</f>
        <v>6637.0345599999973</v>
      </c>
      <c r="R157" s="246"/>
      <c r="S157" s="366">
        <f>SUM(S154:S156)</f>
        <v>172618.29295</v>
      </c>
      <c r="T157" s="366">
        <f>SUM(T154:T156)</f>
        <v>4539.9816399999982</v>
      </c>
      <c r="U157" s="179">
        <f>SUM(U154:U156)</f>
        <v>164769</v>
      </c>
      <c r="V157" s="159">
        <f t="shared" si="67"/>
        <v>1.1070581516444384</v>
      </c>
    </row>
    <row r="158" spans="1:24" x14ac:dyDescent="0.2">
      <c r="A158" s="106"/>
      <c r="B158" s="23"/>
      <c r="C158" s="106"/>
      <c r="D158" s="23"/>
      <c r="E158" s="62" t="s">
        <v>59</v>
      </c>
      <c r="F158" s="148">
        <f>F107</f>
        <v>13558</v>
      </c>
      <c r="G158" s="148">
        <f>G107</f>
        <v>325</v>
      </c>
      <c r="H158" s="148">
        <f>H107</f>
        <v>13883</v>
      </c>
      <c r="I158" s="148">
        <f>I107</f>
        <v>3733.9580000000001</v>
      </c>
      <c r="J158" s="38">
        <f t="shared" si="63"/>
        <v>26.895901462219985</v>
      </c>
      <c r="K158" s="148">
        <f>K107</f>
        <v>6596.6742199999999</v>
      </c>
      <c r="L158" s="38">
        <f t="shared" si="64"/>
        <v>47.516201253331417</v>
      </c>
      <c r="M158" s="148">
        <f>M107</f>
        <v>15191.81322</v>
      </c>
      <c r="N158" s="386">
        <f t="shared" si="65"/>
        <v>109.4274524238277</v>
      </c>
      <c r="O158" s="148">
        <f>O107</f>
        <v>22725.478219999997</v>
      </c>
      <c r="P158" s="386">
        <f t="shared" si="66"/>
        <v>163.69284895195563</v>
      </c>
      <c r="Q158" s="253">
        <f>Q107</f>
        <v>8842.4782200000009</v>
      </c>
      <c r="R158" s="244" t="s">
        <v>1</v>
      </c>
      <c r="S158" s="365">
        <f>S107</f>
        <v>21618.441219999993</v>
      </c>
      <c r="T158" s="365">
        <f>T107</f>
        <v>7735.4412199999988</v>
      </c>
      <c r="U158" s="148">
        <f>U107</f>
        <v>7115</v>
      </c>
      <c r="V158" s="158">
        <f t="shared" si="67"/>
        <v>0.52478241628558786</v>
      </c>
    </row>
    <row r="159" spans="1:24" x14ac:dyDescent="0.2">
      <c r="A159" s="106"/>
      <c r="B159" s="23"/>
      <c r="C159" s="106"/>
      <c r="D159" s="23"/>
      <c r="E159" s="62" t="s">
        <v>60</v>
      </c>
      <c r="F159" s="148">
        <f>F144</f>
        <v>16084</v>
      </c>
      <c r="G159" s="148">
        <f>G144</f>
        <v>1317.20885</v>
      </c>
      <c r="H159" s="148">
        <f>H144</f>
        <v>17401.208849999999</v>
      </c>
      <c r="I159" s="148">
        <f>I144</f>
        <v>0</v>
      </c>
      <c r="J159" s="38">
        <f t="shared" si="63"/>
        <v>0</v>
      </c>
      <c r="K159" s="148">
        <f>K144</f>
        <v>15461.209489999999</v>
      </c>
      <c r="L159" s="38">
        <f t="shared" si="64"/>
        <v>88.851352933448652</v>
      </c>
      <c r="M159" s="148">
        <f>M144</f>
        <v>16061.209489999999</v>
      </c>
      <c r="N159" s="386">
        <f t="shared" si="65"/>
        <v>92.299389246167223</v>
      </c>
      <c r="O159" s="148">
        <f>O144</f>
        <v>17401.483359999998</v>
      </c>
      <c r="P159" s="386">
        <f t="shared" si="66"/>
        <v>100.00157753408034</v>
      </c>
      <c r="Q159" s="253">
        <f>Q144</f>
        <v>0.27450999999928172</v>
      </c>
      <c r="R159" s="244"/>
      <c r="S159" s="365">
        <f>S144</f>
        <v>17401.208849999999</v>
      </c>
      <c r="T159" s="365">
        <f>T144</f>
        <v>0</v>
      </c>
      <c r="U159" s="148">
        <f>U144</f>
        <v>4579</v>
      </c>
      <c r="V159" s="158">
        <f t="shared" si="67"/>
        <v>0.28469286247202191</v>
      </c>
    </row>
    <row r="160" spans="1:24" ht="13.5" thickBot="1" x14ac:dyDescent="0.25">
      <c r="A160" s="123"/>
      <c r="B160" s="23"/>
      <c r="C160" s="106"/>
      <c r="D160" s="23"/>
      <c r="E160" s="124" t="s">
        <v>61</v>
      </c>
      <c r="F160" s="369">
        <f>SUM(F157:F159)</f>
        <v>178477</v>
      </c>
      <c r="G160" s="369">
        <f>SUM(G157:G159)</f>
        <v>20885.520159999996</v>
      </c>
      <c r="H160" s="169">
        <f>SUM(H157:H159)</f>
        <v>199362.52015999999</v>
      </c>
      <c r="I160" s="369">
        <f>SUM(I157:I159)</f>
        <v>42592.555559999993</v>
      </c>
      <c r="J160" s="47">
        <f t="shared" si="63"/>
        <v>21.364374570414238</v>
      </c>
      <c r="K160" s="369">
        <f>SUM(K157:K159)</f>
        <v>105484.78491</v>
      </c>
      <c r="L160" s="47">
        <f t="shared" si="64"/>
        <v>52.91104106496163</v>
      </c>
      <c r="M160" s="369">
        <f>SUM(M157:M159)</f>
        <v>160802.40636000002</v>
      </c>
      <c r="N160" s="388">
        <f t="shared" si="65"/>
        <v>80.658293359728191</v>
      </c>
      <c r="O160" s="369">
        <f>SUM(O157:O159)</f>
        <v>214842.30744999996</v>
      </c>
      <c r="P160" s="388">
        <f t="shared" si="66"/>
        <v>107.76464266080532</v>
      </c>
      <c r="Q160" s="345">
        <f>SUM(Q157:Q159)</f>
        <v>15479.787289999997</v>
      </c>
      <c r="R160" s="247"/>
      <c r="S160" s="367">
        <f>SUM(S157:S159)</f>
        <v>211637.94302000001</v>
      </c>
      <c r="T160" s="367">
        <f>SUM(T157:T159)</f>
        <v>12275.422859999997</v>
      </c>
      <c r="U160" s="369">
        <f>SUM(U157:U159)</f>
        <v>176463</v>
      </c>
      <c r="V160" s="160">
        <f t="shared" si="67"/>
        <v>0.98871563282663877</v>
      </c>
    </row>
    <row r="161" spans="1:23" x14ac:dyDescent="0.2">
      <c r="R161" s="248"/>
    </row>
    <row r="162" spans="1:23" x14ac:dyDescent="0.2">
      <c r="A162" s="15"/>
      <c r="B162" s="129"/>
      <c r="C162" s="129"/>
      <c r="D162" s="490"/>
      <c r="E162" s="489"/>
      <c r="G162" s="146"/>
      <c r="H162" s="379"/>
      <c r="I162" s="146"/>
      <c r="J162" s="117"/>
      <c r="K162" s="146"/>
      <c r="L162" s="117"/>
      <c r="M162" s="146"/>
      <c r="N162" s="117"/>
      <c r="O162" s="146"/>
      <c r="P162" s="117"/>
      <c r="Q162" s="493"/>
      <c r="R162" s="125"/>
      <c r="S162" s="211"/>
      <c r="T162" s="211"/>
      <c r="U162" s="146"/>
      <c r="V162" s="129"/>
    </row>
    <row r="163" spans="1:23" x14ac:dyDescent="0.2">
      <c r="A163" s="129"/>
      <c r="B163" s="129"/>
      <c r="C163" s="129"/>
      <c r="D163" s="330"/>
      <c r="E163" s="518"/>
      <c r="G163" s="146"/>
      <c r="H163" s="380"/>
      <c r="I163" s="146"/>
      <c r="J163" s="117"/>
      <c r="K163" s="146"/>
      <c r="L163" s="117"/>
      <c r="M163" s="146"/>
      <c r="N163" s="117"/>
      <c r="O163" s="146"/>
      <c r="P163" s="117"/>
      <c r="Q163" s="493"/>
      <c r="R163" s="125"/>
      <c r="U163" s="146"/>
    </row>
    <row r="164" spans="1:23" x14ac:dyDescent="0.2">
      <c r="A164" s="15"/>
      <c r="B164" s="129"/>
      <c r="C164" s="129"/>
      <c r="D164" s="330"/>
      <c r="E164" s="443"/>
      <c r="F164" s="146"/>
      <c r="G164" s="146"/>
      <c r="H164" s="381"/>
      <c r="I164" s="146"/>
      <c r="J164" s="117"/>
      <c r="K164" s="146"/>
      <c r="L164" s="117"/>
      <c r="M164" s="146"/>
      <c r="N164" s="117"/>
      <c r="O164" s="146"/>
      <c r="P164" s="117"/>
      <c r="Q164" s="493"/>
      <c r="R164" s="125"/>
      <c r="S164" s="211"/>
      <c r="T164" s="211"/>
      <c r="U164" s="146"/>
      <c r="V164" s="248"/>
      <c r="W164" s="248"/>
    </row>
    <row r="165" spans="1:23" x14ac:dyDescent="0.2">
      <c r="D165" s="117"/>
      <c r="E165" s="443"/>
      <c r="F165" s="146"/>
      <c r="G165" s="146"/>
      <c r="I165" s="146"/>
      <c r="J165" s="117"/>
      <c r="K165" s="146"/>
      <c r="L165" s="117"/>
      <c r="M165" s="146"/>
      <c r="N165" s="117"/>
      <c r="O165" s="146"/>
      <c r="P165" s="117"/>
      <c r="Q165" s="329"/>
      <c r="R165" s="125"/>
      <c r="U165" s="146"/>
    </row>
    <row r="166" spans="1:23" x14ac:dyDescent="0.2">
      <c r="E166" s="443"/>
      <c r="F166" s="515"/>
      <c r="G166" s="334"/>
      <c r="I166" s="334"/>
      <c r="J166" s="117"/>
      <c r="K166" s="334"/>
      <c r="M166" s="334"/>
      <c r="O166" s="334"/>
      <c r="R166" s="125"/>
      <c r="U166" s="334"/>
    </row>
    <row r="167" spans="1:23" x14ac:dyDescent="0.2">
      <c r="E167" s="443"/>
      <c r="F167" s="146"/>
      <c r="G167" s="146"/>
      <c r="I167" s="146"/>
      <c r="J167" s="117"/>
      <c r="K167" s="146"/>
      <c r="R167" s="338"/>
    </row>
    <row r="168" spans="1:23" x14ac:dyDescent="0.2">
      <c r="E168" s="117"/>
      <c r="F168" s="146"/>
      <c r="G168" s="146"/>
      <c r="I168" s="146"/>
      <c r="J168" s="117"/>
      <c r="K168" s="146"/>
      <c r="R168" s="248"/>
    </row>
    <row r="169" spans="1:23" x14ac:dyDescent="0.2">
      <c r="E169" s="443"/>
      <c r="F169" s="146"/>
      <c r="G169" s="146"/>
      <c r="I169" s="146"/>
      <c r="J169" s="117"/>
      <c r="K169" s="146"/>
    </row>
    <row r="170" spans="1:23" x14ac:dyDescent="0.2">
      <c r="E170" s="443"/>
      <c r="F170" s="146"/>
      <c r="G170" s="146"/>
      <c r="I170" s="146"/>
      <c r="J170" s="117"/>
      <c r="K170" s="146"/>
    </row>
    <row r="171" spans="1:23" x14ac:dyDescent="0.2">
      <c r="E171" s="443"/>
      <c r="F171" s="146"/>
      <c r="G171" s="146"/>
      <c r="I171" s="146"/>
      <c r="J171" s="117"/>
      <c r="K171" s="146"/>
      <c r="R171" s="248"/>
    </row>
    <row r="172" spans="1:23" x14ac:dyDescent="0.2">
      <c r="E172" s="117"/>
      <c r="F172" s="146"/>
      <c r="G172" s="146"/>
      <c r="I172" s="146"/>
      <c r="J172" s="117"/>
      <c r="K172" s="146"/>
    </row>
    <row r="173" spans="1:23" x14ac:dyDescent="0.2">
      <c r="E173" s="443"/>
      <c r="F173" s="146"/>
      <c r="G173" s="146"/>
      <c r="I173" s="146"/>
      <c r="J173" s="117"/>
      <c r="K173" s="146"/>
    </row>
    <row r="174" spans="1:23" x14ac:dyDescent="0.2">
      <c r="E174" s="443"/>
      <c r="F174" s="146"/>
      <c r="G174" s="146"/>
      <c r="I174" s="146"/>
      <c r="J174" s="117"/>
      <c r="K174" s="146"/>
    </row>
    <row r="175" spans="1:23" x14ac:dyDescent="0.2">
      <c r="E175" s="443"/>
      <c r="F175" s="146"/>
      <c r="G175" s="146"/>
      <c r="I175" s="146"/>
      <c r="J175" s="117"/>
      <c r="K175" s="146"/>
    </row>
    <row r="176" spans="1:23" x14ac:dyDescent="0.2">
      <c r="E176" s="443"/>
      <c r="F176" s="146"/>
      <c r="G176" s="146"/>
      <c r="I176" s="146"/>
      <c r="J176" s="117"/>
      <c r="K176" s="146"/>
    </row>
    <row r="177" spans="5:11" x14ac:dyDescent="0.2">
      <c r="E177" s="443"/>
      <c r="F177" s="146"/>
      <c r="G177" s="146"/>
      <c r="I177" s="146"/>
      <c r="J177" s="117"/>
      <c r="K177" s="146"/>
    </row>
    <row r="178" spans="5:11" x14ac:dyDescent="0.2">
      <c r="E178" s="117"/>
      <c r="F178" s="146"/>
      <c r="G178" s="146"/>
      <c r="I178" s="146"/>
      <c r="J178" s="117"/>
      <c r="K178" s="146"/>
    </row>
    <row r="179" spans="5:11" x14ac:dyDescent="0.2">
      <c r="E179" s="443"/>
      <c r="F179" s="146"/>
      <c r="G179" s="146"/>
      <c r="I179" s="146"/>
      <c r="J179" s="117"/>
      <c r="K179" s="146"/>
    </row>
    <row r="180" spans="5:11" x14ac:dyDescent="0.2">
      <c r="E180" s="443"/>
      <c r="F180" s="146"/>
      <c r="G180" s="146"/>
      <c r="I180" s="146"/>
      <c r="J180" s="117"/>
      <c r="K180" s="146"/>
    </row>
    <row r="181" spans="5:11" x14ac:dyDescent="0.2">
      <c r="E181" s="443"/>
      <c r="F181" s="146"/>
      <c r="G181" s="146"/>
      <c r="I181" s="146"/>
      <c r="J181" s="117"/>
      <c r="K181" s="146"/>
    </row>
    <row r="182" spans="5:11" x14ac:dyDescent="0.2">
      <c r="E182" s="443"/>
      <c r="F182" s="146"/>
      <c r="G182" s="146"/>
      <c r="I182" s="146"/>
      <c r="J182" s="117"/>
      <c r="K182" s="146"/>
    </row>
    <row r="183" spans="5:11" x14ac:dyDescent="0.2">
      <c r="E183" s="443"/>
      <c r="F183" s="146"/>
      <c r="G183" s="146"/>
      <c r="I183" s="146"/>
      <c r="J183" s="117"/>
      <c r="K183" s="146"/>
    </row>
    <row r="184" spans="5:11" x14ac:dyDescent="0.2">
      <c r="E184" s="443"/>
      <c r="F184" s="146"/>
      <c r="G184" s="146"/>
      <c r="I184" s="146"/>
      <c r="J184" s="117"/>
      <c r="K184" s="146"/>
    </row>
    <row r="185" spans="5:11" x14ac:dyDescent="0.2">
      <c r="E185" s="443"/>
      <c r="F185" s="146"/>
      <c r="G185" s="146"/>
      <c r="I185" s="146"/>
      <c r="J185" s="117"/>
      <c r="K185" s="146"/>
    </row>
    <row r="186" spans="5:11" x14ac:dyDescent="0.2">
      <c r="E186" s="443"/>
    </row>
    <row r="187" spans="5:11" x14ac:dyDescent="0.2">
      <c r="E187" s="443"/>
    </row>
    <row r="188" spans="5:11" x14ac:dyDescent="0.2">
      <c r="E188" s="443"/>
    </row>
    <row r="189" spans="5:11" x14ac:dyDescent="0.2">
      <c r="E189" s="443"/>
    </row>
  </sheetData>
  <sortState ref="A32:AH34">
    <sortCondition ref="B32:B34"/>
  </sortState>
  <phoneticPr fontId="6" type="noConversion"/>
  <pageMargins left="0.43307086614173229" right="0.15748031496062992" top="0.27559055118110237" bottom="0.27559055118110237" header="0.19685039370078741" footer="0.15748031496062992"/>
  <pageSetup paperSize="9" scale="95" fitToWidth="0" fitToHeight="0" orientation="landscape" r:id="rId1"/>
  <headerFooter alignWithMargins="0">
    <oddHeader>&amp;R&amp;P+1.strana</oddHeader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P904"/>
  <sheetViews>
    <sheetView zoomScaleNormal="100" workbookViewId="0">
      <pane xSplit="4" ySplit="4" topLeftCell="E109" activePane="bottomRight" state="frozen"/>
      <selection pane="topRight" activeCell="E1" sqref="E1"/>
      <selection pane="bottomLeft" activeCell="A5" sqref="A5"/>
      <selection pane="bottomRight" activeCell="Y6" sqref="Y6"/>
    </sheetView>
  </sheetViews>
  <sheetFormatPr defaultColWidth="7.85546875" defaultRowHeight="12.75" x14ac:dyDescent="0.2"/>
  <cols>
    <col min="1" max="1" width="3.28515625" style="95" customWidth="1"/>
    <col min="2" max="2" width="4.85546875" style="98" customWidth="1"/>
    <col min="3" max="3" width="5.28515625" style="98" bestFit="1" customWidth="1"/>
    <col min="4" max="4" width="27.42578125" style="220" customWidth="1"/>
    <col min="5" max="5" width="6.7109375" style="95" customWidth="1"/>
    <col min="6" max="6" width="6.140625" style="95" customWidth="1"/>
    <col min="7" max="7" width="6.85546875" style="117" customWidth="1"/>
    <col min="8" max="8" width="6.140625" style="200" customWidth="1"/>
    <col min="9" max="9" width="5.7109375" style="200" customWidth="1"/>
    <col min="10" max="10" width="6.85546875" style="117" customWidth="1"/>
    <col min="11" max="11" width="6.140625" style="117" customWidth="1"/>
    <col min="12" max="12" width="7.28515625" style="117" customWidth="1"/>
    <col min="13" max="13" width="6.5703125" style="95" hidden="1" customWidth="1"/>
    <col min="14" max="14" width="5.28515625" style="95" hidden="1" customWidth="1"/>
    <col min="15" max="15" width="6.28515625" style="117" hidden="1" customWidth="1"/>
    <col min="16" max="16" width="5.28515625" style="117" hidden="1" customWidth="1"/>
    <col min="17" max="18" width="6.5703125" style="95" hidden="1" customWidth="1"/>
    <col min="19" max="19" width="6.5703125" style="117" hidden="1" customWidth="1"/>
    <col min="20" max="20" width="4.42578125" style="117" hidden="1" customWidth="1"/>
    <col min="21" max="21" width="6.7109375" style="95" hidden="1" customWidth="1"/>
    <col min="22" max="22" width="6.140625" style="95" hidden="1" customWidth="1"/>
    <col min="23" max="23" width="6.28515625" style="117" hidden="1" customWidth="1"/>
    <col min="24" max="24" width="3.85546875" style="117" hidden="1" customWidth="1"/>
    <col min="25" max="25" width="7.140625" style="117" customWidth="1"/>
    <col min="26" max="26" width="6.42578125" style="95" customWidth="1"/>
    <col min="27" max="27" width="8" style="117" customWidth="1"/>
    <col min="28" max="28" width="4.5703125" style="117" customWidth="1"/>
    <col min="29" max="29" width="7.7109375" style="117" customWidth="1"/>
    <col min="30" max="30" width="7.28515625" style="95" customWidth="1"/>
    <col min="31" max="31" width="6.7109375" style="95" customWidth="1"/>
    <col min="32" max="32" width="8.5703125" style="117" customWidth="1"/>
    <col min="33" max="33" width="5" style="117" hidden="1" customWidth="1"/>
    <col min="34" max="34" width="8.140625" style="95" hidden="1" customWidth="1"/>
    <col min="35" max="35" width="6.28515625" style="364" hidden="1" customWidth="1"/>
    <col min="36" max="36" width="20.7109375" style="117" customWidth="1"/>
    <col min="37" max="37" width="23.28515625" style="200" hidden="1" customWidth="1"/>
    <col min="38" max="38" width="23.28515625" style="352" hidden="1" customWidth="1"/>
    <col min="39" max="39" width="5" style="95" customWidth="1"/>
    <col min="40" max="40" width="4.5703125" style="95" customWidth="1"/>
    <col min="41" max="41" width="8.7109375" style="117" hidden="1" customWidth="1"/>
    <col min="42" max="42" width="7.28515625" style="200" hidden="1" customWidth="1"/>
    <col min="43" max="43" width="6.7109375" style="200" hidden="1" customWidth="1"/>
    <col min="44" max="44" width="8.7109375" style="21" hidden="1" customWidth="1"/>
    <col min="45" max="45" width="3.7109375" style="95" hidden="1" customWidth="1"/>
    <col min="46" max="46" width="6.7109375" style="95" hidden="1" customWidth="1"/>
    <col min="47" max="47" width="6" style="95" hidden="1" customWidth="1"/>
    <col min="48" max="16384" width="7.85546875" style="95"/>
  </cols>
  <sheetData>
    <row r="1" spans="1:47" ht="18.75" thickBot="1" x14ac:dyDescent="0.3">
      <c r="A1" s="105" t="s">
        <v>511</v>
      </c>
      <c r="B1" s="304"/>
      <c r="C1" s="304"/>
      <c r="D1" s="303"/>
      <c r="E1" s="303"/>
      <c r="F1" s="303"/>
      <c r="G1" s="304"/>
      <c r="H1" s="304"/>
      <c r="I1" s="304"/>
      <c r="J1" s="304"/>
      <c r="K1" s="304"/>
      <c r="L1" s="304"/>
      <c r="M1" s="303"/>
      <c r="N1" s="303"/>
      <c r="O1" s="304"/>
      <c r="P1" s="304"/>
      <c r="Q1" s="303"/>
      <c r="R1" s="303"/>
      <c r="S1" s="304"/>
      <c r="T1" s="304"/>
      <c r="U1" s="303"/>
      <c r="V1" s="303"/>
      <c r="W1" s="304"/>
      <c r="X1" s="304"/>
      <c r="Y1" s="304"/>
      <c r="Z1" s="303"/>
      <c r="AA1" s="304"/>
      <c r="AB1" s="304"/>
      <c r="AC1" s="476"/>
      <c r="AD1" s="303"/>
      <c r="AE1" s="303"/>
      <c r="AF1" s="304"/>
      <c r="AG1" s="304"/>
      <c r="AH1" s="303"/>
      <c r="AI1" s="353"/>
      <c r="AJ1" s="478"/>
      <c r="AK1" s="304"/>
      <c r="AL1" s="350"/>
      <c r="AM1" s="23"/>
      <c r="AN1" s="117"/>
      <c r="AP1" s="304"/>
      <c r="AQ1" s="304"/>
      <c r="AT1" s="304"/>
      <c r="AU1" s="304"/>
    </row>
    <row r="2" spans="1:47" x14ac:dyDescent="0.2">
      <c r="A2" s="134"/>
      <c r="B2" s="99"/>
      <c r="C2" s="99"/>
      <c r="D2" s="508"/>
      <c r="E2" s="173"/>
      <c r="F2" s="173" t="s">
        <v>358</v>
      </c>
      <c r="G2" s="173"/>
      <c r="H2" s="650" t="s">
        <v>3</v>
      </c>
      <c r="I2" s="651"/>
      <c r="J2" s="411"/>
      <c r="K2" s="48" t="s">
        <v>100</v>
      </c>
      <c r="L2" s="173"/>
      <c r="M2" s="173"/>
      <c r="N2" s="173" t="s">
        <v>401</v>
      </c>
      <c r="O2" s="173"/>
      <c r="P2" s="173"/>
      <c r="Q2" s="173"/>
      <c r="R2" s="173" t="s">
        <v>402</v>
      </c>
      <c r="S2" s="173"/>
      <c r="T2" s="173"/>
      <c r="U2" s="173"/>
      <c r="V2" s="173" t="s">
        <v>403</v>
      </c>
      <c r="W2" s="173"/>
      <c r="X2" s="173"/>
      <c r="Y2" s="173"/>
      <c r="Z2" s="173" t="s">
        <v>404</v>
      </c>
      <c r="AA2" s="173"/>
      <c r="AB2" s="173"/>
      <c r="AC2" s="390"/>
      <c r="AD2" s="173"/>
      <c r="AE2" s="173" t="s">
        <v>400</v>
      </c>
      <c r="AF2" s="173"/>
      <c r="AG2" s="173"/>
      <c r="AH2" s="173" t="s">
        <v>405</v>
      </c>
      <c r="AI2" s="354" t="s">
        <v>121</v>
      </c>
      <c r="AJ2" s="529"/>
      <c r="AK2" s="370"/>
      <c r="AL2" s="423"/>
      <c r="AM2" s="432"/>
      <c r="AN2" s="305"/>
      <c r="AO2" s="505"/>
      <c r="AP2" s="650" t="s">
        <v>329</v>
      </c>
      <c r="AQ2" s="651"/>
      <c r="AT2" s="650" t="s">
        <v>90</v>
      </c>
      <c r="AU2" s="651"/>
    </row>
    <row r="3" spans="1:47" x14ac:dyDescent="0.2">
      <c r="A3" s="90"/>
      <c r="B3" s="32"/>
      <c r="C3" s="32"/>
      <c r="D3" s="513"/>
      <c r="E3" s="49">
        <v>2019</v>
      </c>
      <c r="F3" s="50">
        <v>2019</v>
      </c>
      <c r="G3" s="89">
        <v>2019</v>
      </c>
      <c r="H3" s="181">
        <v>2019</v>
      </c>
      <c r="I3" s="182">
        <v>2019</v>
      </c>
      <c r="J3" s="49">
        <v>2019</v>
      </c>
      <c r="K3" s="50">
        <v>2019</v>
      </c>
      <c r="L3" s="89">
        <v>2019</v>
      </c>
      <c r="M3" s="49">
        <v>2019</v>
      </c>
      <c r="N3" s="50">
        <v>2019</v>
      </c>
      <c r="O3" s="89">
        <v>2019</v>
      </c>
      <c r="P3" s="89"/>
      <c r="Q3" s="49">
        <v>2019</v>
      </c>
      <c r="R3" s="50">
        <v>2019</v>
      </c>
      <c r="S3" s="89">
        <v>2019</v>
      </c>
      <c r="T3" s="89"/>
      <c r="U3" s="49">
        <v>2019</v>
      </c>
      <c r="V3" s="50">
        <v>2019</v>
      </c>
      <c r="W3" s="89">
        <v>2019</v>
      </c>
      <c r="X3" s="89"/>
      <c r="Y3" s="49">
        <v>2019</v>
      </c>
      <c r="Z3" s="50">
        <v>2019</v>
      </c>
      <c r="AA3" s="89">
        <v>2019</v>
      </c>
      <c r="AB3" s="89"/>
      <c r="AC3" s="391" t="s">
        <v>273</v>
      </c>
      <c r="AD3" s="49">
        <v>2020</v>
      </c>
      <c r="AE3" s="50">
        <v>2020</v>
      </c>
      <c r="AF3" s="89">
        <v>2020</v>
      </c>
      <c r="AG3" s="89"/>
      <c r="AH3" s="50">
        <v>2020</v>
      </c>
      <c r="AI3" s="355" t="s">
        <v>131</v>
      </c>
      <c r="AJ3" s="89"/>
      <c r="AK3" s="182" t="s">
        <v>329</v>
      </c>
      <c r="AL3" s="424">
        <v>2017</v>
      </c>
      <c r="AM3" s="384" t="s">
        <v>153</v>
      </c>
      <c r="AN3" s="433" t="s">
        <v>161</v>
      </c>
      <c r="AO3" s="506"/>
      <c r="AP3" s="181">
        <v>2019</v>
      </c>
      <c r="AQ3" s="182">
        <v>2019</v>
      </c>
      <c r="AT3" s="181"/>
      <c r="AU3" s="182"/>
    </row>
    <row r="4" spans="1:47" ht="13.5" thickBot="1" x14ac:dyDescent="0.25">
      <c r="A4" s="51" t="s">
        <v>62</v>
      </c>
      <c r="B4" s="27" t="s">
        <v>21</v>
      </c>
      <c r="C4" s="27" t="s">
        <v>22</v>
      </c>
      <c r="D4" s="416" t="s">
        <v>63</v>
      </c>
      <c r="E4" s="51" t="s">
        <v>64</v>
      </c>
      <c r="F4" s="27" t="s">
        <v>65</v>
      </c>
      <c r="G4" s="52" t="s">
        <v>66</v>
      </c>
      <c r="H4" s="183" t="s">
        <v>64</v>
      </c>
      <c r="I4" s="446" t="s">
        <v>65</v>
      </c>
      <c r="J4" s="389" t="s">
        <v>64</v>
      </c>
      <c r="K4" s="27" t="s">
        <v>65</v>
      </c>
      <c r="L4" s="52" t="s">
        <v>66</v>
      </c>
      <c r="M4" s="51" t="s">
        <v>64</v>
      </c>
      <c r="N4" s="27" t="s">
        <v>65</v>
      </c>
      <c r="O4" s="52" t="s">
        <v>66</v>
      </c>
      <c r="P4" s="52" t="s">
        <v>4</v>
      </c>
      <c r="Q4" s="51" t="s">
        <v>64</v>
      </c>
      <c r="R4" s="27" t="s">
        <v>65</v>
      </c>
      <c r="S4" s="52" t="s">
        <v>66</v>
      </c>
      <c r="T4" s="52" t="s">
        <v>4</v>
      </c>
      <c r="U4" s="51" t="s">
        <v>64</v>
      </c>
      <c r="V4" s="27" t="s">
        <v>65</v>
      </c>
      <c r="W4" s="52" t="s">
        <v>66</v>
      </c>
      <c r="X4" s="52" t="s">
        <v>4</v>
      </c>
      <c r="Y4" s="51" t="s">
        <v>64</v>
      </c>
      <c r="Z4" s="27" t="s">
        <v>65</v>
      </c>
      <c r="AA4" s="52" t="s">
        <v>66</v>
      </c>
      <c r="AB4" s="52" t="s">
        <v>4</v>
      </c>
      <c r="AC4" s="392" t="s">
        <v>515</v>
      </c>
      <c r="AD4" s="51" t="s">
        <v>64</v>
      </c>
      <c r="AE4" s="27" t="s">
        <v>65</v>
      </c>
      <c r="AF4" s="52" t="s">
        <v>66</v>
      </c>
      <c r="AG4" s="52" t="s">
        <v>4</v>
      </c>
      <c r="AH4" s="27"/>
      <c r="AI4" s="356" t="s">
        <v>406</v>
      </c>
      <c r="AJ4" s="52" t="s">
        <v>257</v>
      </c>
      <c r="AK4" s="446">
        <v>2017</v>
      </c>
      <c r="AL4" s="425" t="s">
        <v>265</v>
      </c>
      <c r="AM4" s="385" t="s">
        <v>152</v>
      </c>
      <c r="AN4" s="434" t="s">
        <v>156</v>
      </c>
      <c r="AO4" s="507" t="s">
        <v>307</v>
      </c>
      <c r="AP4" s="183" t="s">
        <v>64</v>
      </c>
      <c r="AQ4" s="446" t="s">
        <v>65</v>
      </c>
      <c r="AT4" s="183"/>
      <c r="AU4" s="446"/>
    </row>
    <row r="5" spans="1:47" x14ac:dyDescent="0.2">
      <c r="A5" s="135">
        <v>10</v>
      </c>
      <c r="B5" s="68"/>
      <c r="C5" s="68"/>
      <c r="D5" s="410" t="s">
        <v>67</v>
      </c>
      <c r="E5" s="53">
        <f t="shared" ref="E5:O5" si="0">SUM(E6:E7)</f>
        <v>1228</v>
      </c>
      <c r="F5" s="54">
        <f t="shared" si="0"/>
        <v>932</v>
      </c>
      <c r="G5" s="175">
        <f t="shared" si="0"/>
        <v>2160</v>
      </c>
      <c r="H5" s="184">
        <f t="shared" si="0"/>
        <v>57.12</v>
      </c>
      <c r="I5" s="185">
        <f t="shared" si="0"/>
        <v>0</v>
      </c>
      <c r="J5" s="53">
        <f t="shared" si="0"/>
        <v>1285.1199999999999</v>
      </c>
      <c r="K5" s="54">
        <f t="shared" si="0"/>
        <v>932</v>
      </c>
      <c r="L5" s="175">
        <f t="shared" si="0"/>
        <v>2217.12</v>
      </c>
      <c r="M5" s="53">
        <f t="shared" si="0"/>
        <v>126.25220000000004</v>
      </c>
      <c r="N5" s="54">
        <f t="shared" si="0"/>
        <v>415.01074999999997</v>
      </c>
      <c r="O5" s="175">
        <f t="shared" si="0"/>
        <v>541.26295000000005</v>
      </c>
      <c r="P5" s="175">
        <f>O5/$L5*100</f>
        <v>24.41288473334777</v>
      </c>
      <c r="Q5" s="53">
        <f>SUM(Q6:Q7)</f>
        <v>541.60235999999998</v>
      </c>
      <c r="R5" s="54">
        <f>SUM(R6:R7)</f>
        <v>415.01074999999997</v>
      </c>
      <c r="S5" s="175">
        <f>SUM(S6:S7)</f>
        <v>956.61311000000001</v>
      </c>
      <c r="T5" s="175">
        <f>S5/$L5*100</f>
        <v>43.146654669120302</v>
      </c>
      <c r="U5" s="53">
        <f>SUM(U6:U7)</f>
        <v>821.50656000000004</v>
      </c>
      <c r="V5" s="54">
        <f>SUM(V6:V7)</f>
        <v>415.01074999999997</v>
      </c>
      <c r="W5" s="175">
        <f>SUM(W6:W7)</f>
        <v>1236.51731</v>
      </c>
      <c r="X5" s="175">
        <f>W5/$L5*100</f>
        <v>55.771329923504368</v>
      </c>
      <c r="Y5" s="53">
        <f>SUM(Y6:Y7)</f>
        <v>1145.8081</v>
      </c>
      <c r="Z5" s="54">
        <f>SUM(Z6:Z7)</f>
        <v>827.16138999999998</v>
      </c>
      <c r="AA5" s="175">
        <f>SUM(AA6:AA7)</f>
        <v>1972.96949</v>
      </c>
      <c r="AB5" s="175">
        <f>AA5/$L5*100</f>
        <v>88.987943367972861</v>
      </c>
      <c r="AC5" s="393">
        <f>SUM(AC6:AC7)</f>
        <v>244.15050999999994</v>
      </c>
      <c r="AD5" s="53">
        <f>SUM(AD6:AD7)</f>
        <v>1316</v>
      </c>
      <c r="AE5" s="54">
        <f>SUM(AE6:AE7)</f>
        <v>0</v>
      </c>
      <c r="AF5" s="175">
        <f>SUM(AF6:AF7)</f>
        <v>1316</v>
      </c>
      <c r="AG5" s="175">
        <f>AF5/$G5*100</f>
        <v>60.925925925925931</v>
      </c>
      <c r="AH5" s="54">
        <f>SUM(AH6:AH7)</f>
        <v>1376</v>
      </c>
      <c r="AI5" s="357">
        <f>AH5/G5</f>
        <v>0.63703703703703707</v>
      </c>
      <c r="AJ5" s="175"/>
      <c r="AK5" s="185">
        <f>SUM(AK6:AK7)</f>
        <v>0</v>
      </c>
      <c r="AL5" s="426">
        <f>SUM(AL6:AL7)</f>
        <v>1687.12</v>
      </c>
      <c r="AM5" s="55"/>
      <c r="AN5" s="74"/>
      <c r="AP5" s="184">
        <f>SUM(AP6:AP7)</f>
        <v>1285.1199999999999</v>
      </c>
      <c r="AQ5" s="185">
        <f>SUM(AQ6:AQ7)</f>
        <v>832</v>
      </c>
      <c r="AT5" s="184">
        <f>AP5-J5</f>
        <v>0</v>
      </c>
      <c r="AU5" s="185">
        <f>AQ5-K5</f>
        <v>-100</v>
      </c>
    </row>
    <row r="6" spans="1:47" x14ac:dyDescent="0.2">
      <c r="A6" s="136"/>
      <c r="B6" s="29">
        <v>1031</v>
      </c>
      <c r="C6" s="29">
        <v>201</v>
      </c>
      <c r="D6" s="207" t="s">
        <v>189</v>
      </c>
      <c r="E6" s="46">
        <f>695+533</f>
        <v>1228</v>
      </c>
      <c r="F6" s="29">
        <v>402</v>
      </c>
      <c r="G6" s="57">
        <f>E6+F6</f>
        <v>1630</v>
      </c>
      <c r="H6" s="192">
        <v>57.12</v>
      </c>
      <c r="I6" s="187"/>
      <c r="J6" s="46">
        <f>E6+H6</f>
        <v>1285.1199999999999</v>
      </c>
      <c r="K6" s="29">
        <f>F6+I6</f>
        <v>402</v>
      </c>
      <c r="L6" s="57">
        <f>SUM(J6:K6)</f>
        <v>1687.12</v>
      </c>
      <c r="M6" s="46">
        <f>501.05495-N6-N7+40.208</f>
        <v>126.25220000000004</v>
      </c>
      <c r="N6" s="480">
        <v>401.12599999999998</v>
      </c>
      <c r="O6" s="57">
        <f>M6+N6</f>
        <v>527.37819999999999</v>
      </c>
      <c r="P6" s="57">
        <f>O6/$L6*100</f>
        <v>31.259080563326851</v>
      </c>
      <c r="Q6" s="46">
        <f>912.38011-R6-R7+44.233</f>
        <v>541.60235999999998</v>
      </c>
      <c r="R6" s="480">
        <v>401.12599999999998</v>
      </c>
      <c r="S6" s="57">
        <f>Q6+R6</f>
        <v>942.72835999999995</v>
      </c>
      <c r="T6" s="57">
        <f>S6/$L6*100</f>
        <v>55.877967186685005</v>
      </c>
      <c r="U6" s="46">
        <f>1191.30131-V6-V7+45.216</f>
        <v>821.50656000000004</v>
      </c>
      <c r="V6" s="480">
        <v>401.12599999999998</v>
      </c>
      <c r="W6" s="57">
        <f>U6+V6</f>
        <v>1222.63256</v>
      </c>
      <c r="X6" s="57">
        <f>W6/$L6*100</f>
        <v>72.468618711176447</v>
      </c>
      <c r="Y6" s="46">
        <f>1972.96949-Z6-Z7</f>
        <v>1145.8081</v>
      </c>
      <c r="Z6" s="480">
        <v>401.12599999999998</v>
      </c>
      <c r="AA6" s="57">
        <f>Y6+Z6</f>
        <v>1546.9340999999999</v>
      </c>
      <c r="AB6" s="57">
        <f>AA6/$L6*100</f>
        <v>91.690816302337723</v>
      </c>
      <c r="AC6" s="394">
        <f>L6-AA6</f>
        <v>140.18589999999995</v>
      </c>
      <c r="AD6" s="46">
        <f>680+636</f>
        <v>1316</v>
      </c>
      <c r="AE6" s="29"/>
      <c r="AF6" s="57">
        <f>AD6+AE6</f>
        <v>1316</v>
      </c>
      <c r="AG6" s="57">
        <f>AF6/$G6*100</f>
        <v>80.736196319018404</v>
      </c>
      <c r="AH6" s="29">
        <f>680+60+636</f>
        <v>1376</v>
      </c>
      <c r="AI6" s="358">
        <f>AH6/G6</f>
        <v>0.84417177914110431</v>
      </c>
      <c r="AJ6" s="57"/>
      <c r="AK6" s="187"/>
      <c r="AL6" s="427">
        <f>L6-AK6</f>
        <v>1687.12</v>
      </c>
      <c r="AM6" s="320" t="s">
        <v>328</v>
      </c>
      <c r="AN6" s="307" t="s">
        <v>68</v>
      </c>
      <c r="AP6" s="188">
        <f>J6</f>
        <v>1285.1199999999999</v>
      </c>
      <c r="AQ6" s="187">
        <f>K6</f>
        <v>402</v>
      </c>
      <c r="AT6" s="188">
        <f t="shared" ref="AT6:AT76" si="1">AP6-J6</f>
        <v>0</v>
      </c>
      <c r="AU6" s="187">
        <f t="shared" ref="AU6:AU76" si="2">AQ6-K6</f>
        <v>0</v>
      </c>
    </row>
    <row r="7" spans="1:47" x14ac:dyDescent="0.2">
      <c r="A7" s="136"/>
      <c r="B7" s="29">
        <v>1031</v>
      </c>
      <c r="C7" s="29">
        <v>201</v>
      </c>
      <c r="D7" s="207" t="s">
        <v>335</v>
      </c>
      <c r="E7" s="46"/>
      <c r="F7" s="29">
        <v>530</v>
      </c>
      <c r="G7" s="57">
        <f>E7+F7</f>
        <v>530</v>
      </c>
      <c r="H7" s="186"/>
      <c r="I7" s="187"/>
      <c r="J7" s="46"/>
      <c r="K7" s="29">
        <f>F7+I7</f>
        <v>530</v>
      </c>
      <c r="L7" s="57">
        <f>SUM(J7:K7)</f>
        <v>530</v>
      </c>
      <c r="M7" s="46"/>
      <c r="N7" s="480">
        <v>13.88475</v>
      </c>
      <c r="O7" s="57">
        <f>M7+N7</f>
        <v>13.88475</v>
      </c>
      <c r="P7" s="57"/>
      <c r="Q7" s="46"/>
      <c r="R7" s="480">
        <v>13.88475</v>
      </c>
      <c r="S7" s="57">
        <f>Q7+R7</f>
        <v>13.88475</v>
      </c>
      <c r="T7" s="57"/>
      <c r="U7" s="46"/>
      <c r="V7" s="480">
        <v>13.88475</v>
      </c>
      <c r="W7" s="57">
        <f>U7+V7</f>
        <v>13.88475</v>
      </c>
      <c r="X7" s="57">
        <f>W7/$L7*100</f>
        <v>2.6197641509433964</v>
      </c>
      <c r="Y7" s="46"/>
      <c r="Z7" s="29">
        <v>426.03539000000001</v>
      </c>
      <c r="AA7" s="57">
        <f>Y7+Z7</f>
        <v>426.03539000000001</v>
      </c>
      <c r="AB7" s="57">
        <f>AA7/$L7*100</f>
        <v>80.384035849056602</v>
      </c>
      <c r="AC7" s="394">
        <f>L7-AA7</f>
        <v>103.96460999999999</v>
      </c>
      <c r="AD7" s="46"/>
      <c r="AE7" s="29"/>
      <c r="AF7" s="57">
        <f>AD7+AE7</f>
        <v>0</v>
      </c>
      <c r="AG7" s="57">
        <f>AF7/$G7*100</f>
        <v>0</v>
      </c>
      <c r="AH7" s="29"/>
      <c r="AI7" s="358">
        <f>AH7/G7</f>
        <v>0</v>
      </c>
      <c r="AJ7" s="57" t="s">
        <v>444</v>
      </c>
      <c r="AK7" s="187"/>
      <c r="AL7" s="427"/>
      <c r="AM7" s="318" t="s">
        <v>328</v>
      </c>
      <c r="AN7" s="309" t="s">
        <v>118</v>
      </c>
      <c r="AP7" s="188">
        <f>J7</f>
        <v>0</v>
      </c>
      <c r="AQ7" s="524">
        <v>430</v>
      </c>
      <c r="AT7" s="188">
        <f t="shared" si="1"/>
        <v>0</v>
      </c>
      <c r="AU7" s="524">
        <f t="shared" si="2"/>
        <v>-100</v>
      </c>
    </row>
    <row r="8" spans="1:47" x14ac:dyDescent="0.2">
      <c r="A8" s="137">
        <v>21</v>
      </c>
      <c r="B8" s="24"/>
      <c r="C8" s="24"/>
      <c r="D8" s="417" t="s">
        <v>251</v>
      </c>
      <c r="E8" s="58">
        <f t="shared" ref="E8:O8" si="3">SUM(E9:E13)</f>
        <v>1050</v>
      </c>
      <c r="F8" s="59">
        <f t="shared" si="3"/>
        <v>710</v>
      </c>
      <c r="G8" s="60">
        <f t="shared" si="3"/>
        <v>1760</v>
      </c>
      <c r="H8" s="190">
        <f t="shared" si="3"/>
        <v>10</v>
      </c>
      <c r="I8" s="191">
        <f t="shared" si="3"/>
        <v>0</v>
      </c>
      <c r="J8" s="58">
        <f t="shared" si="3"/>
        <v>1060</v>
      </c>
      <c r="K8" s="59">
        <f t="shared" si="3"/>
        <v>710</v>
      </c>
      <c r="L8" s="60">
        <f t="shared" si="3"/>
        <v>1770</v>
      </c>
      <c r="M8" s="58">
        <f t="shared" si="3"/>
        <v>188.73141000000001</v>
      </c>
      <c r="N8" s="59">
        <f t="shared" si="3"/>
        <v>64.62</v>
      </c>
      <c r="O8" s="60">
        <f t="shared" si="3"/>
        <v>253.35141000000002</v>
      </c>
      <c r="P8" s="60">
        <f t="shared" ref="P8:P14" si="4">O8/$L8*100</f>
        <v>14.313638983050847</v>
      </c>
      <c r="Q8" s="58">
        <f>SUM(Q9:Q13)</f>
        <v>267.15448000000004</v>
      </c>
      <c r="R8" s="59">
        <f>SUM(R9:R13)</f>
        <v>246.12</v>
      </c>
      <c r="S8" s="60">
        <f>SUM(S9:S13)</f>
        <v>513.27448000000004</v>
      </c>
      <c r="T8" s="60">
        <f t="shared" ref="T8:T66" si="5">S8/$L8*100</f>
        <v>28.998558192090396</v>
      </c>
      <c r="U8" s="58">
        <f>SUM(U9:U13)</f>
        <v>443.64413000000002</v>
      </c>
      <c r="V8" s="59">
        <f>SUM(V9:V13)</f>
        <v>542.81825000000003</v>
      </c>
      <c r="W8" s="60">
        <f>SUM(W9:W13)</f>
        <v>986.46238000000005</v>
      </c>
      <c r="X8" s="60">
        <f t="shared" ref="X8:X65" si="6">W8/$L8*100</f>
        <v>55.732337853107353</v>
      </c>
      <c r="Y8" s="58">
        <f>SUM(Y9:Y13)</f>
        <v>677.67419000000007</v>
      </c>
      <c r="Z8" s="59">
        <f>SUM(Z9:Z13)</f>
        <v>738.38424999999995</v>
      </c>
      <c r="AA8" s="60">
        <f>SUM(AA9:AA13)</f>
        <v>1416.05844</v>
      </c>
      <c r="AB8" s="60">
        <f t="shared" ref="AB8:AB63" si="7">AA8/$L8*100</f>
        <v>80.003301694915251</v>
      </c>
      <c r="AC8" s="395">
        <f>SUM(AC9:AC13)</f>
        <v>353.94155999999998</v>
      </c>
      <c r="AD8" s="58">
        <f>SUM(AD9:AD13)</f>
        <v>1044</v>
      </c>
      <c r="AE8" s="59">
        <f>SUM(AE9:AE13)</f>
        <v>505</v>
      </c>
      <c r="AF8" s="60">
        <f>SUM(AF9:AF13)</f>
        <v>1549</v>
      </c>
      <c r="AG8" s="60">
        <f t="shared" ref="AG8:AG15" si="8">AF8/$G8*100</f>
        <v>88.01136363636364</v>
      </c>
      <c r="AH8" s="59">
        <f>SUM(AH9:AH13)</f>
        <v>1549</v>
      </c>
      <c r="AI8" s="359">
        <f t="shared" ref="AI8:AI14" si="9">AH8/G8</f>
        <v>0.88011363636363638</v>
      </c>
      <c r="AJ8" s="60"/>
      <c r="AK8" s="191">
        <f>SUM(AK9:AK13)</f>
        <v>0</v>
      </c>
      <c r="AL8" s="428">
        <f>SUM(AL9:AL13)</f>
        <v>1770</v>
      </c>
      <c r="AM8" s="55"/>
      <c r="AN8" s="74"/>
      <c r="AP8" s="190">
        <f>SUM(AP9:AP13)</f>
        <v>889.41291000000001</v>
      </c>
      <c r="AQ8" s="191">
        <f>SUM(AQ9:AQ13)</f>
        <v>710</v>
      </c>
      <c r="AT8" s="190">
        <f t="shared" si="1"/>
        <v>-170.58708999999999</v>
      </c>
      <c r="AU8" s="191">
        <f t="shared" si="2"/>
        <v>0</v>
      </c>
    </row>
    <row r="9" spans="1:47" x14ac:dyDescent="0.2">
      <c r="A9" s="62"/>
      <c r="B9" s="29">
        <v>2121</v>
      </c>
      <c r="C9" s="29">
        <v>20</v>
      </c>
      <c r="D9" s="207" t="s">
        <v>91</v>
      </c>
      <c r="E9" s="46"/>
      <c r="F9" s="16">
        <v>410</v>
      </c>
      <c r="G9" s="57">
        <f>E9+F9</f>
        <v>410</v>
      </c>
      <c r="H9" s="186"/>
      <c r="I9" s="187"/>
      <c r="J9" s="46">
        <f t="shared" ref="J9:K11" si="10">E9+H9</f>
        <v>0</v>
      </c>
      <c r="K9" s="29">
        <f t="shared" si="10"/>
        <v>410</v>
      </c>
      <c r="L9" s="57">
        <f>SUM(J9:K9)</f>
        <v>410</v>
      </c>
      <c r="M9" s="46"/>
      <c r="N9" s="16">
        <v>14.62</v>
      </c>
      <c r="O9" s="57">
        <f>M9+N9</f>
        <v>14.62</v>
      </c>
      <c r="P9" s="57">
        <f t="shared" si="4"/>
        <v>3.565853658536585</v>
      </c>
      <c r="Q9" s="46"/>
      <c r="R9" s="16">
        <v>102.12</v>
      </c>
      <c r="S9" s="57">
        <f>Q9+R9</f>
        <v>102.12</v>
      </c>
      <c r="T9" s="57">
        <f t="shared" si="5"/>
        <v>24.907317073170731</v>
      </c>
      <c r="U9" s="46"/>
      <c r="V9" s="16">
        <v>102.12</v>
      </c>
      <c r="W9" s="57">
        <f>U9+V9</f>
        <v>102.12</v>
      </c>
      <c r="X9" s="57">
        <f t="shared" si="6"/>
        <v>24.907317073170731</v>
      </c>
      <c r="Y9" s="46"/>
      <c r="Z9" s="16">
        <v>243.72</v>
      </c>
      <c r="AA9" s="57">
        <f>Y9+Z9</f>
        <v>243.72</v>
      </c>
      <c r="AB9" s="57">
        <f t="shared" si="7"/>
        <v>59.443902439024384</v>
      </c>
      <c r="AC9" s="394">
        <f>L9-AA9</f>
        <v>166.28</v>
      </c>
      <c r="AD9" s="46"/>
      <c r="AE9" s="16">
        <v>205</v>
      </c>
      <c r="AF9" s="57">
        <f>AD9+AE9</f>
        <v>205</v>
      </c>
      <c r="AG9" s="57">
        <f t="shared" si="8"/>
        <v>50</v>
      </c>
      <c r="AH9" s="16">
        <v>205</v>
      </c>
      <c r="AI9" s="358">
        <f t="shared" si="9"/>
        <v>0.5</v>
      </c>
      <c r="AJ9" s="57" t="s">
        <v>500</v>
      </c>
      <c r="AK9" s="187"/>
      <c r="AL9" s="427">
        <f>L9-AK9</f>
        <v>410</v>
      </c>
      <c r="AM9" s="320" t="s">
        <v>68</v>
      </c>
      <c r="AN9" s="307" t="s">
        <v>118</v>
      </c>
      <c r="AP9" s="188">
        <f>J9</f>
        <v>0</v>
      </c>
      <c r="AQ9" s="187">
        <f>K9</f>
        <v>410</v>
      </c>
      <c r="AT9" s="188">
        <f t="shared" si="1"/>
        <v>0</v>
      </c>
      <c r="AU9" s="487">
        <f t="shared" si="2"/>
        <v>0</v>
      </c>
    </row>
    <row r="10" spans="1:47" x14ac:dyDescent="0.2">
      <c r="A10" s="62"/>
      <c r="B10" s="29">
        <v>2121</v>
      </c>
      <c r="C10" s="29">
        <v>237</v>
      </c>
      <c r="D10" s="207" t="s">
        <v>168</v>
      </c>
      <c r="E10" s="46">
        <v>400</v>
      </c>
      <c r="F10" s="16"/>
      <c r="G10" s="57">
        <f>E10+F10</f>
        <v>400</v>
      </c>
      <c r="H10" s="186"/>
      <c r="I10" s="187"/>
      <c r="J10" s="46">
        <f t="shared" si="10"/>
        <v>400</v>
      </c>
      <c r="K10" s="29">
        <f t="shared" si="10"/>
        <v>0</v>
      </c>
      <c r="L10" s="57">
        <f>SUM(J10:K10)</f>
        <v>400</v>
      </c>
      <c r="M10" s="46">
        <v>90.147999999999996</v>
      </c>
      <c r="N10" s="16"/>
      <c r="O10" s="57">
        <f>M10+N10</f>
        <v>90.147999999999996</v>
      </c>
      <c r="P10" s="57">
        <f t="shared" si="4"/>
        <v>22.536999999999999</v>
      </c>
      <c r="Q10" s="46">
        <v>122.91500000000001</v>
      </c>
      <c r="R10" s="16"/>
      <c r="S10" s="57">
        <f>Q10+R10</f>
        <v>122.91500000000001</v>
      </c>
      <c r="T10" s="57">
        <f t="shared" si="5"/>
        <v>30.728749999999998</v>
      </c>
      <c r="U10" s="46">
        <v>189.41291000000001</v>
      </c>
      <c r="V10" s="16"/>
      <c r="W10" s="57">
        <f>U10+V10</f>
        <v>189.41291000000001</v>
      </c>
      <c r="X10" s="57">
        <f t="shared" si="6"/>
        <v>47.353227500000003</v>
      </c>
      <c r="Y10" s="46">
        <v>341.11443000000003</v>
      </c>
      <c r="Z10" s="16"/>
      <c r="AA10" s="57">
        <f>Y10+Z10</f>
        <v>341.11443000000003</v>
      </c>
      <c r="AB10" s="57">
        <f t="shared" si="7"/>
        <v>85.278607500000007</v>
      </c>
      <c r="AC10" s="394">
        <f>L10-AA10</f>
        <v>58.885569999999973</v>
      </c>
      <c r="AD10" s="46">
        <v>411</v>
      </c>
      <c r="AE10" s="16"/>
      <c r="AF10" s="57">
        <f>AD10+AE10</f>
        <v>411</v>
      </c>
      <c r="AG10" s="57">
        <f t="shared" si="8"/>
        <v>102.75000000000001</v>
      </c>
      <c r="AH10" s="16">
        <v>411</v>
      </c>
      <c r="AI10" s="358">
        <f t="shared" si="9"/>
        <v>1.0275000000000001</v>
      </c>
      <c r="AJ10" s="57"/>
      <c r="AK10" s="187"/>
      <c r="AL10" s="427">
        <f>L10-AK10</f>
        <v>400</v>
      </c>
      <c r="AM10" s="320" t="s">
        <v>68</v>
      </c>
      <c r="AN10" s="307" t="s">
        <v>118</v>
      </c>
      <c r="AP10" s="523">
        <f>U10+100</f>
        <v>289.41291000000001</v>
      </c>
      <c r="AQ10" s="187">
        <f>K10</f>
        <v>0</v>
      </c>
      <c r="AT10" s="523">
        <f t="shared" si="1"/>
        <v>-110.58708999999999</v>
      </c>
      <c r="AU10" s="187">
        <f t="shared" si="2"/>
        <v>0</v>
      </c>
    </row>
    <row r="11" spans="1:47" x14ac:dyDescent="0.2">
      <c r="A11" s="62"/>
      <c r="B11" s="29">
        <v>2141</v>
      </c>
      <c r="C11" s="29">
        <v>101</v>
      </c>
      <c r="D11" s="207" t="s">
        <v>272</v>
      </c>
      <c r="E11" s="46">
        <v>100</v>
      </c>
      <c r="F11" s="16"/>
      <c r="G11" s="57">
        <f>E11+F11</f>
        <v>100</v>
      </c>
      <c r="H11" s="186"/>
      <c r="I11" s="187"/>
      <c r="J11" s="46">
        <f t="shared" si="10"/>
        <v>100</v>
      </c>
      <c r="K11" s="29">
        <f t="shared" si="10"/>
        <v>0</v>
      </c>
      <c r="L11" s="57">
        <f>SUM(J11:K11)</f>
        <v>100</v>
      </c>
      <c r="M11" s="46">
        <v>5.6244100000000001</v>
      </c>
      <c r="N11" s="16"/>
      <c r="O11" s="57">
        <f>M11+N11</f>
        <v>5.6244100000000001</v>
      </c>
      <c r="P11" s="57">
        <f t="shared" si="4"/>
        <v>5.6244100000000001</v>
      </c>
      <c r="Q11" s="46">
        <v>7.0099299999999998</v>
      </c>
      <c r="R11" s="16"/>
      <c r="S11" s="57">
        <f>Q11+R11</f>
        <v>7.0099299999999998</v>
      </c>
      <c r="T11" s="57">
        <f t="shared" si="5"/>
        <v>7.0099300000000007</v>
      </c>
      <c r="U11" s="46">
        <v>10.615589999999999</v>
      </c>
      <c r="V11" s="16"/>
      <c r="W11" s="57">
        <f>U11+V11</f>
        <v>10.615589999999999</v>
      </c>
      <c r="X11" s="57">
        <f t="shared" si="6"/>
        <v>10.615589999999999</v>
      </c>
      <c r="Y11" s="46">
        <v>14.52913</v>
      </c>
      <c r="Z11" s="16"/>
      <c r="AA11" s="57">
        <f>Y11+Z11</f>
        <v>14.52913</v>
      </c>
      <c r="AB11" s="57">
        <f t="shared" si="7"/>
        <v>14.529130000000002</v>
      </c>
      <c r="AC11" s="394">
        <f>L11-AA11</f>
        <v>85.470870000000005</v>
      </c>
      <c r="AD11" s="46">
        <v>80</v>
      </c>
      <c r="AE11" s="16"/>
      <c r="AF11" s="57">
        <f>AD11+AE11</f>
        <v>80</v>
      </c>
      <c r="AG11" s="57">
        <f t="shared" si="8"/>
        <v>80</v>
      </c>
      <c r="AH11" s="16">
        <v>100</v>
      </c>
      <c r="AI11" s="358">
        <f t="shared" si="9"/>
        <v>1</v>
      </c>
      <c r="AJ11" s="57"/>
      <c r="AK11" s="187"/>
      <c r="AL11" s="427">
        <f>L11-AK11</f>
        <v>100</v>
      </c>
      <c r="AM11" s="320" t="s">
        <v>314</v>
      </c>
      <c r="AN11" s="307" t="s">
        <v>118</v>
      </c>
      <c r="AP11" s="523">
        <v>40</v>
      </c>
      <c r="AQ11" s="187">
        <f>K11</f>
        <v>0</v>
      </c>
      <c r="AT11" s="188">
        <f t="shared" si="1"/>
        <v>-60</v>
      </c>
      <c r="AU11" s="187">
        <f t="shared" si="2"/>
        <v>0</v>
      </c>
    </row>
    <row r="12" spans="1:47" x14ac:dyDescent="0.2">
      <c r="A12" s="62"/>
      <c r="B12" s="29">
        <v>2144</v>
      </c>
      <c r="C12" s="29">
        <v>650</v>
      </c>
      <c r="D12" s="207" t="s">
        <v>164</v>
      </c>
      <c r="E12" s="46">
        <v>250</v>
      </c>
      <c r="F12" s="16"/>
      <c r="G12" s="57">
        <f>E12+F12</f>
        <v>250</v>
      </c>
      <c r="H12" s="192">
        <v>10</v>
      </c>
      <c r="I12" s="187"/>
      <c r="J12" s="46">
        <f>E12+H12</f>
        <v>260</v>
      </c>
      <c r="K12" s="29"/>
      <c r="L12" s="57">
        <f>SUM(J12:K12)</f>
        <v>260</v>
      </c>
      <c r="M12" s="46">
        <f>43.768+8</f>
        <v>51.768000000000001</v>
      </c>
      <c r="N12" s="16"/>
      <c r="O12" s="57">
        <f>M12+N12</f>
        <v>51.768000000000001</v>
      </c>
      <c r="P12" s="57">
        <f t="shared" si="4"/>
        <v>19.910769230769233</v>
      </c>
      <c r="Q12" s="46">
        <v>90.038550000000001</v>
      </c>
      <c r="R12" s="16"/>
      <c r="S12" s="57">
        <f>Q12+R12</f>
        <v>90.038550000000001</v>
      </c>
      <c r="T12" s="57">
        <f t="shared" si="5"/>
        <v>34.630211538461538</v>
      </c>
      <c r="U12" s="46">
        <v>183.11463000000001</v>
      </c>
      <c r="V12" s="16"/>
      <c r="W12" s="57">
        <f>U12+V12</f>
        <v>183.11463000000001</v>
      </c>
      <c r="X12" s="57">
        <f t="shared" si="6"/>
        <v>70.428703846153851</v>
      </c>
      <c r="Y12" s="46">
        <v>236.48263</v>
      </c>
      <c r="Z12" s="16"/>
      <c r="AA12" s="57">
        <f>Y12+Z12</f>
        <v>236.48263</v>
      </c>
      <c r="AB12" s="57">
        <f t="shared" si="7"/>
        <v>90.954857692307684</v>
      </c>
      <c r="AC12" s="394">
        <f>L12-AA12</f>
        <v>23.51737</v>
      </c>
      <c r="AD12" s="46">
        <v>265</v>
      </c>
      <c r="AE12" s="16"/>
      <c r="AF12" s="57">
        <f>AD12+AE12</f>
        <v>265</v>
      </c>
      <c r="AG12" s="57">
        <f t="shared" si="8"/>
        <v>106</v>
      </c>
      <c r="AH12" s="16">
        <v>245</v>
      </c>
      <c r="AI12" s="358">
        <f t="shared" si="9"/>
        <v>0.98</v>
      </c>
      <c r="AJ12" s="57" t="s">
        <v>279</v>
      </c>
      <c r="AK12" s="187"/>
      <c r="AL12" s="427">
        <f>L12-AK12</f>
        <v>260</v>
      </c>
      <c r="AM12" s="317" t="s">
        <v>287</v>
      </c>
      <c r="AN12" s="308" t="s">
        <v>383</v>
      </c>
      <c r="AP12" s="188">
        <f>J12</f>
        <v>260</v>
      </c>
      <c r="AQ12" s="187">
        <f>K12</f>
        <v>0</v>
      </c>
      <c r="AT12" s="188">
        <f t="shared" si="1"/>
        <v>0</v>
      </c>
      <c r="AU12" s="187">
        <f t="shared" si="2"/>
        <v>0</v>
      </c>
    </row>
    <row r="13" spans="1:47" x14ac:dyDescent="0.2">
      <c r="A13" s="62"/>
      <c r="B13" s="29">
        <v>2199</v>
      </c>
      <c r="C13" s="29">
        <v>912</v>
      </c>
      <c r="D13" s="207" t="s">
        <v>96</v>
      </c>
      <c r="E13" s="46">
        <v>300</v>
      </c>
      <c r="F13" s="16">
        <v>300</v>
      </c>
      <c r="G13" s="57">
        <f>E13+F13</f>
        <v>600</v>
      </c>
      <c r="H13" s="186"/>
      <c r="I13" s="187"/>
      <c r="J13" s="46">
        <f>E13+H13</f>
        <v>300</v>
      </c>
      <c r="K13" s="29">
        <f>F13+I13</f>
        <v>300</v>
      </c>
      <c r="L13" s="57">
        <f>SUM(J13:K13)</f>
        <v>600</v>
      </c>
      <c r="M13" s="46">
        <v>41.191000000000003</v>
      </c>
      <c r="N13" s="16">
        <v>50</v>
      </c>
      <c r="O13" s="57">
        <f>M13+N13</f>
        <v>91.191000000000003</v>
      </c>
      <c r="P13" s="57">
        <f t="shared" si="4"/>
        <v>15.198500000000001</v>
      </c>
      <c r="Q13" s="46">
        <v>47.191000000000003</v>
      </c>
      <c r="R13" s="16">
        <v>144</v>
      </c>
      <c r="S13" s="57">
        <f>Q13+R13</f>
        <v>191.191</v>
      </c>
      <c r="T13" s="57">
        <f t="shared" si="5"/>
        <v>31.865166666666667</v>
      </c>
      <c r="U13" s="46">
        <f>375.74625-V13+125.453</f>
        <v>60.500999999999948</v>
      </c>
      <c r="V13" s="16">
        <f>315.24525+125.453</f>
        <v>440.69825000000003</v>
      </c>
      <c r="W13" s="57">
        <f>U13+V13</f>
        <v>501.19925000000001</v>
      </c>
      <c r="X13" s="57">
        <f t="shared" si="6"/>
        <v>83.533208333333334</v>
      </c>
      <c r="Y13" s="46">
        <v>85.548000000000002</v>
      </c>
      <c r="Z13" s="16">
        <v>494.66424999999998</v>
      </c>
      <c r="AA13" s="57">
        <f>Y13+Z13</f>
        <v>580.21225000000004</v>
      </c>
      <c r="AB13" s="57">
        <f t="shared" si="7"/>
        <v>96.702041666666673</v>
      </c>
      <c r="AC13" s="394">
        <f>L13-AA13</f>
        <v>19.78774999999996</v>
      </c>
      <c r="AD13" s="46">
        <v>288</v>
      </c>
      <c r="AE13" s="16">
        <v>300</v>
      </c>
      <c r="AF13" s="57">
        <f>AD13+AE13</f>
        <v>588</v>
      </c>
      <c r="AG13" s="57">
        <f t="shared" si="8"/>
        <v>98</v>
      </c>
      <c r="AH13" s="16">
        <v>588</v>
      </c>
      <c r="AI13" s="358">
        <f t="shared" si="9"/>
        <v>0.98</v>
      </c>
      <c r="AJ13" s="57"/>
      <c r="AK13" s="187"/>
      <c r="AL13" s="427">
        <f>L13-AK13</f>
        <v>600</v>
      </c>
      <c r="AM13" s="318" t="s">
        <v>505</v>
      </c>
      <c r="AN13" s="309" t="s">
        <v>118</v>
      </c>
      <c r="AP13" s="188">
        <f>J13</f>
        <v>300</v>
      </c>
      <c r="AQ13" s="187">
        <f>K13</f>
        <v>300</v>
      </c>
      <c r="AT13" s="188">
        <f t="shared" si="1"/>
        <v>0</v>
      </c>
      <c r="AU13" s="187">
        <f t="shared" si="2"/>
        <v>0</v>
      </c>
    </row>
    <row r="14" spans="1:47" x14ac:dyDescent="0.2">
      <c r="A14" s="137">
        <v>22</v>
      </c>
      <c r="B14" s="24"/>
      <c r="C14" s="24"/>
      <c r="D14" s="417" t="s">
        <v>70</v>
      </c>
      <c r="E14" s="58">
        <f t="shared" ref="E14:O14" si="11">SUM(E15:E30)</f>
        <v>4701</v>
      </c>
      <c r="F14" s="59">
        <f t="shared" si="11"/>
        <v>24955</v>
      </c>
      <c r="G14" s="60">
        <f t="shared" si="11"/>
        <v>29656</v>
      </c>
      <c r="H14" s="190">
        <f t="shared" si="11"/>
        <v>0</v>
      </c>
      <c r="I14" s="191">
        <f t="shared" si="11"/>
        <v>0</v>
      </c>
      <c r="J14" s="58">
        <f t="shared" si="11"/>
        <v>4701</v>
      </c>
      <c r="K14" s="59">
        <f t="shared" si="11"/>
        <v>24955</v>
      </c>
      <c r="L14" s="60">
        <f t="shared" si="11"/>
        <v>29656</v>
      </c>
      <c r="M14" s="58">
        <f t="shared" si="11"/>
        <v>1993.9735000000001</v>
      </c>
      <c r="N14" s="59">
        <f t="shared" si="11"/>
        <v>32.427999999999997</v>
      </c>
      <c r="O14" s="60">
        <f t="shared" si="11"/>
        <v>2026.4014999999999</v>
      </c>
      <c r="P14" s="60">
        <f t="shared" si="4"/>
        <v>6.8330236714324251</v>
      </c>
      <c r="Q14" s="58">
        <f>SUM(Q15:Q30)</f>
        <v>2725.5046000000002</v>
      </c>
      <c r="R14" s="59">
        <f>SUM(R15:R30)</f>
        <v>1072.6036100000001</v>
      </c>
      <c r="S14" s="60">
        <f>SUM(S15:S30)</f>
        <v>3798.1082100000003</v>
      </c>
      <c r="T14" s="60">
        <f t="shared" si="5"/>
        <v>12.807216785810629</v>
      </c>
      <c r="U14" s="58">
        <f>SUM(U15:U30)</f>
        <v>3672.2345299999997</v>
      </c>
      <c r="V14" s="59">
        <f>SUM(V15:V30)</f>
        <v>13714.057579999999</v>
      </c>
      <c r="W14" s="60">
        <f>SUM(W15:W30)</f>
        <v>17386.292110000002</v>
      </c>
      <c r="X14" s="60">
        <f t="shared" si="6"/>
        <v>58.626558234421381</v>
      </c>
      <c r="Y14" s="58">
        <f>SUM(Y15:Y30)</f>
        <v>4586.6896800000004</v>
      </c>
      <c r="Z14" s="59">
        <f>SUM(Z15:Z30)</f>
        <v>20967.265159999999</v>
      </c>
      <c r="AA14" s="60">
        <f>SUM(AA15:AA30)</f>
        <v>25553.954839999999</v>
      </c>
      <c r="AB14" s="60">
        <f t="shared" si="7"/>
        <v>86.167908146749383</v>
      </c>
      <c r="AC14" s="395">
        <f>SUM(AC15:AC30)</f>
        <v>4102.0451600000006</v>
      </c>
      <c r="AD14" s="58">
        <f>SUM(AD15:AD30)</f>
        <v>12161</v>
      </c>
      <c r="AE14" s="59">
        <f>SUM(AE15:AE30)</f>
        <v>12114</v>
      </c>
      <c r="AF14" s="60">
        <f>SUM(AF15:AF30)</f>
        <v>24275</v>
      </c>
      <c r="AG14" s="60">
        <f t="shared" si="8"/>
        <v>81.855273806312383</v>
      </c>
      <c r="AH14" s="59">
        <f>SUM(AH15:AH30)</f>
        <v>35455</v>
      </c>
      <c r="AI14" s="359">
        <f t="shared" si="9"/>
        <v>1.1955422174264905</v>
      </c>
      <c r="AJ14" s="60"/>
      <c r="AK14" s="191">
        <f>SUM(AK15:AK30)</f>
        <v>0</v>
      </c>
      <c r="AL14" s="428">
        <f>SUM(AL15:AL30)</f>
        <v>25751</v>
      </c>
      <c r="AM14" s="55"/>
      <c r="AN14" s="74"/>
      <c r="AP14" s="190">
        <f>SUM(AP15:AP30)</f>
        <v>4701</v>
      </c>
      <c r="AQ14" s="191">
        <f>SUM(AQ15:AQ30)</f>
        <v>21166.114999999998</v>
      </c>
      <c r="AT14" s="190">
        <f t="shared" si="1"/>
        <v>0</v>
      </c>
      <c r="AU14" s="191">
        <f t="shared" si="2"/>
        <v>-3788.885000000002</v>
      </c>
    </row>
    <row r="15" spans="1:47" x14ac:dyDescent="0.2">
      <c r="A15" s="136"/>
      <c r="B15" s="29">
        <v>2212</v>
      </c>
      <c r="C15" s="29">
        <v>203</v>
      </c>
      <c r="D15" s="475" t="s">
        <v>235</v>
      </c>
      <c r="E15" s="46"/>
      <c r="F15" s="16">
        <v>380</v>
      </c>
      <c r="G15" s="57">
        <f t="shared" ref="G15:G30" si="12">E15+F15</f>
        <v>380</v>
      </c>
      <c r="H15" s="186"/>
      <c r="I15" s="456"/>
      <c r="J15" s="46">
        <f t="shared" ref="J15:K20" si="13">E15+H15</f>
        <v>0</v>
      </c>
      <c r="K15" s="29">
        <f t="shared" si="13"/>
        <v>380</v>
      </c>
      <c r="L15" s="57">
        <f t="shared" ref="L15:L30" si="14">SUM(J15:K15)</f>
        <v>380</v>
      </c>
      <c r="M15" s="46"/>
      <c r="N15" s="16"/>
      <c r="O15" s="57">
        <f t="shared" ref="O15:O30" si="15">M15+N15</f>
        <v>0</v>
      </c>
      <c r="P15" s="57">
        <f t="shared" ref="P15:P20" si="16">O15/$L15*100</f>
        <v>0</v>
      </c>
      <c r="Q15" s="46"/>
      <c r="R15" s="16">
        <v>0</v>
      </c>
      <c r="S15" s="57">
        <f t="shared" ref="S15:S30" si="17">Q15+R15</f>
        <v>0</v>
      </c>
      <c r="T15" s="57">
        <f>S15/$L15*100</f>
        <v>0</v>
      </c>
      <c r="U15" s="46">
        <f>164.70795-V15</f>
        <v>1.3822000000000116</v>
      </c>
      <c r="V15" s="16">
        <v>163.32575</v>
      </c>
      <c r="W15" s="57">
        <f t="shared" ref="W15:W30" si="18">U15+V15</f>
        <v>164.70795000000001</v>
      </c>
      <c r="X15" s="57">
        <f t="shared" ref="X15:X20" si="19">W15/$L15*100</f>
        <v>43.344197368421057</v>
      </c>
      <c r="Y15" s="46">
        <v>1.3822000000000001</v>
      </c>
      <c r="Z15" s="16">
        <v>232.44094999999999</v>
      </c>
      <c r="AA15" s="57">
        <f t="shared" ref="AA15:AA30" si="20">Y15+Z15</f>
        <v>233.82315</v>
      </c>
      <c r="AB15" s="57">
        <f t="shared" ref="AB15:AB20" si="21">AA15/$L15*100</f>
        <v>61.532407894736842</v>
      </c>
      <c r="AC15" s="394">
        <f t="shared" ref="AC15:AC30" si="22">L15-AA15</f>
        <v>146.17685</v>
      </c>
      <c r="AD15" s="46"/>
      <c r="AE15" s="16"/>
      <c r="AF15" s="57">
        <f t="shared" ref="AF15:AF30" si="23">AD15+AE15</f>
        <v>0</v>
      </c>
      <c r="AG15" s="57">
        <f t="shared" si="8"/>
        <v>0</v>
      </c>
      <c r="AH15" s="16"/>
      <c r="AI15" s="358">
        <f t="shared" ref="AI15:AI20" si="24">AH15/G15</f>
        <v>0</v>
      </c>
      <c r="AJ15" s="57" t="s">
        <v>444</v>
      </c>
      <c r="AK15" s="187"/>
      <c r="AL15" s="427">
        <f>L15-AK15</f>
        <v>380</v>
      </c>
      <c r="AM15" s="320" t="s">
        <v>505</v>
      </c>
      <c r="AN15" s="307" t="s">
        <v>118</v>
      </c>
      <c r="AP15" s="188">
        <f>J15</f>
        <v>0</v>
      </c>
      <c r="AQ15" s="524">
        <v>300</v>
      </c>
      <c r="AT15" s="188">
        <f t="shared" si="1"/>
        <v>0</v>
      </c>
      <c r="AU15" s="524">
        <f t="shared" si="2"/>
        <v>-80</v>
      </c>
    </row>
    <row r="16" spans="1:47" x14ac:dyDescent="0.2">
      <c r="A16" s="136"/>
      <c r="B16" s="29">
        <v>2212</v>
      </c>
      <c r="C16" s="29">
        <v>204</v>
      </c>
      <c r="D16" s="207" t="s">
        <v>124</v>
      </c>
      <c r="E16" s="46">
        <f>3538+470+120</f>
        <v>4128</v>
      </c>
      <c r="F16" s="16"/>
      <c r="G16" s="57">
        <f t="shared" si="12"/>
        <v>4128</v>
      </c>
      <c r="H16" s="186"/>
      <c r="I16" s="187"/>
      <c r="J16" s="46">
        <f t="shared" si="13"/>
        <v>4128</v>
      </c>
      <c r="K16" s="29">
        <f t="shared" si="13"/>
        <v>0</v>
      </c>
      <c r="L16" s="57">
        <f t="shared" si="14"/>
        <v>4128</v>
      </c>
      <c r="M16" s="46">
        <v>1869.886</v>
      </c>
      <c r="N16" s="16"/>
      <c r="O16" s="57">
        <f t="shared" si="15"/>
        <v>1869.886</v>
      </c>
      <c r="P16" s="57">
        <f t="shared" si="16"/>
        <v>45.29762596899225</v>
      </c>
      <c r="Q16" s="46">
        <v>2452.0495999999998</v>
      </c>
      <c r="R16" s="16"/>
      <c r="S16" s="57">
        <f t="shared" si="17"/>
        <v>2452.0495999999998</v>
      </c>
      <c r="T16" s="57">
        <f>S16/$L16*100</f>
        <v>59.400426356589143</v>
      </c>
      <c r="U16" s="46">
        <v>3242.2948299999998</v>
      </c>
      <c r="V16" s="16"/>
      <c r="W16" s="57">
        <f t="shared" si="18"/>
        <v>3242.2948299999998</v>
      </c>
      <c r="X16" s="57">
        <f t="shared" si="19"/>
        <v>78.543963905038765</v>
      </c>
      <c r="Y16" s="46">
        <v>4005.8574800000001</v>
      </c>
      <c r="Z16" s="16"/>
      <c r="AA16" s="57">
        <f t="shared" si="20"/>
        <v>4005.8574800000001</v>
      </c>
      <c r="AB16" s="57">
        <f t="shared" si="21"/>
        <v>97.041121124031022</v>
      </c>
      <c r="AC16" s="394">
        <f t="shared" si="22"/>
        <v>122.14251999999988</v>
      </c>
      <c r="AD16" s="46">
        <f>6608-180</f>
        <v>6428</v>
      </c>
      <c r="AE16" s="16"/>
      <c r="AF16" s="57">
        <f t="shared" si="23"/>
        <v>6428</v>
      </c>
      <c r="AG16" s="57">
        <f t="shared" ref="AG16:AG27" si="25">AF16/$G16*100</f>
        <v>155.7170542635659</v>
      </c>
      <c r="AH16" s="16">
        <v>6608</v>
      </c>
      <c r="AI16" s="358">
        <f t="shared" si="24"/>
        <v>1.6007751937984496</v>
      </c>
      <c r="AJ16" s="57"/>
      <c r="AK16" s="187"/>
      <c r="AL16" s="427">
        <f>L16-AK16</f>
        <v>4128</v>
      </c>
      <c r="AM16" s="320" t="s">
        <v>196</v>
      </c>
      <c r="AN16" s="307" t="s">
        <v>118</v>
      </c>
      <c r="AP16" s="188">
        <f t="shared" ref="AP16:AP30" si="26">J16</f>
        <v>4128</v>
      </c>
      <c r="AQ16" s="187">
        <f t="shared" ref="AQ16:AQ28" si="27">K16</f>
        <v>0</v>
      </c>
      <c r="AT16" s="188">
        <f t="shared" si="1"/>
        <v>0</v>
      </c>
      <c r="AU16" s="187">
        <f t="shared" si="2"/>
        <v>0</v>
      </c>
    </row>
    <row r="17" spans="1:47" x14ac:dyDescent="0.2">
      <c r="A17" s="136"/>
      <c r="B17" s="29">
        <v>2212</v>
      </c>
      <c r="C17" s="29">
        <v>206</v>
      </c>
      <c r="D17" s="207" t="s">
        <v>320</v>
      </c>
      <c r="E17" s="46"/>
      <c r="F17" s="16">
        <v>500</v>
      </c>
      <c r="G17" s="57">
        <f t="shared" si="12"/>
        <v>500</v>
      </c>
      <c r="H17" s="186"/>
      <c r="I17" s="187"/>
      <c r="J17" s="46">
        <f t="shared" si="13"/>
        <v>0</v>
      </c>
      <c r="K17" s="29">
        <f t="shared" si="13"/>
        <v>500</v>
      </c>
      <c r="L17" s="57">
        <f t="shared" si="14"/>
        <v>500</v>
      </c>
      <c r="M17" s="46"/>
      <c r="N17" s="16"/>
      <c r="O17" s="57">
        <f t="shared" si="15"/>
        <v>0</v>
      </c>
      <c r="P17" s="57">
        <f t="shared" si="16"/>
        <v>0</v>
      </c>
      <c r="Q17" s="46"/>
      <c r="R17" s="16">
        <v>222.15600000000001</v>
      </c>
      <c r="S17" s="57">
        <f t="shared" si="17"/>
        <v>222.15600000000001</v>
      </c>
      <c r="T17" s="57">
        <f>S17/$L17*100</f>
        <v>44.431199999999997</v>
      </c>
      <c r="U17" s="46"/>
      <c r="V17" s="16">
        <v>231.83600000000001</v>
      </c>
      <c r="W17" s="57">
        <f t="shared" si="18"/>
        <v>231.83600000000001</v>
      </c>
      <c r="X17" s="57">
        <f t="shared" si="19"/>
        <v>46.367200000000004</v>
      </c>
      <c r="Y17" s="46"/>
      <c r="Z17" s="16">
        <v>477.89100000000002</v>
      </c>
      <c r="AA17" s="57">
        <f t="shared" si="20"/>
        <v>477.89100000000002</v>
      </c>
      <c r="AB17" s="57">
        <f t="shared" si="21"/>
        <v>95.578199999999995</v>
      </c>
      <c r="AC17" s="394">
        <f t="shared" si="22"/>
        <v>22.10899999999998</v>
      </c>
      <c r="AD17" s="46"/>
      <c r="AE17" s="16">
        <v>300</v>
      </c>
      <c r="AF17" s="57">
        <f t="shared" si="23"/>
        <v>300</v>
      </c>
      <c r="AG17" s="57">
        <f t="shared" si="25"/>
        <v>60</v>
      </c>
      <c r="AH17" s="527"/>
      <c r="AI17" s="358">
        <f t="shared" si="24"/>
        <v>0</v>
      </c>
      <c r="AJ17" s="57"/>
      <c r="AK17" s="187"/>
      <c r="AL17" s="427"/>
      <c r="AM17" s="320" t="s">
        <v>505</v>
      </c>
      <c r="AN17" s="307" t="s">
        <v>118</v>
      </c>
      <c r="AP17" s="188">
        <f t="shared" si="26"/>
        <v>0</v>
      </c>
      <c r="AQ17" s="524">
        <v>300</v>
      </c>
      <c r="AT17" s="188">
        <f t="shared" si="1"/>
        <v>0</v>
      </c>
      <c r="AU17" s="524">
        <f t="shared" si="2"/>
        <v>-200</v>
      </c>
    </row>
    <row r="18" spans="1:47" x14ac:dyDescent="0.2">
      <c r="A18" s="136"/>
      <c r="B18" s="29">
        <v>2212</v>
      </c>
      <c r="C18" s="29">
        <v>208</v>
      </c>
      <c r="D18" s="207" t="s">
        <v>292</v>
      </c>
      <c r="E18" s="46"/>
      <c r="F18" s="16">
        <v>18000</v>
      </c>
      <c r="G18" s="57">
        <f t="shared" si="12"/>
        <v>18000</v>
      </c>
      <c r="H18" s="186"/>
      <c r="I18" s="187"/>
      <c r="J18" s="46">
        <f t="shared" si="13"/>
        <v>0</v>
      </c>
      <c r="K18" s="29">
        <f t="shared" si="13"/>
        <v>18000</v>
      </c>
      <c r="L18" s="57">
        <f t="shared" si="14"/>
        <v>18000</v>
      </c>
      <c r="M18" s="46"/>
      <c r="N18" s="16">
        <v>32.427999999999997</v>
      </c>
      <c r="O18" s="57">
        <f t="shared" si="15"/>
        <v>32.427999999999997</v>
      </c>
      <c r="P18" s="57">
        <f t="shared" si="16"/>
        <v>0.18015555555555554</v>
      </c>
      <c r="Q18" s="46"/>
      <c r="R18" s="16">
        <v>459.48860999999999</v>
      </c>
      <c r="S18" s="57">
        <f t="shared" si="17"/>
        <v>459.48860999999999</v>
      </c>
      <c r="T18" s="57">
        <f>S18/$L18*100</f>
        <v>2.5527145</v>
      </c>
      <c r="U18" s="46"/>
      <c r="V18" s="16">
        <v>10927.936830000001</v>
      </c>
      <c r="W18" s="57">
        <f t="shared" si="18"/>
        <v>10927.936830000001</v>
      </c>
      <c r="X18" s="57">
        <f t="shared" si="19"/>
        <v>60.710760166666667</v>
      </c>
      <c r="Y18" s="46"/>
      <c r="Z18" s="16">
        <v>17053.361359999999</v>
      </c>
      <c r="AA18" s="57">
        <f t="shared" si="20"/>
        <v>17053.361359999999</v>
      </c>
      <c r="AB18" s="57">
        <f t="shared" si="21"/>
        <v>94.740896444444431</v>
      </c>
      <c r="AC18" s="394">
        <f t="shared" si="22"/>
        <v>946.63864000000103</v>
      </c>
      <c r="AD18" s="46"/>
      <c r="AE18" s="16">
        <v>450</v>
      </c>
      <c r="AF18" s="57">
        <f t="shared" si="23"/>
        <v>450</v>
      </c>
      <c r="AG18" s="57">
        <f t="shared" si="25"/>
        <v>2.5</v>
      </c>
      <c r="AH18" s="16">
        <v>450</v>
      </c>
      <c r="AI18" s="358">
        <f t="shared" si="24"/>
        <v>2.5000000000000001E-2</v>
      </c>
      <c r="AJ18" s="57" t="s">
        <v>490</v>
      </c>
      <c r="AK18" s="187"/>
      <c r="AL18" s="427">
        <f>L18-AK18</f>
        <v>18000</v>
      </c>
      <c r="AM18" s="320" t="s">
        <v>158</v>
      </c>
      <c r="AN18" s="307" t="s">
        <v>118</v>
      </c>
      <c r="AP18" s="188">
        <f t="shared" si="26"/>
        <v>0</v>
      </c>
      <c r="AQ18" s="187">
        <f t="shared" si="27"/>
        <v>18000</v>
      </c>
      <c r="AR18" s="21" t="s">
        <v>437</v>
      </c>
      <c r="AT18" s="188">
        <f t="shared" si="1"/>
        <v>0</v>
      </c>
      <c r="AU18" s="187">
        <f t="shared" si="2"/>
        <v>0</v>
      </c>
    </row>
    <row r="19" spans="1:47" x14ac:dyDescent="0.2">
      <c r="A19" s="136"/>
      <c r="B19" s="29">
        <v>2212</v>
      </c>
      <c r="C19" s="29">
        <v>211</v>
      </c>
      <c r="D19" s="207" t="s">
        <v>321</v>
      </c>
      <c r="E19" s="46"/>
      <c r="F19" s="16">
        <v>400</v>
      </c>
      <c r="G19" s="57">
        <f t="shared" si="12"/>
        <v>400</v>
      </c>
      <c r="H19" s="186"/>
      <c r="I19" s="187"/>
      <c r="J19" s="46">
        <f t="shared" si="13"/>
        <v>0</v>
      </c>
      <c r="K19" s="29">
        <f t="shared" si="13"/>
        <v>400</v>
      </c>
      <c r="L19" s="57">
        <f t="shared" si="14"/>
        <v>400</v>
      </c>
      <c r="M19" s="46"/>
      <c r="N19" s="16"/>
      <c r="O19" s="57">
        <f t="shared" si="15"/>
        <v>0</v>
      </c>
      <c r="P19" s="57">
        <f t="shared" si="16"/>
        <v>0</v>
      </c>
      <c r="Q19" s="46"/>
      <c r="R19" s="16"/>
      <c r="S19" s="57">
        <f t="shared" si="17"/>
        <v>0</v>
      </c>
      <c r="T19" s="57">
        <f>S19/$L19*100</f>
        <v>0</v>
      </c>
      <c r="U19" s="46"/>
      <c r="V19" s="16"/>
      <c r="W19" s="57">
        <f t="shared" si="18"/>
        <v>0</v>
      </c>
      <c r="X19" s="57">
        <f t="shared" si="19"/>
        <v>0</v>
      </c>
      <c r="Y19" s="46"/>
      <c r="Z19" s="16">
        <v>0</v>
      </c>
      <c r="AA19" s="57">
        <f t="shared" si="20"/>
        <v>0</v>
      </c>
      <c r="AB19" s="57">
        <f t="shared" si="21"/>
        <v>0</v>
      </c>
      <c r="AC19" s="394">
        <f t="shared" si="22"/>
        <v>400</v>
      </c>
      <c r="AD19" s="46"/>
      <c r="AE19" s="16"/>
      <c r="AF19" s="57">
        <f t="shared" si="23"/>
        <v>0</v>
      </c>
      <c r="AG19" s="57">
        <f t="shared" si="25"/>
        <v>0</v>
      </c>
      <c r="AH19" s="527"/>
      <c r="AI19" s="358">
        <f t="shared" si="24"/>
        <v>0</v>
      </c>
      <c r="AJ19" s="57"/>
      <c r="AK19" s="187"/>
      <c r="AL19" s="427"/>
      <c r="AM19" s="320" t="s">
        <v>158</v>
      </c>
      <c r="AN19" s="307" t="s">
        <v>305</v>
      </c>
      <c r="AP19" s="188">
        <f t="shared" si="26"/>
        <v>0</v>
      </c>
      <c r="AQ19" s="486">
        <v>0</v>
      </c>
      <c r="AT19" s="188">
        <f t="shared" si="1"/>
        <v>0</v>
      </c>
      <c r="AU19" s="486">
        <f t="shared" si="2"/>
        <v>-400</v>
      </c>
    </row>
    <row r="20" spans="1:47" x14ac:dyDescent="0.2">
      <c r="A20" s="136"/>
      <c r="B20" s="29">
        <v>2212</v>
      </c>
      <c r="C20" s="29">
        <v>222</v>
      </c>
      <c r="D20" s="207" t="s">
        <v>367</v>
      </c>
      <c r="E20" s="46"/>
      <c r="F20" s="16">
        <v>100</v>
      </c>
      <c r="G20" s="57">
        <f t="shared" si="12"/>
        <v>100</v>
      </c>
      <c r="H20" s="186"/>
      <c r="I20" s="187"/>
      <c r="J20" s="46">
        <f t="shared" si="13"/>
        <v>0</v>
      </c>
      <c r="K20" s="29">
        <f>F20+I20</f>
        <v>100</v>
      </c>
      <c r="L20" s="57">
        <f t="shared" si="14"/>
        <v>100</v>
      </c>
      <c r="M20" s="46"/>
      <c r="N20" s="16"/>
      <c r="O20" s="57">
        <f t="shared" si="15"/>
        <v>0</v>
      </c>
      <c r="P20" s="57">
        <f t="shared" si="16"/>
        <v>0</v>
      </c>
      <c r="Q20" s="46"/>
      <c r="R20" s="16">
        <v>100</v>
      </c>
      <c r="S20" s="57">
        <f t="shared" si="17"/>
        <v>100</v>
      </c>
      <c r="T20" s="57"/>
      <c r="U20" s="46"/>
      <c r="V20" s="16">
        <v>100</v>
      </c>
      <c r="W20" s="57">
        <f t="shared" si="18"/>
        <v>100</v>
      </c>
      <c r="X20" s="57">
        <f t="shared" si="19"/>
        <v>100</v>
      </c>
      <c r="Y20" s="46"/>
      <c r="Z20" s="16">
        <v>100</v>
      </c>
      <c r="AA20" s="57">
        <f t="shared" si="20"/>
        <v>100</v>
      </c>
      <c r="AB20" s="57">
        <f t="shared" si="21"/>
        <v>100</v>
      </c>
      <c r="AC20" s="394">
        <f t="shared" si="22"/>
        <v>0</v>
      </c>
      <c r="AD20" s="46"/>
      <c r="AE20" s="16"/>
      <c r="AF20" s="57">
        <f t="shared" si="23"/>
        <v>0</v>
      </c>
      <c r="AG20" s="57">
        <f t="shared" si="25"/>
        <v>0</v>
      </c>
      <c r="AH20" s="16"/>
      <c r="AI20" s="358">
        <f t="shared" si="24"/>
        <v>0</v>
      </c>
      <c r="AJ20" s="57" t="s">
        <v>444</v>
      </c>
      <c r="AK20" s="187"/>
      <c r="AL20" s="427"/>
      <c r="AM20" s="320" t="s">
        <v>158</v>
      </c>
      <c r="AN20" s="307" t="s">
        <v>118</v>
      </c>
      <c r="AP20" s="188">
        <f t="shared" si="26"/>
        <v>0</v>
      </c>
      <c r="AQ20" s="187">
        <f t="shared" si="27"/>
        <v>100</v>
      </c>
      <c r="AT20" s="188">
        <f t="shared" si="1"/>
        <v>0</v>
      </c>
      <c r="AU20" s="187">
        <f t="shared" si="2"/>
        <v>0</v>
      </c>
    </row>
    <row r="21" spans="1:47" x14ac:dyDescent="0.2">
      <c r="A21" s="136"/>
      <c r="B21" s="29">
        <v>2212</v>
      </c>
      <c r="C21" s="29">
        <v>220</v>
      </c>
      <c r="D21" s="207" t="s">
        <v>462</v>
      </c>
      <c r="E21" s="46"/>
      <c r="F21" s="16"/>
      <c r="G21" s="57"/>
      <c r="H21" s="186"/>
      <c r="I21" s="187"/>
      <c r="J21" s="46"/>
      <c r="K21" s="29"/>
      <c r="L21" s="57"/>
      <c r="M21" s="46"/>
      <c r="N21" s="16"/>
      <c r="O21" s="57"/>
      <c r="P21" s="57"/>
      <c r="Q21" s="46"/>
      <c r="R21" s="16"/>
      <c r="S21" s="57"/>
      <c r="T21" s="57"/>
      <c r="U21" s="46"/>
      <c r="V21" s="16"/>
      <c r="W21" s="57"/>
      <c r="X21" s="57"/>
      <c r="Y21" s="46"/>
      <c r="Z21" s="16"/>
      <c r="AA21" s="57"/>
      <c r="AB21" s="57"/>
      <c r="AC21" s="394">
        <f t="shared" si="22"/>
        <v>0</v>
      </c>
      <c r="AD21" s="46">
        <v>2886</v>
      </c>
      <c r="AE21" s="16">
        <f>1500+7514+600</f>
        <v>9614</v>
      </c>
      <c r="AF21" s="57">
        <f t="shared" si="23"/>
        <v>12500</v>
      </c>
      <c r="AG21" s="57"/>
      <c r="AH21" s="16">
        <v>12800</v>
      </c>
      <c r="AI21" s="358"/>
      <c r="AJ21" s="57" t="s">
        <v>501</v>
      </c>
      <c r="AK21" s="187"/>
      <c r="AL21" s="427"/>
      <c r="AM21" s="320" t="s">
        <v>158</v>
      </c>
      <c r="AN21" s="307" t="s">
        <v>118</v>
      </c>
      <c r="AP21" s="188"/>
      <c r="AQ21" s="187"/>
      <c r="AT21" s="188"/>
      <c r="AU21" s="187"/>
    </row>
    <row r="22" spans="1:47" x14ac:dyDescent="0.2">
      <c r="A22" s="136"/>
      <c r="B22" s="29">
        <v>2212</v>
      </c>
      <c r="C22" s="29">
        <v>207</v>
      </c>
      <c r="D22" s="207" t="s">
        <v>460</v>
      </c>
      <c r="E22" s="46"/>
      <c r="F22" s="16"/>
      <c r="G22" s="57"/>
      <c r="H22" s="186"/>
      <c r="I22" s="187"/>
      <c r="J22" s="46"/>
      <c r="K22" s="29"/>
      <c r="L22" s="57"/>
      <c r="M22" s="46"/>
      <c r="N22" s="16"/>
      <c r="O22" s="57"/>
      <c r="P22" s="57"/>
      <c r="Q22" s="46"/>
      <c r="R22" s="16"/>
      <c r="S22" s="57"/>
      <c r="T22" s="57"/>
      <c r="U22" s="46"/>
      <c r="V22" s="16"/>
      <c r="W22" s="57"/>
      <c r="X22" s="57"/>
      <c r="Y22" s="46"/>
      <c r="Z22" s="16"/>
      <c r="AA22" s="57"/>
      <c r="AB22" s="57"/>
      <c r="AC22" s="394">
        <f t="shared" si="22"/>
        <v>0</v>
      </c>
      <c r="AD22" s="46">
        <v>2200</v>
      </c>
      <c r="AE22" s="16"/>
      <c r="AF22" s="57">
        <f t="shared" si="23"/>
        <v>2200</v>
      </c>
      <c r="AG22" s="57"/>
      <c r="AH22" s="16">
        <f>8000+2200</f>
        <v>10200</v>
      </c>
      <c r="AI22" s="358"/>
      <c r="AJ22" s="57"/>
      <c r="AK22" s="187"/>
      <c r="AL22" s="427"/>
      <c r="AM22" s="320" t="s">
        <v>158</v>
      </c>
      <c r="AN22" s="307" t="s">
        <v>118</v>
      </c>
      <c r="AP22" s="188"/>
      <c r="AQ22" s="187"/>
      <c r="AT22" s="188"/>
      <c r="AU22" s="187"/>
    </row>
    <row r="23" spans="1:47" x14ac:dyDescent="0.2">
      <c r="A23" s="136"/>
      <c r="B23" s="29">
        <v>2212</v>
      </c>
      <c r="C23" s="29">
        <v>217</v>
      </c>
      <c r="D23" s="207" t="s">
        <v>491</v>
      </c>
      <c r="E23" s="46"/>
      <c r="F23" s="16"/>
      <c r="G23" s="57"/>
      <c r="H23" s="186"/>
      <c r="I23" s="187"/>
      <c r="J23" s="46"/>
      <c r="K23" s="29"/>
      <c r="L23" s="57"/>
      <c r="M23" s="46"/>
      <c r="N23" s="16"/>
      <c r="O23" s="57"/>
      <c r="P23" s="57"/>
      <c r="Q23" s="46"/>
      <c r="R23" s="16"/>
      <c r="S23" s="57"/>
      <c r="T23" s="57"/>
      <c r="U23" s="46"/>
      <c r="V23" s="16"/>
      <c r="W23" s="57"/>
      <c r="X23" s="57"/>
      <c r="Y23" s="46"/>
      <c r="Z23" s="16"/>
      <c r="AA23" s="57"/>
      <c r="AB23" s="57"/>
      <c r="AC23" s="394"/>
      <c r="AD23" s="46"/>
      <c r="AE23" s="16">
        <v>150</v>
      </c>
      <c r="AF23" s="57">
        <f t="shared" si="23"/>
        <v>150</v>
      </c>
      <c r="AG23" s="57"/>
      <c r="AH23" s="16"/>
      <c r="AI23" s="358"/>
      <c r="AJ23" s="57"/>
      <c r="AK23" s="187"/>
      <c r="AL23" s="427"/>
      <c r="AM23" s="320" t="s">
        <v>158</v>
      </c>
      <c r="AN23" s="307" t="s">
        <v>118</v>
      </c>
      <c r="AP23" s="188"/>
      <c r="AQ23" s="187"/>
      <c r="AT23" s="188"/>
      <c r="AU23" s="187"/>
    </row>
    <row r="24" spans="1:47" x14ac:dyDescent="0.2">
      <c r="A24" s="136"/>
      <c r="B24" s="29">
        <v>2219</v>
      </c>
      <c r="C24" s="29">
        <v>43</v>
      </c>
      <c r="D24" s="207" t="s">
        <v>122</v>
      </c>
      <c r="E24" s="46">
        <v>35</v>
      </c>
      <c r="F24" s="16">
        <v>170</v>
      </c>
      <c r="G24" s="57">
        <f>E24+F24</f>
        <v>205</v>
      </c>
      <c r="H24" s="186"/>
      <c r="I24" s="187"/>
      <c r="J24" s="46">
        <f t="shared" ref="J24:K27" si="28">E24+H24</f>
        <v>35</v>
      </c>
      <c r="K24" s="29">
        <f t="shared" si="28"/>
        <v>170</v>
      </c>
      <c r="L24" s="57">
        <f>SUM(J24:K24)</f>
        <v>205</v>
      </c>
      <c r="M24" s="46"/>
      <c r="N24" s="16"/>
      <c r="O24" s="57">
        <f>M24+N24</f>
        <v>0</v>
      </c>
      <c r="P24" s="57">
        <f>O24/$L24*100</f>
        <v>0</v>
      </c>
      <c r="Q24" s="46">
        <v>25.28</v>
      </c>
      <c r="R24" s="16"/>
      <c r="S24" s="57">
        <f>Q24+R24</f>
        <v>25.28</v>
      </c>
      <c r="T24" s="57">
        <f>S24/$L24*100</f>
        <v>12.331707317073173</v>
      </c>
      <c r="U24" s="46">
        <v>25.28</v>
      </c>
      <c r="V24" s="16"/>
      <c r="W24" s="57">
        <f>U24+V24</f>
        <v>25.28</v>
      </c>
      <c r="X24" s="57">
        <f>W24/$L24*100</f>
        <v>12.331707317073173</v>
      </c>
      <c r="Y24" s="46">
        <f>194.41836-Z24</f>
        <v>32.379999999999995</v>
      </c>
      <c r="Z24" s="16">
        <v>162.03836000000001</v>
      </c>
      <c r="AA24" s="57">
        <f>Y24+Z24</f>
        <v>194.41836000000001</v>
      </c>
      <c r="AB24" s="57">
        <f>AA24/$L24*100</f>
        <v>94.838224390243909</v>
      </c>
      <c r="AC24" s="394">
        <f t="shared" si="22"/>
        <v>10.581639999999993</v>
      </c>
      <c r="AD24" s="46">
        <v>35</v>
      </c>
      <c r="AE24" s="16"/>
      <c r="AF24" s="57">
        <f>AD24+AE24</f>
        <v>35</v>
      </c>
      <c r="AG24" s="57">
        <f t="shared" si="25"/>
        <v>17.073170731707318</v>
      </c>
      <c r="AH24" s="16">
        <v>35</v>
      </c>
      <c r="AI24" s="358">
        <f>AH24/G24</f>
        <v>0.17073170731707318</v>
      </c>
      <c r="AJ24" s="57"/>
      <c r="AK24" s="187"/>
      <c r="AL24" s="427">
        <f>L24-AK24</f>
        <v>205</v>
      </c>
      <c r="AM24" s="325" t="s">
        <v>157</v>
      </c>
      <c r="AN24" s="308" t="s">
        <v>287</v>
      </c>
      <c r="AP24" s="188">
        <f t="shared" si="26"/>
        <v>35</v>
      </c>
      <c r="AQ24" s="487">
        <f t="shared" si="27"/>
        <v>170</v>
      </c>
      <c r="AT24" s="188">
        <f t="shared" si="1"/>
        <v>0</v>
      </c>
      <c r="AU24" s="187">
        <f t="shared" si="2"/>
        <v>0</v>
      </c>
    </row>
    <row r="25" spans="1:47" x14ac:dyDescent="0.2">
      <c r="A25" s="136"/>
      <c r="B25" s="29">
        <v>2219</v>
      </c>
      <c r="C25" s="29">
        <v>46</v>
      </c>
      <c r="D25" s="207" t="s">
        <v>303</v>
      </c>
      <c r="E25" s="46"/>
      <c r="F25" s="16">
        <v>500</v>
      </c>
      <c r="G25" s="57">
        <f>E25+F25</f>
        <v>500</v>
      </c>
      <c r="H25" s="186"/>
      <c r="I25" s="187"/>
      <c r="J25" s="46">
        <f t="shared" si="28"/>
        <v>0</v>
      </c>
      <c r="K25" s="29">
        <f t="shared" si="28"/>
        <v>500</v>
      </c>
      <c r="L25" s="57">
        <f>SUM(J25:K25)</f>
        <v>500</v>
      </c>
      <c r="M25" s="46"/>
      <c r="N25" s="16"/>
      <c r="O25" s="57">
        <f>M25+N25</f>
        <v>0</v>
      </c>
      <c r="P25" s="57">
        <f>O25/$L25*100</f>
        <v>0</v>
      </c>
      <c r="Q25" s="46"/>
      <c r="R25" s="16">
        <v>19.844000000000001</v>
      </c>
      <c r="S25" s="57">
        <f>Q25+R25</f>
        <v>19.844000000000001</v>
      </c>
      <c r="T25" s="57">
        <f>S25/$L25*100</f>
        <v>3.9687999999999999</v>
      </c>
      <c r="U25" s="46"/>
      <c r="V25" s="16">
        <v>19.844000000000001</v>
      </c>
      <c r="W25" s="57">
        <f>U25+V25</f>
        <v>19.844000000000001</v>
      </c>
      <c r="X25" s="57">
        <f>W25/$L25*100</f>
        <v>3.9687999999999999</v>
      </c>
      <c r="Y25" s="46"/>
      <c r="Z25" s="16">
        <v>79.843999999999994</v>
      </c>
      <c r="AA25" s="57">
        <f>Y25+Z25</f>
        <v>79.843999999999994</v>
      </c>
      <c r="AB25" s="57">
        <f>AA25/$L25*100</f>
        <v>15.9688</v>
      </c>
      <c r="AC25" s="394">
        <f t="shared" si="22"/>
        <v>420.15600000000001</v>
      </c>
      <c r="AD25" s="46"/>
      <c r="AE25" s="16">
        <v>250</v>
      </c>
      <c r="AF25" s="57">
        <f>AD25+AE25</f>
        <v>250</v>
      </c>
      <c r="AG25" s="57">
        <f t="shared" si="25"/>
        <v>50</v>
      </c>
      <c r="AH25" s="16">
        <v>250</v>
      </c>
      <c r="AI25" s="358">
        <f>AH25/G25</f>
        <v>0.5</v>
      </c>
      <c r="AJ25" s="57" t="s">
        <v>502</v>
      </c>
      <c r="AK25" s="187"/>
      <c r="AL25" s="427">
        <f>L25-AK25</f>
        <v>500</v>
      </c>
      <c r="AM25" s="320" t="s">
        <v>505</v>
      </c>
      <c r="AN25" s="307" t="s">
        <v>118</v>
      </c>
      <c r="AP25" s="188">
        <f t="shared" si="26"/>
        <v>0</v>
      </c>
      <c r="AQ25" s="524">
        <v>100</v>
      </c>
      <c r="AT25" s="188">
        <f t="shared" si="1"/>
        <v>0</v>
      </c>
      <c r="AU25" s="187">
        <f t="shared" si="2"/>
        <v>-400</v>
      </c>
    </row>
    <row r="26" spans="1:47" x14ac:dyDescent="0.2">
      <c r="A26" s="136"/>
      <c r="B26" s="29">
        <v>2219</v>
      </c>
      <c r="C26" s="29">
        <v>49</v>
      </c>
      <c r="D26" s="207" t="s">
        <v>492</v>
      </c>
      <c r="E26" s="46"/>
      <c r="F26" s="16"/>
      <c r="G26" s="57"/>
      <c r="H26" s="186"/>
      <c r="I26" s="187"/>
      <c r="J26" s="46"/>
      <c r="K26" s="29"/>
      <c r="L26" s="57"/>
      <c r="M26" s="46"/>
      <c r="N26" s="16"/>
      <c r="O26" s="57"/>
      <c r="P26" s="57"/>
      <c r="Q26" s="46"/>
      <c r="R26" s="16"/>
      <c r="S26" s="57"/>
      <c r="T26" s="57"/>
      <c r="U26" s="46"/>
      <c r="V26" s="16"/>
      <c r="W26" s="57"/>
      <c r="X26" s="57"/>
      <c r="Y26" s="46"/>
      <c r="Z26" s="16"/>
      <c r="AA26" s="57"/>
      <c r="AB26" s="57"/>
      <c r="AC26" s="394"/>
      <c r="AD26" s="46"/>
      <c r="AE26" s="16">
        <v>150</v>
      </c>
      <c r="AF26" s="57">
        <f>AD26+AE26</f>
        <v>150</v>
      </c>
      <c r="AG26" s="57"/>
      <c r="AH26" s="16"/>
      <c r="AI26" s="358"/>
      <c r="AJ26" s="57"/>
      <c r="AK26" s="187"/>
      <c r="AL26" s="427"/>
      <c r="AM26" s="320" t="s">
        <v>505</v>
      </c>
      <c r="AN26" s="307" t="s">
        <v>118</v>
      </c>
      <c r="AP26" s="188"/>
      <c r="AQ26" s="524"/>
      <c r="AT26" s="188"/>
      <c r="AU26" s="187"/>
    </row>
    <row r="27" spans="1:47" x14ac:dyDescent="0.2">
      <c r="A27" s="136"/>
      <c r="B27" s="29">
        <v>2219</v>
      </c>
      <c r="C27" s="29">
        <v>48</v>
      </c>
      <c r="D27" s="207" t="s">
        <v>346</v>
      </c>
      <c r="E27" s="46"/>
      <c r="F27" s="16">
        <f>2800+105</f>
        <v>2905</v>
      </c>
      <c r="G27" s="57">
        <f>E27+F27</f>
        <v>2905</v>
      </c>
      <c r="H27" s="186"/>
      <c r="I27" s="187"/>
      <c r="J27" s="46">
        <f t="shared" si="28"/>
        <v>0</v>
      </c>
      <c r="K27" s="29">
        <f t="shared" si="28"/>
        <v>2905</v>
      </c>
      <c r="L27" s="57">
        <f>SUM(J27:K27)</f>
        <v>2905</v>
      </c>
      <c r="M27" s="46"/>
      <c r="N27" s="16"/>
      <c r="O27" s="57">
        <f>M27+N27</f>
        <v>0</v>
      </c>
      <c r="P27" s="57"/>
      <c r="Q27" s="46"/>
      <c r="R27" s="16">
        <v>271.11500000000001</v>
      </c>
      <c r="S27" s="57">
        <f>Q27+R27</f>
        <v>271.11500000000001</v>
      </c>
      <c r="T27" s="57"/>
      <c r="U27" s="46">
        <v>-19.704999999999998</v>
      </c>
      <c r="V27" s="16">
        <v>271.11500000000001</v>
      </c>
      <c r="W27" s="57">
        <f>U27+V27</f>
        <v>251.41000000000003</v>
      </c>
      <c r="X27" s="57">
        <f>W27/$L27*100</f>
        <v>8.6543889845094668</v>
      </c>
      <c r="Y27" s="46"/>
      <c r="Z27" s="16">
        <v>2861.6894900000002</v>
      </c>
      <c r="AA27" s="57">
        <f>Y27+Z27</f>
        <v>2861.6894900000002</v>
      </c>
      <c r="AB27" s="57">
        <f>AA27/$L27*100</f>
        <v>98.509104647160072</v>
      </c>
      <c r="AC27" s="394">
        <f t="shared" si="22"/>
        <v>43.310509999999795</v>
      </c>
      <c r="AD27" s="46"/>
      <c r="AE27" s="16"/>
      <c r="AF27" s="57">
        <f>AD27+AE27</f>
        <v>0</v>
      </c>
      <c r="AG27" s="57">
        <f t="shared" si="25"/>
        <v>0</v>
      </c>
      <c r="AH27" s="16">
        <v>4500</v>
      </c>
      <c r="AI27" s="358">
        <f>AH27/G27</f>
        <v>1.5490533562822719</v>
      </c>
      <c r="AJ27" s="57"/>
      <c r="AK27" s="187"/>
      <c r="AL27" s="427"/>
      <c r="AM27" s="320" t="s">
        <v>158</v>
      </c>
      <c r="AN27" s="307" t="s">
        <v>118</v>
      </c>
      <c r="AP27" s="188">
        <f t="shared" si="26"/>
        <v>0</v>
      </c>
      <c r="AQ27" s="522">
        <f>V27+105+20+1800</f>
        <v>2196.1149999999998</v>
      </c>
      <c r="AR27" s="525" t="s">
        <v>433</v>
      </c>
      <c r="AT27" s="188">
        <f t="shared" si="1"/>
        <v>0</v>
      </c>
      <c r="AU27" s="522">
        <f t="shared" si="2"/>
        <v>-708.88500000000022</v>
      </c>
    </row>
    <row r="28" spans="1:47" x14ac:dyDescent="0.2">
      <c r="A28" s="136"/>
      <c r="B28" s="29">
        <v>2292</v>
      </c>
      <c r="C28" s="29">
        <v>204</v>
      </c>
      <c r="D28" s="207" t="s">
        <v>119</v>
      </c>
      <c r="E28" s="46">
        <v>487</v>
      </c>
      <c r="F28" s="16"/>
      <c r="G28" s="57">
        <f t="shared" si="12"/>
        <v>487</v>
      </c>
      <c r="H28" s="186"/>
      <c r="I28" s="187"/>
      <c r="J28" s="46">
        <f>E28+H28</f>
        <v>487</v>
      </c>
      <c r="K28" s="29">
        <f>F28+I28</f>
        <v>0</v>
      </c>
      <c r="L28" s="57">
        <f t="shared" si="14"/>
        <v>487</v>
      </c>
      <c r="M28" s="46">
        <v>124.08750000000001</v>
      </c>
      <c r="N28" s="16"/>
      <c r="O28" s="57">
        <f t="shared" si="15"/>
        <v>124.08750000000001</v>
      </c>
      <c r="P28" s="57">
        <f>O28/$L28*100</f>
        <v>25.479979466119097</v>
      </c>
      <c r="Q28" s="46">
        <v>248.17500000000001</v>
      </c>
      <c r="R28" s="16"/>
      <c r="S28" s="57">
        <f t="shared" si="17"/>
        <v>248.17500000000001</v>
      </c>
      <c r="T28" s="57">
        <f t="shared" si="5"/>
        <v>50.959958932238195</v>
      </c>
      <c r="U28" s="46">
        <v>372.26249999999999</v>
      </c>
      <c r="V28" s="16"/>
      <c r="W28" s="57">
        <f t="shared" si="18"/>
        <v>372.26249999999999</v>
      </c>
      <c r="X28" s="57">
        <f t="shared" si="6"/>
        <v>76.439938398357285</v>
      </c>
      <c r="Y28" s="46">
        <v>496.35</v>
      </c>
      <c r="Z28" s="16"/>
      <c r="AA28" s="57">
        <f t="shared" si="20"/>
        <v>496.35</v>
      </c>
      <c r="AB28" s="57">
        <f t="shared" si="7"/>
        <v>101.91991786447639</v>
      </c>
      <c r="AC28" s="394">
        <f t="shared" si="22"/>
        <v>-9.3500000000000227</v>
      </c>
      <c r="AD28" s="46">
        <v>486</v>
      </c>
      <c r="AE28" s="16"/>
      <c r="AF28" s="57">
        <f t="shared" si="23"/>
        <v>486</v>
      </c>
      <c r="AG28" s="57">
        <f t="shared" ref="AG28:AG39" si="29">AF28/$G28*100</f>
        <v>99.794661190965101</v>
      </c>
      <c r="AH28" s="16">
        <v>486</v>
      </c>
      <c r="AI28" s="358">
        <f t="shared" ref="AI28:AI49" si="30">AH28/G28</f>
        <v>0.99794661190965095</v>
      </c>
      <c r="AJ28" s="57" t="s">
        <v>466</v>
      </c>
      <c r="AK28" s="187"/>
      <c r="AL28" s="427">
        <f>L28-AK28</f>
        <v>487</v>
      </c>
      <c r="AM28" s="435" t="s">
        <v>197</v>
      </c>
      <c r="AN28" s="306" t="s">
        <v>71</v>
      </c>
      <c r="AP28" s="188">
        <f t="shared" si="26"/>
        <v>487</v>
      </c>
      <c r="AQ28" s="187">
        <f t="shared" si="27"/>
        <v>0</v>
      </c>
      <c r="AT28" s="188">
        <f t="shared" si="1"/>
        <v>0</v>
      </c>
      <c r="AU28" s="187">
        <f t="shared" si="2"/>
        <v>0</v>
      </c>
    </row>
    <row r="29" spans="1:47" x14ac:dyDescent="0.2">
      <c r="A29" s="136"/>
      <c r="B29" s="29">
        <v>2333</v>
      </c>
      <c r="C29" s="29">
        <v>233</v>
      </c>
      <c r="D29" s="207" t="s">
        <v>461</v>
      </c>
      <c r="E29" s="46"/>
      <c r="F29" s="16"/>
      <c r="G29" s="57"/>
      <c r="H29" s="186"/>
      <c r="I29" s="187"/>
      <c r="J29" s="46"/>
      <c r="K29" s="29"/>
      <c r="L29" s="57"/>
      <c r="M29" s="46"/>
      <c r="N29" s="16"/>
      <c r="O29" s="57"/>
      <c r="P29" s="57"/>
      <c r="Q29" s="46"/>
      <c r="R29" s="16"/>
      <c r="S29" s="57"/>
      <c r="T29" s="57"/>
      <c r="U29" s="46"/>
      <c r="V29" s="16"/>
      <c r="W29" s="57"/>
      <c r="X29" s="57"/>
      <c r="Y29" s="46"/>
      <c r="Z29" s="16"/>
      <c r="AA29" s="57"/>
      <c r="AB29" s="57"/>
      <c r="AC29" s="394">
        <f t="shared" si="22"/>
        <v>0</v>
      </c>
      <c r="AD29" s="46">
        <v>80</v>
      </c>
      <c r="AE29" s="16"/>
      <c r="AF29" s="57">
        <f t="shared" si="23"/>
        <v>80</v>
      </c>
      <c r="AG29" s="57"/>
      <c r="AH29" s="16">
        <v>80</v>
      </c>
      <c r="AI29" s="358"/>
      <c r="AJ29" s="57" t="s">
        <v>489</v>
      </c>
      <c r="AK29" s="187"/>
      <c r="AL29" s="427"/>
      <c r="AM29" s="320" t="s">
        <v>158</v>
      </c>
      <c r="AN29" s="307" t="s">
        <v>118</v>
      </c>
      <c r="AP29" s="188"/>
      <c r="AQ29" s="187"/>
      <c r="AT29" s="188"/>
      <c r="AU29" s="187"/>
    </row>
    <row r="30" spans="1:47" s="474" customFormat="1" ht="12" x14ac:dyDescent="0.2">
      <c r="A30" s="465"/>
      <c r="B30" s="35">
        <v>2321</v>
      </c>
      <c r="C30" s="466">
        <v>5103</v>
      </c>
      <c r="D30" s="418" t="s">
        <v>317</v>
      </c>
      <c r="E30" s="61">
        <v>51</v>
      </c>
      <c r="F30" s="64">
        <v>2000</v>
      </c>
      <c r="G30" s="63">
        <f t="shared" si="12"/>
        <v>2051</v>
      </c>
      <c r="H30" s="468"/>
      <c r="I30" s="194"/>
      <c r="J30" s="61">
        <f>E30+H30</f>
        <v>51</v>
      </c>
      <c r="K30" s="64">
        <f>F30+I30</f>
        <v>2000</v>
      </c>
      <c r="L30" s="63">
        <f t="shared" si="14"/>
        <v>2051</v>
      </c>
      <c r="M30" s="61"/>
      <c r="N30" s="64"/>
      <c r="O30" s="63">
        <f t="shared" si="15"/>
        <v>0</v>
      </c>
      <c r="P30" s="467">
        <f>O30/$L30*100</f>
        <v>0</v>
      </c>
      <c r="Q30" s="61"/>
      <c r="R30" s="64"/>
      <c r="S30" s="63">
        <f t="shared" si="17"/>
        <v>0</v>
      </c>
      <c r="T30" s="467">
        <f t="shared" si="5"/>
        <v>0</v>
      </c>
      <c r="U30" s="61">
        <v>50.72</v>
      </c>
      <c r="V30" s="64">
        <v>2000</v>
      </c>
      <c r="W30" s="63">
        <f t="shared" si="18"/>
        <v>2050.7199999999998</v>
      </c>
      <c r="X30" s="63">
        <f t="shared" si="6"/>
        <v>99.986348122866886</v>
      </c>
      <c r="Y30" s="61">
        <v>50.72</v>
      </c>
      <c r="Z30" s="64"/>
      <c r="AA30" s="63">
        <f t="shared" si="20"/>
        <v>50.72</v>
      </c>
      <c r="AB30" s="467">
        <f t="shared" si="7"/>
        <v>2.4729400292540222</v>
      </c>
      <c r="AC30" s="394">
        <f t="shared" si="22"/>
        <v>2000.28</v>
      </c>
      <c r="AD30" s="61">
        <v>46</v>
      </c>
      <c r="AE30" s="64">
        <v>1200</v>
      </c>
      <c r="AF30" s="63">
        <f t="shared" si="23"/>
        <v>1246</v>
      </c>
      <c r="AG30" s="63">
        <f t="shared" si="29"/>
        <v>60.750853242320822</v>
      </c>
      <c r="AH30" s="64">
        <f>46</f>
        <v>46</v>
      </c>
      <c r="AI30" s="360">
        <f t="shared" si="30"/>
        <v>2.2428083861530959E-2</v>
      </c>
      <c r="AJ30" s="63"/>
      <c r="AK30" s="469"/>
      <c r="AL30" s="470">
        <f>L30-AK30</f>
        <v>2051</v>
      </c>
      <c r="AM30" s="471" t="s">
        <v>341</v>
      </c>
      <c r="AN30" s="472" t="s">
        <v>71</v>
      </c>
      <c r="AO30" s="473"/>
      <c r="AP30" s="406">
        <f t="shared" si="26"/>
        <v>51</v>
      </c>
      <c r="AQ30" s="194">
        <v>0</v>
      </c>
      <c r="AR30" s="21"/>
      <c r="AT30" s="406">
        <f t="shared" si="1"/>
        <v>0</v>
      </c>
      <c r="AU30" s="194">
        <f t="shared" si="2"/>
        <v>-2000</v>
      </c>
    </row>
    <row r="31" spans="1:47" x14ac:dyDescent="0.2">
      <c r="A31" s="90">
        <v>31</v>
      </c>
      <c r="B31" s="32">
        <v>3100</v>
      </c>
      <c r="C31" s="32"/>
      <c r="D31" s="410" t="s">
        <v>601</v>
      </c>
      <c r="E31" s="55">
        <f t="shared" ref="E31:O31" si="31">SUM(E32:E47)</f>
        <v>13412</v>
      </c>
      <c r="F31" s="18">
        <f t="shared" si="31"/>
        <v>5470</v>
      </c>
      <c r="G31" s="56">
        <f t="shared" si="31"/>
        <v>18882</v>
      </c>
      <c r="H31" s="195">
        <f t="shared" si="31"/>
        <v>5626.2008999999998</v>
      </c>
      <c r="I31" s="196">
        <f t="shared" si="31"/>
        <v>7140.27387</v>
      </c>
      <c r="J31" s="55">
        <f t="shared" si="31"/>
        <v>19038.200899999996</v>
      </c>
      <c r="K31" s="18">
        <f t="shared" si="31"/>
        <v>12610.273870000001</v>
      </c>
      <c r="L31" s="56">
        <f t="shared" si="31"/>
        <v>31648.474769999997</v>
      </c>
      <c r="M31" s="55">
        <f t="shared" si="31"/>
        <v>1714.1453999999999</v>
      </c>
      <c r="N31" s="18">
        <f t="shared" si="31"/>
        <v>1478.2805000000001</v>
      </c>
      <c r="O31" s="56">
        <f t="shared" si="31"/>
        <v>3192.4259000000002</v>
      </c>
      <c r="P31" s="60">
        <f>O31/$L31*100</f>
        <v>10.087139817006733</v>
      </c>
      <c r="Q31" s="55">
        <f>SUM(Q32:Q47)</f>
        <v>2479.9491499999999</v>
      </c>
      <c r="R31" s="18">
        <f>SUM(R32:R47)</f>
        <v>1549.9994999999999</v>
      </c>
      <c r="S31" s="56">
        <f>SUM(S32:S47)</f>
        <v>4029.9486499999994</v>
      </c>
      <c r="T31" s="60">
        <f t="shared" si="5"/>
        <v>12.733468766779371</v>
      </c>
      <c r="U31" s="55">
        <f>SUM(U32:U47)</f>
        <v>10168.68311</v>
      </c>
      <c r="V31" s="18">
        <f>SUM(V32:V47)</f>
        <v>5109.3234099999991</v>
      </c>
      <c r="W31" s="56">
        <f>SUM(W32:W47)</f>
        <v>15278.006519999999</v>
      </c>
      <c r="X31" s="60">
        <f t="shared" si="6"/>
        <v>48.274068911789143</v>
      </c>
      <c r="Y31" s="55">
        <f>SUM(Y32:Y47)</f>
        <v>16299.76592</v>
      </c>
      <c r="Z31" s="18">
        <f>SUM(Z32:Z47)</f>
        <v>11251.4383</v>
      </c>
      <c r="AA31" s="56">
        <f>SUM(AA32:AA47)</f>
        <v>27551.204219999996</v>
      </c>
      <c r="AB31" s="60">
        <f t="shared" si="7"/>
        <v>87.053813557284414</v>
      </c>
      <c r="AC31" s="395">
        <f>SUM(AC32:AC47)</f>
        <v>4097.2705500000002</v>
      </c>
      <c r="AD31" s="55">
        <f>SUM(AD32:AD47)</f>
        <v>15257</v>
      </c>
      <c r="AE31" s="18">
        <f>SUM(AE32:AE47)</f>
        <v>15015</v>
      </c>
      <c r="AF31" s="56">
        <f>SUM(AF32:AF47)</f>
        <v>30272</v>
      </c>
      <c r="AG31" s="56">
        <f t="shared" si="29"/>
        <v>160.32199978815805</v>
      </c>
      <c r="AH31" s="18">
        <f>SUM(AH32:AH47)</f>
        <v>28829</v>
      </c>
      <c r="AI31" s="361">
        <f t="shared" si="30"/>
        <v>1.5267980086855206</v>
      </c>
      <c r="AJ31" s="56"/>
      <c r="AK31" s="196">
        <f>SUM(AK32:AK47)</f>
        <v>0</v>
      </c>
      <c r="AL31" s="430">
        <f>SUM(AL32:AL47)</f>
        <v>17727.5314</v>
      </c>
      <c r="AM31" s="321"/>
      <c r="AN31" s="74"/>
      <c r="AP31" s="195">
        <f>SUM(AP32:AP47)</f>
        <v>14690.31673</v>
      </c>
      <c r="AQ31" s="196">
        <f>SUM(AQ32:AQ47)</f>
        <v>11170</v>
      </c>
      <c r="AT31" s="195">
        <f t="shared" si="1"/>
        <v>-4347.8841699999957</v>
      </c>
      <c r="AU31" s="196">
        <f t="shared" si="2"/>
        <v>-1440.2738700000009</v>
      </c>
    </row>
    <row r="32" spans="1:47" ht="12" customHeight="1" x14ac:dyDescent="0.2">
      <c r="A32" s="136"/>
      <c r="B32" s="29">
        <v>3111</v>
      </c>
      <c r="C32" s="29">
        <v>301</v>
      </c>
      <c r="D32" s="207" t="s">
        <v>205</v>
      </c>
      <c r="E32" s="46">
        <v>1463</v>
      </c>
      <c r="F32" s="16"/>
      <c r="G32" s="57">
        <f t="shared" ref="G32:G47" si="32">E32+F32</f>
        <v>1463</v>
      </c>
      <c r="H32" s="192">
        <f>823.334+73.3824</f>
        <v>896.71639999999991</v>
      </c>
      <c r="I32" s="187"/>
      <c r="J32" s="46">
        <f t="shared" ref="J32:J46" si="33">E32+H32</f>
        <v>2359.7163999999998</v>
      </c>
      <c r="K32" s="29"/>
      <c r="L32" s="57">
        <f t="shared" ref="L32:L44" si="34">SUM(J32:K32)</f>
        <v>2359.7163999999998</v>
      </c>
      <c r="M32" s="46">
        <v>365.75</v>
      </c>
      <c r="N32" s="16"/>
      <c r="O32" s="57">
        <f t="shared" ref="O32:O47" si="35">M32+N32</f>
        <v>365.75</v>
      </c>
      <c r="P32" s="57">
        <f t="shared" ref="P32:P40" si="36">O32/$L32*100</f>
        <v>15.499743952281724</v>
      </c>
      <c r="Q32" s="46">
        <v>731.5</v>
      </c>
      <c r="R32" s="16"/>
      <c r="S32" s="57">
        <f t="shared" ref="S32:S47" si="37">Q32+R32</f>
        <v>731.5</v>
      </c>
      <c r="T32" s="57">
        <f t="shared" si="5"/>
        <v>30.999487904563448</v>
      </c>
      <c r="U32" s="46">
        <f>1097.25+73.3824+123.5001+699.8339</f>
        <v>1993.9663999999998</v>
      </c>
      <c r="V32" s="16"/>
      <c r="W32" s="57">
        <f t="shared" ref="W32:W47" si="38">U32+V32</f>
        <v>1993.9663999999998</v>
      </c>
      <c r="X32" s="57">
        <f t="shared" si="6"/>
        <v>84.500256047718281</v>
      </c>
      <c r="Y32" s="46">
        <f>1463+823.334+73.3824</f>
        <v>2359.7163999999998</v>
      </c>
      <c r="Z32" s="16"/>
      <c r="AA32" s="57">
        <f t="shared" ref="AA32:AA47" si="39">Y32+Z32</f>
        <v>2359.7163999999998</v>
      </c>
      <c r="AB32" s="57">
        <f t="shared" si="7"/>
        <v>100</v>
      </c>
      <c r="AC32" s="394">
        <f t="shared" ref="AC32:AC47" si="40">L32-AA32</f>
        <v>0</v>
      </c>
      <c r="AD32" s="46">
        <v>1415</v>
      </c>
      <c r="AE32" s="16"/>
      <c r="AF32" s="57">
        <f t="shared" ref="AF32:AF47" si="41">AD32+AE32</f>
        <v>1415</v>
      </c>
      <c r="AG32" s="57">
        <f t="shared" si="29"/>
        <v>96.719070403280924</v>
      </c>
      <c r="AH32" s="16">
        <v>1415</v>
      </c>
      <c r="AI32" s="358">
        <f t="shared" si="30"/>
        <v>0.96719070403280927</v>
      </c>
      <c r="AJ32" s="57"/>
      <c r="AK32" s="187"/>
      <c r="AL32" s="427">
        <f t="shared" ref="AL32:AL47" si="42">L32-AK32</f>
        <v>2359.7163999999998</v>
      </c>
      <c r="AM32" s="319" t="s">
        <v>198</v>
      </c>
      <c r="AN32" s="306" t="s">
        <v>71</v>
      </c>
      <c r="AP32" s="188">
        <f>J32</f>
        <v>2359.7163999999998</v>
      </c>
      <c r="AQ32" s="187">
        <f>K32</f>
        <v>0</v>
      </c>
      <c r="AT32" s="188">
        <f t="shared" si="1"/>
        <v>0</v>
      </c>
      <c r="AU32" s="187">
        <f t="shared" si="2"/>
        <v>0</v>
      </c>
    </row>
    <row r="33" spans="1:47" ht="12" customHeight="1" x14ac:dyDescent="0.2">
      <c r="A33" s="136"/>
      <c r="B33" s="29">
        <v>3111</v>
      </c>
      <c r="C33" s="29">
        <v>301</v>
      </c>
      <c r="D33" s="207" t="s">
        <v>245</v>
      </c>
      <c r="E33" s="46">
        <v>223</v>
      </c>
      <c r="F33" s="16"/>
      <c r="G33" s="57">
        <f t="shared" si="32"/>
        <v>223</v>
      </c>
      <c r="H33" s="192">
        <v>8.2279999999999998</v>
      </c>
      <c r="I33" s="187"/>
      <c r="J33" s="46">
        <f t="shared" si="33"/>
        <v>231.22800000000001</v>
      </c>
      <c r="K33" s="29"/>
      <c r="L33" s="57">
        <f t="shared" si="34"/>
        <v>231.22800000000001</v>
      </c>
      <c r="M33" s="46"/>
      <c r="N33" s="16"/>
      <c r="O33" s="57">
        <f t="shared" si="35"/>
        <v>0</v>
      </c>
      <c r="P33" s="57">
        <f t="shared" si="36"/>
        <v>0</v>
      </c>
      <c r="Q33" s="46">
        <v>0</v>
      </c>
      <c r="R33" s="16"/>
      <c r="S33" s="57">
        <f t="shared" si="37"/>
        <v>0</v>
      </c>
      <c r="T33" s="57">
        <f t="shared" si="5"/>
        <v>0</v>
      </c>
      <c r="U33" s="46">
        <v>231.22800000000001</v>
      </c>
      <c r="V33" s="16"/>
      <c r="W33" s="57">
        <f t="shared" si="38"/>
        <v>231.22800000000001</v>
      </c>
      <c r="X33" s="57">
        <f t="shared" si="6"/>
        <v>100</v>
      </c>
      <c r="Y33" s="46">
        <v>231.22800000000001</v>
      </c>
      <c r="Z33" s="16"/>
      <c r="AA33" s="57">
        <f t="shared" si="39"/>
        <v>231.22800000000001</v>
      </c>
      <c r="AB33" s="57">
        <f t="shared" si="7"/>
        <v>100</v>
      </c>
      <c r="AC33" s="394">
        <f t="shared" si="40"/>
        <v>0</v>
      </c>
      <c r="AD33" s="46">
        <v>231</v>
      </c>
      <c r="AE33" s="16"/>
      <c r="AF33" s="57">
        <f t="shared" si="41"/>
        <v>231</v>
      </c>
      <c r="AG33" s="57">
        <f t="shared" si="29"/>
        <v>103.58744394618836</v>
      </c>
      <c r="AH33" s="16">
        <v>231</v>
      </c>
      <c r="AI33" s="358">
        <f t="shared" si="30"/>
        <v>1.0358744394618835</v>
      </c>
      <c r="AJ33" s="57"/>
      <c r="AK33" s="187"/>
      <c r="AL33" s="427">
        <f t="shared" si="42"/>
        <v>231.22800000000001</v>
      </c>
      <c r="AM33" s="319" t="s">
        <v>198</v>
      </c>
      <c r="AN33" s="306" t="s">
        <v>71</v>
      </c>
      <c r="AP33" s="188">
        <f t="shared" ref="AP33:AP47" si="43">J33</f>
        <v>231.22800000000001</v>
      </c>
      <c r="AQ33" s="187">
        <f t="shared" ref="AQ33:AQ47" si="44">K33</f>
        <v>0</v>
      </c>
      <c r="AT33" s="188">
        <f t="shared" si="1"/>
        <v>0</v>
      </c>
      <c r="AU33" s="187">
        <f t="shared" si="2"/>
        <v>0</v>
      </c>
    </row>
    <row r="34" spans="1:47" ht="12" customHeight="1" x14ac:dyDescent="0.2">
      <c r="A34" s="136"/>
      <c r="B34" s="29">
        <v>3111</v>
      </c>
      <c r="C34" s="29" t="s">
        <v>412</v>
      </c>
      <c r="D34" s="207" t="s">
        <v>381</v>
      </c>
      <c r="E34" s="46"/>
      <c r="F34" s="16">
        <v>300</v>
      </c>
      <c r="G34" s="57">
        <f t="shared" si="32"/>
        <v>300</v>
      </c>
      <c r="H34" s="186"/>
      <c r="I34" s="187"/>
      <c r="J34" s="46"/>
      <c r="K34" s="29">
        <f>F34+I34</f>
        <v>300</v>
      </c>
      <c r="L34" s="57">
        <f t="shared" si="34"/>
        <v>300</v>
      </c>
      <c r="M34" s="46"/>
      <c r="N34" s="16"/>
      <c r="O34" s="57">
        <f t="shared" si="35"/>
        <v>0</v>
      </c>
      <c r="P34" s="57"/>
      <c r="Q34" s="46"/>
      <c r="R34" s="16"/>
      <c r="S34" s="57">
        <f t="shared" si="37"/>
        <v>0</v>
      </c>
      <c r="T34" s="57"/>
      <c r="U34" s="46"/>
      <c r="V34" s="16">
        <v>106.389</v>
      </c>
      <c r="W34" s="57">
        <f t="shared" si="38"/>
        <v>106.389</v>
      </c>
      <c r="X34" s="57">
        <f t="shared" si="6"/>
        <v>35.463000000000001</v>
      </c>
      <c r="Y34" s="46"/>
      <c r="Z34" s="16">
        <v>296.38900000000001</v>
      </c>
      <c r="AA34" s="57">
        <f t="shared" si="39"/>
        <v>296.38900000000001</v>
      </c>
      <c r="AB34" s="57">
        <f t="shared" si="7"/>
        <v>98.796333333333337</v>
      </c>
      <c r="AC34" s="394">
        <f t="shared" si="40"/>
        <v>3.61099999999999</v>
      </c>
      <c r="AD34" s="46">
        <v>4500</v>
      </c>
      <c r="AE34" s="16"/>
      <c r="AF34" s="57">
        <f t="shared" si="41"/>
        <v>4500</v>
      </c>
      <c r="AG34" s="57"/>
      <c r="AH34" s="16">
        <v>4500</v>
      </c>
      <c r="AI34" s="358"/>
      <c r="AJ34" s="57"/>
      <c r="AK34" s="187"/>
      <c r="AL34" s="427"/>
      <c r="AM34" s="320" t="s">
        <v>158</v>
      </c>
      <c r="AN34" s="307" t="s">
        <v>118</v>
      </c>
      <c r="AP34" s="188">
        <f t="shared" si="43"/>
        <v>0</v>
      </c>
      <c r="AQ34" s="487">
        <f t="shared" si="44"/>
        <v>300</v>
      </c>
      <c r="AT34" s="188">
        <f t="shared" si="1"/>
        <v>0</v>
      </c>
      <c r="AU34" s="187">
        <f t="shared" si="2"/>
        <v>0</v>
      </c>
    </row>
    <row r="35" spans="1:47" x14ac:dyDescent="0.2">
      <c r="A35" s="136"/>
      <c r="B35" s="29">
        <v>3113</v>
      </c>
      <c r="C35" s="29">
        <v>300</v>
      </c>
      <c r="D35" s="207" t="s">
        <v>199</v>
      </c>
      <c r="E35" s="46">
        <f>3150+100</f>
        <v>3250</v>
      </c>
      <c r="F35" s="16"/>
      <c r="G35" s="57">
        <f t="shared" si="32"/>
        <v>3250</v>
      </c>
      <c r="H35" s="186"/>
      <c r="I35" s="187"/>
      <c r="J35" s="46">
        <f t="shared" si="33"/>
        <v>3250</v>
      </c>
      <c r="K35" s="16"/>
      <c r="L35" s="57">
        <f t="shared" si="34"/>
        <v>3250</v>
      </c>
      <c r="M35" s="46">
        <f>40.437</f>
        <v>40.436999999999998</v>
      </c>
      <c r="N35" s="16"/>
      <c r="O35" s="57">
        <f t="shared" si="35"/>
        <v>40.436999999999998</v>
      </c>
      <c r="P35" s="57">
        <f t="shared" si="36"/>
        <v>1.2442153846153845</v>
      </c>
      <c r="Q35" s="46">
        <v>76.035079999999994</v>
      </c>
      <c r="R35" s="16"/>
      <c r="S35" s="57">
        <f t="shared" si="37"/>
        <v>76.035079999999994</v>
      </c>
      <c r="T35" s="57">
        <f t="shared" si="5"/>
        <v>2.3395409230769229</v>
      </c>
      <c r="U35" s="46">
        <v>261.78532999999999</v>
      </c>
      <c r="V35" s="16"/>
      <c r="W35" s="57">
        <f t="shared" si="38"/>
        <v>261.78532999999999</v>
      </c>
      <c r="X35" s="57">
        <f t="shared" si="6"/>
        <v>8.0549332307692296</v>
      </c>
      <c r="Y35" s="46">
        <v>430.91482999999999</v>
      </c>
      <c r="Z35" s="16"/>
      <c r="AA35" s="57">
        <f t="shared" si="39"/>
        <v>430.91482999999999</v>
      </c>
      <c r="AB35" s="57">
        <f t="shared" si="7"/>
        <v>13.258917846153844</v>
      </c>
      <c r="AC35" s="394">
        <f t="shared" si="40"/>
        <v>2819.0851699999998</v>
      </c>
      <c r="AD35" s="46">
        <f>3200+100</f>
        <v>3300</v>
      </c>
      <c r="AE35" s="16"/>
      <c r="AF35" s="57">
        <f t="shared" si="41"/>
        <v>3300</v>
      </c>
      <c r="AG35" s="57">
        <f t="shared" si="29"/>
        <v>101.53846153846153</v>
      </c>
      <c r="AH35" s="16">
        <v>3800</v>
      </c>
      <c r="AI35" s="358">
        <f t="shared" si="30"/>
        <v>1.1692307692307693</v>
      </c>
      <c r="AJ35" s="57" t="s">
        <v>503</v>
      </c>
      <c r="AK35" s="187"/>
      <c r="AL35" s="427">
        <f t="shared" si="42"/>
        <v>3250</v>
      </c>
      <c r="AM35" s="320" t="s">
        <v>158</v>
      </c>
      <c r="AN35" s="307" t="s">
        <v>118</v>
      </c>
      <c r="AP35" s="485">
        <f>U35+50+50+6</f>
        <v>367.78532999999999</v>
      </c>
      <c r="AQ35" s="187">
        <f t="shared" si="44"/>
        <v>0</v>
      </c>
      <c r="AT35" s="485">
        <f t="shared" si="1"/>
        <v>-2882.2146699999998</v>
      </c>
      <c r="AU35" s="187">
        <f t="shared" si="2"/>
        <v>0</v>
      </c>
    </row>
    <row r="36" spans="1:47" ht="12.75" customHeight="1" x14ac:dyDescent="0.2">
      <c r="A36" s="136"/>
      <c r="B36" s="29">
        <v>3113</v>
      </c>
      <c r="C36" s="29">
        <v>303</v>
      </c>
      <c r="D36" s="207" t="s">
        <v>206</v>
      </c>
      <c r="E36" s="46">
        <f>1732+548-289</f>
        <v>1991</v>
      </c>
      <c r="F36" s="16"/>
      <c r="G36" s="57">
        <f t="shared" si="32"/>
        <v>1991</v>
      </c>
      <c r="H36" s="192">
        <f>1666.486+149</f>
        <v>1815.4860000000001</v>
      </c>
      <c r="I36" s="187"/>
      <c r="J36" s="46">
        <f t="shared" si="33"/>
        <v>3806.4859999999999</v>
      </c>
      <c r="K36" s="16"/>
      <c r="L36" s="57">
        <f t="shared" si="34"/>
        <v>3806.4859999999999</v>
      </c>
      <c r="M36" s="46">
        <v>497.75</v>
      </c>
      <c r="N36" s="16"/>
      <c r="O36" s="57">
        <f t="shared" si="35"/>
        <v>497.75</v>
      </c>
      <c r="P36" s="57">
        <f t="shared" si="36"/>
        <v>13.076364920296568</v>
      </c>
      <c r="Q36" s="46">
        <v>995.5</v>
      </c>
      <c r="R36" s="16"/>
      <c r="S36" s="57">
        <f t="shared" si="37"/>
        <v>995.5</v>
      </c>
      <c r="T36" s="57">
        <f t="shared" si="5"/>
        <v>26.152729840593135</v>
      </c>
      <c r="U36" s="46">
        <v>1493.25</v>
      </c>
      <c r="V36" s="16"/>
      <c r="W36" s="57">
        <f t="shared" si="38"/>
        <v>1493.25</v>
      </c>
      <c r="X36" s="57">
        <f t="shared" si="6"/>
        <v>39.229094760889701</v>
      </c>
      <c r="Y36" s="46">
        <f>1991+149+1666.486</f>
        <v>3806.4859999999999</v>
      </c>
      <c r="Z36" s="16"/>
      <c r="AA36" s="57">
        <f t="shared" si="39"/>
        <v>3806.4859999999999</v>
      </c>
      <c r="AB36" s="57">
        <f t="shared" si="7"/>
        <v>100</v>
      </c>
      <c r="AC36" s="394">
        <f t="shared" si="40"/>
        <v>0</v>
      </c>
      <c r="AD36" s="46">
        <f>1770+296</f>
        <v>2066</v>
      </c>
      <c r="AE36" s="16"/>
      <c r="AF36" s="57">
        <f t="shared" si="41"/>
        <v>2066</v>
      </c>
      <c r="AG36" s="57">
        <f t="shared" si="29"/>
        <v>103.76695128076344</v>
      </c>
      <c r="AH36" s="46">
        <f>1770+296</f>
        <v>2066</v>
      </c>
      <c r="AI36" s="358">
        <f t="shared" si="30"/>
        <v>1.0376695128076343</v>
      </c>
      <c r="AJ36" s="57" t="s">
        <v>470</v>
      </c>
      <c r="AK36" s="187"/>
      <c r="AL36" s="427">
        <f t="shared" si="42"/>
        <v>3806.4859999999999</v>
      </c>
      <c r="AM36" s="319" t="s">
        <v>198</v>
      </c>
      <c r="AN36" s="306" t="s">
        <v>71</v>
      </c>
      <c r="AP36" s="188">
        <f t="shared" si="43"/>
        <v>3806.4859999999999</v>
      </c>
      <c r="AQ36" s="187">
        <f t="shared" si="44"/>
        <v>0</v>
      </c>
      <c r="AT36" s="188">
        <f t="shared" si="1"/>
        <v>0</v>
      </c>
      <c r="AU36" s="187">
        <f t="shared" si="2"/>
        <v>0</v>
      </c>
    </row>
    <row r="37" spans="1:47" ht="12.75" customHeight="1" x14ac:dyDescent="0.2">
      <c r="A37" s="136"/>
      <c r="B37" s="29">
        <v>3113</v>
      </c>
      <c r="C37" s="29">
        <v>303</v>
      </c>
      <c r="D37" s="207" t="s">
        <v>387</v>
      </c>
      <c r="E37" s="46">
        <v>2995</v>
      </c>
      <c r="F37" s="16"/>
      <c r="G37" s="57">
        <f t="shared" si="32"/>
        <v>2995</v>
      </c>
      <c r="H37" s="192"/>
      <c r="I37" s="187"/>
      <c r="J37" s="46">
        <f>E37+H37</f>
        <v>2995</v>
      </c>
      <c r="K37" s="16"/>
      <c r="L37" s="57">
        <f>SUM(J37:K37)</f>
        <v>2995</v>
      </c>
      <c r="M37" s="46"/>
      <c r="N37" s="16"/>
      <c r="O37" s="57">
        <f t="shared" si="35"/>
        <v>0</v>
      </c>
      <c r="P37" s="57"/>
      <c r="Q37" s="46"/>
      <c r="R37" s="16"/>
      <c r="S37" s="57">
        <f t="shared" si="37"/>
        <v>0</v>
      </c>
      <c r="T37" s="57"/>
      <c r="U37" s="46">
        <v>2960.6909999999998</v>
      </c>
      <c r="V37" s="16"/>
      <c r="W37" s="57">
        <f t="shared" si="38"/>
        <v>2960.6909999999998</v>
      </c>
      <c r="X37" s="57">
        <f t="shared" si="6"/>
        <v>98.854457429048409</v>
      </c>
      <c r="Y37" s="46">
        <v>2960.6909999999998</v>
      </c>
      <c r="Z37" s="16"/>
      <c r="AA37" s="57">
        <f t="shared" si="39"/>
        <v>2960.6909999999998</v>
      </c>
      <c r="AB37" s="57">
        <f t="shared" si="7"/>
        <v>98.854457429048409</v>
      </c>
      <c r="AC37" s="394">
        <f t="shared" si="40"/>
        <v>34.309000000000196</v>
      </c>
      <c r="AD37" s="46"/>
      <c r="AE37" s="16"/>
      <c r="AF37" s="57">
        <f t="shared" si="41"/>
        <v>0</v>
      </c>
      <c r="AG37" s="57">
        <f t="shared" si="29"/>
        <v>0</v>
      </c>
      <c r="AH37" s="16"/>
      <c r="AI37" s="358"/>
      <c r="AJ37" s="57" t="s">
        <v>444</v>
      </c>
      <c r="AK37" s="187"/>
      <c r="AL37" s="427"/>
      <c r="AM37" s="319" t="s">
        <v>198</v>
      </c>
      <c r="AN37" s="306" t="s">
        <v>71</v>
      </c>
      <c r="AP37" s="188">
        <f t="shared" si="43"/>
        <v>2995</v>
      </c>
      <c r="AQ37" s="187">
        <f t="shared" si="44"/>
        <v>0</v>
      </c>
      <c r="AT37" s="188">
        <f t="shared" si="1"/>
        <v>0</v>
      </c>
      <c r="AU37" s="187">
        <f t="shared" si="2"/>
        <v>0</v>
      </c>
    </row>
    <row r="38" spans="1:47" ht="12.75" customHeight="1" x14ac:dyDescent="0.2">
      <c r="A38" s="136"/>
      <c r="B38" s="29">
        <v>3113</v>
      </c>
      <c r="C38" s="29">
        <v>303</v>
      </c>
      <c r="D38" s="207" t="s">
        <v>480</v>
      </c>
      <c r="E38" s="46"/>
      <c r="F38" s="16"/>
      <c r="G38" s="57"/>
      <c r="H38" s="192">
        <v>1465.6695</v>
      </c>
      <c r="I38" s="187">
        <v>1340.27387</v>
      </c>
      <c r="J38" s="46">
        <f>E38+H38</f>
        <v>1465.6695</v>
      </c>
      <c r="K38" s="29">
        <f>F38+I38</f>
        <v>1340.27387</v>
      </c>
      <c r="L38" s="57">
        <f>SUM(J38:K38)</f>
        <v>2805.94337</v>
      </c>
      <c r="M38" s="46"/>
      <c r="N38" s="16"/>
      <c r="O38" s="57"/>
      <c r="P38" s="57"/>
      <c r="Q38" s="46"/>
      <c r="R38" s="16"/>
      <c r="S38" s="57"/>
      <c r="T38" s="57"/>
      <c r="U38" s="46"/>
      <c r="V38" s="16"/>
      <c r="W38" s="57"/>
      <c r="X38" s="57"/>
      <c r="Y38" s="46">
        <v>1465.6695</v>
      </c>
      <c r="Z38" s="16">
        <v>1340.27387</v>
      </c>
      <c r="AA38" s="57">
        <f t="shared" si="39"/>
        <v>2805.94337</v>
      </c>
      <c r="AB38" s="57">
        <f t="shared" si="7"/>
        <v>100</v>
      </c>
      <c r="AC38" s="394">
        <f t="shared" si="40"/>
        <v>0</v>
      </c>
      <c r="AD38" s="46"/>
      <c r="AE38" s="16"/>
      <c r="AF38" s="57"/>
      <c r="AG38" s="57"/>
      <c r="AH38" s="17"/>
      <c r="AI38" s="358"/>
      <c r="AJ38" s="57" t="s">
        <v>444</v>
      </c>
      <c r="AK38" s="187"/>
      <c r="AL38" s="427"/>
      <c r="AM38" s="319" t="s">
        <v>198</v>
      </c>
      <c r="AN38" s="306" t="s">
        <v>71</v>
      </c>
      <c r="AP38" s="188"/>
      <c r="AQ38" s="187"/>
      <c r="AT38" s="188"/>
      <c r="AU38" s="187"/>
    </row>
    <row r="39" spans="1:47" x14ac:dyDescent="0.2">
      <c r="A39" s="136"/>
      <c r="B39" s="29">
        <v>3113</v>
      </c>
      <c r="C39" s="29">
        <v>303.30399999999997</v>
      </c>
      <c r="D39" s="207" t="s">
        <v>246</v>
      </c>
      <c r="E39" s="46">
        <f>462+647</f>
        <v>1109</v>
      </c>
      <c r="F39" s="16"/>
      <c r="G39" s="57">
        <f t="shared" si="32"/>
        <v>1109</v>
      </c>
      <c r="H39" s="192">
        <f>42.846+6.806</f>
        <v>49.651999999999994</v>
      </c>
      <c r="I39" s="187"/>
      <c r="J39" s="46">
        <f t="shared" si="33"/>
        <v>1158.652</v>
      </c>
      <c r="K39" s="29"/>
      <c r="L39" s="57">
        <f t="shared" si="34"/>
        <v>1158.652</v>
      </c>
      <c r="M39" s="46"/>
      <c r="N39" s="16"/>
      <c r="O39" s="57">
        <f t="shared" si="35"/>
        <v>0</v>
      </c>
      <c r="P39" s="57">
        <f t="shared" si="36"/>
        <v>0</v>
      </c>
      <c r="Q39" s="46"/>
      <c r="R39" s="16"/>
      <c r="S39" s="57">
        <f t="shared" si="37"/>
        <v>0</v>
      </c>
      <c r="T39" s="57">
        <f t="shared" si="5"/>
        <v>0</v>
      </c>
      <c r="U39" s="46">
        <f>651.668+504.846</f>
        <v>1156.5140000000001</v>
      </c>
      <c r="V39" s="16"/>
      <c r="W39" s="57">
        <f t="shared" si="38"/>
        <v>1156.5140000000001</v>
      </c>
      <c r="X39" s="57">
        <f t="shared" si="6"/>
        <v>99.815475224657618</v>
      </c>
      <c r="Y39" s="46">
        <f>653.806+504.846</f>
        <v>1158.652</v>
      </c>
      <c r="Z39" s="16"/>
      <c r="AA39" s="57">
        <f t="shared" si="39"/>
        <v>1158.652</v>
      </c>
      <c r="AB39" s="57">
        <f t="shared" si="7"/>
        <v>100</v>
      </c>
      <c r="AC39" s="394">
        <f t="shared" si="40"/>
        <v>0</v>
      </c>
      <c r="AD39" s="46">
        <f>661+462</f>
        <v>1123</v>
      </c>
      <c r="AE39" s="16"/>
      <c r="AF39" s="57">
        <f t="shared" si="41"/>
        <v>1123</v>
      </c>
      <c r="AG39" s="57">
        <f t="shared" si="29"/>
        <v>101.26239855725878</v>
      </c>
      <c r="AH39" s="46">
        <f>661+462</f>
        <v>1123</v>
      </c>
      <c r="AI39" s="358">
        <f t="shared" si="30"/>
        <v>1.0126239855725878</v>
      </c>
      <c r="AJ39" s="57"/>
      <c r="AK39" s="187"/>
      <c r="AL39" s="427">
        <f t="shared" si="42"/>
        <v>1158.652</v>
      </c>
      <c r="AM39" s="319" t="s">
        <v>198</v>
      </c>
      <c r="AN39" s="306" t="s">
        <v>71</v>
      </c>
      <c r="AP39" s="188">
        <f t="shared" si="43"/>
        <v>1158.652</v>
      </c>
      <c r="AQ39" s="187">
        <f t="shared" si="44"/>
        <v>0</v>
      </c>
      <c r="AT39" s="188">
        <f t="shared" si="1"/>
        <v>0</v>
      </c>
      <c r="AU39" s="187">
        <f t="shared" si="2"/>
        <v>0</v>
      </c>
    </row>
    <row r="40" spans="1:47" x14ac:dyDescent="0.2">
      <c r="A40" s="136"/>
      <c r="B40" s="29">
        <v>3113</v>
      </c>
      <c r="C40" s="29">
        <v>304</v>
      </c>
      <c r="D40" s="207" t="s">
        <v>207</v>
      </c>
      <c r="E40" s="46">
        <f>1484-146</f>
        <v>1338</v>
      </c>
      <c r="F40" s="16">
        <v>1550</v>
      </c>
      <c r="G40" s="57">
        <f t="shared" si="32"/>
        <v>2888</v>
      </c>
      <c r="H40" s="192">
        <v>1379.77</v>
      </c>
      <c r="I40" s="187"/>
      <c r="J40" s="46">
        <f t="shared" si="33"/>
        <v>2717.77</v>
      </c>
      <c r="K40" s="29">
        <f>F40+I40</f>
        <v>1550</v>
      </c>
      <c r="L40" s="57">
        <f t="shared" si="34"/>
        <v>4267.7700000000004</v>
      </c>
      <c r="M40" s="46">
        <v>334.5</v>
      </c>
      <c r="N40" s="16">
        <v>1478.2805000000001</v>
      </c>
      <c r="O40" s="57">
        <f t="shared" si="35"/>
        <v>1812.7805000000001</v>
      </c>
      <c r="P40" s="57">
        <f t="shared" si="36"/>
        <v>42.476058925387264</v>
      </c>
      <c r="Q40" s="46">
        <v>669</v>
      </c>
      <c r="R40" s="16">
        <v>1549.9994999999999</v>
      </c>
      <c r="S40" s="57">
        <f t="shared" si="37"/>
        <v>2218.9994999999999</v>
      </c>
      <c r="T40" s="57">
        <f t="shared" si="5"/>
        <v>51.994355365917087</v>
      </c>
      <c r="U40" s="46">
        <v>1003.5</v>
      </c>
      <c r="V40" s="16">
        <v>1549.9994999999999</v>
      </c>
      <c r="W40" s="57">
        <f t="shared" si="38"/>
        <v>2553.4994999999999</v>
      </c>
      <c r="X40" s="57">
        <f t="shared" si="6"/>
        <v>59.832172305442874</v>
      </c>
      <c r="Y40" s="46">
        <f>1338+1379.77</f>
        <v>2717.77</v>
      </c>
      <c r="Z40" s="16">
        <v>1549.9994999999999</v>
      </c>
      <c r="AA40" s="57">
        <f t="shared" si="39"/>
        <v>4267.7695000000003</v>
      </c>
      <c r="AB40" s="57">
        <f t="shared" si="7"/>
        <v>99.99998828427961</v>
      </c>
      <c r="AC40" s="394">
        <f t="shared" si="40"/>
        <v>5.0000000010186341E-4</v>
      </c>
      <c r="AD40" s="46">
        <v>1431</v>
      </c>
      <c r="AE40" s="16"/>
      <c r="AF40" s="57">
        <f t="shared" si="41"/>
        <v>1431</v>
      </c>
      <c r="AG40" s="57">
        <f t="shared" ref="AG40:AG49" si="45">AF40/$G40*100</f>
        <v>49.54986149584488</v>
      </c>
      <c r="AH40" s="16">
        <v>1431</v>
      </c>
      <c r="AI40" s="358">
        <f t="shared" si="30"/>
        <v>0.49549861495844877</v>
      </c>
      <c r="AJ40" s="57" t="s">
        <v>504</v>
      </c>
      <c r="AK40" s="187"/>
      <c r="AL40" s="427">
        <f t="shared" si="42"/>
        <v>4267.7700000000004</v>
      </c>
      <c r="AM40" s="319" t="s">
        <v>198</v>
      </c>
      <c r="AN40" s="306" t="s">
        <v>71</v>
      </c>
      <c r="AP40" s="188">
        <f t="shared" si="43"/>
        <v>2717.77</v>
      </c>
      <c r="AQ40" s="187">
        <f t="shared" si="44"/>
        <v>1550</v>
      </c>
      <c r="AT40" s="188">
        <f t="shared" si="1"/>
        <v>0</v>
      </c>
      <c r="AU40" s="187">
        <f t="shared" si="2"/>
        <v>0</v>
      </c>
    </row>
    <row r="41" spans="1:47" x14ac:dyDescent="0.2">
      <c r="A41" s="136"/>
      <c r="B41" s="29">
        <v>3113</v>
      </c>
      <c r="C41" s="29">
        <v>4169</v>
      </c>
      <c r="D41" s="475" t="s">
        <v>351</v>
      </c>
      <c r="E41" s="46"/>
      <c r="F41" s="16">
        <v>150</v>
      </c>
      <c r="G41" s="57">
        <f t="shared" si="32"/>
        <v>150</v>
      </c>
      <c r="H41" s="192"/>
      <c r="I41" s="187">
        <v>5800</v>
      </c>
      <c r="J41" s="46">
        <f t="shared" si="33"/>
        <v>0</v>
      </c>
      <c r="K41" s="29">
        <f>F41+I41</f>
        <v>5950</v>
      </c>
      <c r="L41" s="57">
        <f>SUM(J41:K41)</f>
        <v>5950</v>
      </c>
      <c r="M41" s="46"/>
      <c r="N41" s="16"/>
      <c r="O41" s="57">
        <f t="shared" si="35"/>
        <v>0</v>
      </c>
      <c r="P41" s="57"/>
      <c r="Q41" s="46">
        <v>22.6875</v>
      </c>
      <c r="R41" s="16"/>
      <c r="S41" s="57">
        <f t="shared" si="37"/>
        <v>22.6875</v>
      </c>
      <c r="T41" s="57"/>
      <c r="U41" s="46">
        <v>93.773409999999998</v>
      </c>
      <c r="V41" s="16">
        <v>1990.2449099999999</v>
      </c>
      <c r="W41" s="57">
        <f t="shared" si="38"/>
        <v>2084.0183199999997</v>
      </c>
      <c r="X41" s="57">
        <f t="shared" si="6"/>
        <v>35.025517983193275</v>
      </c>
      <c r="Y41" s="46">
        <v>93.773409999999998</v>
      </c>
      <c r="Z41" s="16">
        <v>4791.2294099999999</v>
      </c>
      <c r="AA41" s="57">
        <f t="shared" si="39"/>
        <v>4885.0028199999997</v>
      </c>
      <c r="AB41" s="57">
        <f t="shared" si="7"/>
        <v>82.100887731092428</v>
      </c>
      <c r="AC41" s="394">
        <f t="shared" si="40"/>
        <v>1064.9971800000003</v>
      </c>
      <c r="AD41" s="46">
        <v>150</v>
      </c>
      <c r="AE41" s="16">
        <f>12450+1065+100</f>
        <v>13615</v>
      </c>
      <c r="AF41" s="57">
        <f t="shared" si="41"/>
        <v>13765</v>
      </c>
      <c r="AG41" s="57">
        <f t="shared" si="45"/>
        <v>9176.6666666666661</v>
      </c>
      <c r="AH41" s="16">
        <v>12600</v>
      </c>
      <c r="AI41" s="358">
        <f t="shared" si="30"/>
        <v>84</v>
      </c>
      <c r="AJ41" s="57"/>
      <c r="AK41" s="187"/>
      <c r="AL41" s="427"/>
      <c r="AM41" s="320" t="s">
        <v>505</v>
      </c>
      <c r="AN41" s="307" t="s">
        <v>118</v>
      </c>
      <c r="AP41" s="188">
        <f t="shared" si="43"/>
        <v>0</v>
      </c>
      <c r="AQ41" s="187">
        <f t="shared" si="44"/>
        <v>5950</v>
      </c>
      <c r="AT41" s="188">
        <f t="shared" si="1"/>
        <v>0</v>
      </c>
      <c r="AU41" s="187">
        <f t="shared" si="2"/>
        <v>0</v>
      </c>
    </row>
    <row r="42" spans="1:47" x14ac:dyDescent="0.2">
      <c r="A42" s="136"/>
      <c r="B42" s="29">
        <v>3113</v>
      </c>
      <c r="C42" s="29">
        <v>319</v>
      </c>
      <c r="D42" s="207" t="s">
        <v>493</v>
      </c>
      <c r="E42" s="46"/>
      <c r="F42" s="16"/>
      <c r="G42" s="57"/>
      <c r="H42" s="192"/>
      <c r="I42" s="187"/>
      <c r="J42" s="46"/>
      <c r="K42" s="29"/>
      <c r="L42" s="57"/>
      <c r="M42" s="46"/>
      <c r="N42" s="16"/>
      <c r="O42" s="57"/>
      <c r="P42" s="57"/>
      <c r="Q42" s="46"/>
      <c r="R42" s="16"/>
      <c r="S42" s="57"/>
      <c r="T42" s="57"/>
      <c r="U42" s="46"/>
      <c r="V42" s="16"/>
      <c r="W42" s="57"/>
      <c r="X42" s="57"/>
      <c r="Y42" s="46"/>
      <c r="Z42" s="16"/>
      <c r="AA42" s="57"/>
      <c r="AB42" s="57"/>
      <c r="AC42" s="394"/>
      <c r="AD42" s="46"/>
      <c r="AE42" s="16">
        <v>500</v>
      </c>
      <c r="AF42" s="57">
        <f t="shared" si="41"/>
        <v>500</v>
      </c>
      <c r="AG42" s="57"/>
      <c r="AH42" s="16"/>
      <c r="AI42" s="358"/>
      <c r="AJ42" s="57" t="s">
        <v>494</v>
      </c>
      <c r="AK42" s="187"/>
      <c r="AL42" s="427"/>
      <c r="AM42" s="320" t="s">
        <v>505</v>
      </c>
      <c r="AN42" s="307" t="s">
        <v>118</v>
      </c>
      <c r="AP42" s="188"/>
      <c r="AQ42" s="187"/>
      <c r="AT42" s="188"/>
      <c r="AU42" s="187"/>
    </row>
    <row r="43" spans="1:47" x14ac:dyDescent="0.2">
      <c r="A43" s="136"/>
      <c r="B43" s="29">
        <v>3119</v>
      </c>
      <c r="C43" s="29">
        <v>1112</v>
      </c>
      <c r="D43" s="207" t="s">
        <v>258</v>
      </c>
      <c r="E43" s="46">
        <v>160</v>
      </c>
      <c r="F43" s="16"/>
      <c r="G43" s="57">
        <f t="shared" si="32"/>
        <v>160</v>
      </c>
      <c r="H43" s="186"/>
      <c r="I43" s="187"/>
      <c r="J43" s="46">
        <f t="shared" si="33"/>
        <v>160</v>
      </c>
      <c r="K43" s="29"/>
      <c r="L43" s="57">
        <f>SUM(J43:K43)</f>
        <v>160</v>
      </c>
      <c r="M43" s="46"/>
      <c r="N43" s="16"/>
      <c r="O43" s="57">
        <f t="shared" si="35"/>
        <v>0</v>
      </c>
      <c r="P43" s="57">
        <f t="shared" ref="P43:P49" si="46">O43/$L43*100</f>
        <v>0</v>
      </c>
      <c r="Q43" s="46">
        <v>80</v>
      </c>
      <c r="R43" s="16"/>
      <c r="S43" s="57">
        <f t="shared" si="37"/>
        <v>80</v>
      </c>
      <c r="T43" s="57">
        <f t="shared" si="5"/>
        <v>50</v>
      </c>
      <c r="U43" s="46">
        <v>160</v>
      </c>
      <c r="V43" s="16"/>
      <c r="W43" s="57">
        <f t="shared" si="38"/>
        <v>160</v>
      </c>
      <c r="X43" s="57">
        <f t="shared" si="6"/>
        <v>100</v>
      </c>
      <c r="Y43" s="46">
        <v>160</v>
      </c>
      <c r="Z43" s="16"/>
      <c r="AA43" s="57">
        <f t="shared" si="39"/>
        <v>160</v>
      </c>
      <c r="AB43" s="57">
        <f t="shared" si="7"/>
        <v>100</v>
      </c>
      <c r="AC43" s="394">
        <f t="shared" si="40"/>
        <v>0</v>
      </c>
      <c r="AD43" s="46">
        <v>160</v>
      </c>
      <c r="AE43" s="16"/>
      <c r="AF43" s="57">
        <f t="shared" si="41"/>
        <v>160</v>
      </c>
      <c r="AG43" s="57">
        <f t="shared" si="45"/>
        <v>100</v>
      </c>
      <c r="AH43" s="16">
        <v>160</v>
      </c>
      <c r="AI43" s="358">
        <f t="shared" si="30"/>
        <v>1</v>
      </c>
      <c r="AJ43" s="57" t="s">
        <v>293</v>
      </c>
      <c r="AK43" s="187"/>
      <c r="AL43" s="427">
        <f t="shared" si="42"/>
        <v>160</v>
      </c>
      <c r="AM43" s="319" t="s">
        <v>198</v>
      </c>
      <c r="AN43" s="306" t="s">
        <v>71</v>
      </c>
      <c r="AP43" s="188">
        <f t="shared" si="43"/>
        <v>160</v>
      </c>
      <c r="AQ43" s="187">
        <f t="shared" si="44"/>
        <v>0</v>
      </c>
      <c r="AT43" s="188">
        <f t="shared" si="1"/>
        <v>0</v>
      </c>
      <c r="AU43" s="187">
        <f t="shared" si="2"/>
        <v>0</v>
      </c>
    </row>
    <row r="44" spans="1:47" x14ac:dyDescent="0.2">
      <c r="A44" s="136"/>
      <c r="B44" s="29">
        <v>3141</v>
      </c>
      <c r="C44" s="29">
        <v>309</v>
      </c>
      <c r="D44" s="207" t="s">
        <v>268</v>
      </c>
      <c r="E44" s="46">
        <v>600</v>
      </c>
      <c r="F44" s="16">
        <v>1600</v>
      </c>
      <c r="G44" s="57">
        <f t="shared" si="32"/>
        <v>2200</v>
      </c>
      <c r="H44" s="186"/>
      <c r="I44" s="187"/>
      <c r="J44" s="46">
        <f t="shared" si="33"/>
        <v>600</v>
      </c>
      <c r="K44" s="29">
        <f>F44+I44</f>
        <v>1600</v>
      </c>
      <c r="L44" s="57">
        <f t="shared" si="34"/>
        <v>2200</v>
      </c>
      <c r="M44" s="46">
        <v>403.07440000000003</v>
      </c>
      <c r="N44" s="16"/>
      <c r="O44" s="57">
        <f t="shared" si="35"/>
        <v>403.07440000000003</v>
      </c>
      <c r="P44" s="57">
        <f t="shared" si="46"/>
        <v>18.321563636363638</v>
      </c>
      <c r="Q44" s="46">
        <v>-232.27342999999999</v>
      </c>
      <c r="R44" s="16"/>
      <c r="S44" s="57">
        <f t="shared" si="37"/>
        <v>-232.27342999999999</v>
      </c>
      <c r="T44" s="57">
        <f t="shared" si="5"/>
        <v>-10.55788318181818</v>
      </c>
      <c r="U44" s="46">
        <f>2046.09597-V44</f>
        <v>583.40597000000002</v>
      </c>
      <c r="V44" s="16">
        <v>1462.69</v>
      </c>
      <c r="W44" s="57">
        <f t="shared" si="38"/>
        <v>2046.0959700000001</v>
      </c>
      <c r="X44" s="57">
        <f t="shared" si="6"/>
        <v>93.004362272727278</v>
      </c>
      <c r="Y44" s="46">
        <f>2111.00777-Z44</f>
        <v>615.54578000000015</v>
      </c>
      <c r="Z44" s="16">
        <v>1495.46199</v>
      </c>
      <c r="AA44" s="57">
        <f t="shared" si="39"/>
        <v>2111.0077700000002</v>
      </c>
      <c r="AB44" s="57">
        <f t="shared" si="7"/>
        <v>95.954898636363637</v>
      </c>
      <c r="AC44" s="394">
        <f t="shared" si="40"/>
        <v>88.992229999999836</v>
      </c>
      <c r="AD44" s="46">
        <v>540</v>
      </c>
      <c r="AE44" s="16">
        <v>900</v>
      </c>
      <c r="AF44" s="57">
        <f t="shared" si="41"/>
        <v>1440</v>
      </c>
      <c r="AG44" s="57">
        <f t="shared" si="45"/>
        <v>65.454545454545453</v>
      </c>
      <c r="AH44" s="16">
        <f>770+450</f>
        <v>1220</v>
      </c>
      <c r="AI44" s="358">
        <f t="shared" si="30"/>
        <v>0.55454545454545456</v>
      </c>
      <c r="AJ44" s="57" t="s">
        <v>495</v>
      </c>
      <c r="AK44" s="187"/>
      <c r="AL44" s="427">
        <f t="shared" si="42"/>
        <v>2200</v>
      </c>
      <c r="AM44" s="319" t="s">
        <v>198</v>
      </c>
      <c r="AN44" s="311" t="s">
        <v>297</v>
      </c>
      <c r="AP44" s="188">
        <f t="shared" si="43"/>
        <v>600</v>
      </c>
      <c r="AQ44" s="486">
        <v>1500</v>
      </c>
      <c r="AT44" s="188">
        <f t="shared" si="1"/>
        <v>0</v>
      </c>
      <c r="AU44" s="187">
        <f t="shared" si="2"/>
        <v>-100</v>
      </c>
    </row>
    <row r="45" spans="1:47" x14ac:dyDescent="0.2">
      <c r="A45" s="136"/>
      <c r="B45" s="29">
        <v>3231</v>
      </c>
      <c r="C45" s="29">
        <v>310</v>
      </c>
      <c r="D45" s="207" t="s">
        <v>347</v>
      </c>
      <c r="E45" s="46">
        <v>275</v>
      </c>
      <c r="F45" s="16"/>
      <c r="G45" s="57">
        <f t="shared" si="32"/>
        <v>275</v>
      </c>
      <c r="H45" s="192">
        <v>10.276999999999999</v>
      </c>
      <c r="I45" s="187"/>
      <c r="J45" s="46">
        <f t="shared" si="33"/>
        <v>285.27699999999999</v>
      </c>
      <c r="K45" s="29">
        <f>F45+I45</f>
        <v>0</v>
      </c>
      <c r="L45" s="57">
        <f>SUM(J45:K45)</f>
        <v>285.27699999999999</v>
      </c>
      <c r="M45" s="46">
        <v>68.75</v>
      </c>
      <c r="N45" s="16"/>
      <c r="O45" s="57">
        <f t="shared" si="35"/>
        <v>68.75</v>
      </c>
      <c r="P45" s="57">
        <f t="shared" si="46"/>
        <v>24.099384107376341</v>
      </c>
      <c r="Q45" s="46">
        <v>137.5</v>
      </c>
      <c r="R45" s="16"/>
      <c r="S45" s="57">
        <f t="shared" si="37"/>
        <v>137.5</v>
      </c>
      <c r="T45" s="57">
        <f t="shared" si="5"/>
        <v>48.198768214752683</v>
      </c>
      <c r="U45" s="46">
        <f>206.25+10.277</f>
        <v>216.52699999999999</v>
      </c>
      <c r="V45" s="16"/>
      <c r="W45" s="57">
        <f t="shared" si="38"/>
        <v>216.52699999999999</v>
      </c>
      <c r="X45" s="57">
        <f t="shared" si="6"/>
        <v>75.900615892623662</v>
      </c>
      <c r="Y45" s="46">
        <f>275+10.277</f>
        <v>285.27699999999999</v>
      </c>
      <c r="Z45" s="16"/>
      <c r="AA45" s="57">
        <f t="shared" si="39"/>
        <v>285.27699999999999</v>
      </c>
      <c r="AB45" s="57">
        <f t="shared" si="7"/>
        <v>100</v>
      </c>
      <c r="AC45" s="394">
        <f t="shared" si="40"/>
        <v>0</v>
      </c>
      <c r="AD45" s="46">
        <v>275</v>
      </c>
      <c r="AE45" s="16"/>
      <c r="AF45" s="57">
        <f t="shared" si="41"/>
        <v>275</v>
      </c>
      <c r="AG45" s="57">
        <f t="shared" si="45"/>
        <v>100</v>
      </c>
      <c r="AH45" s="16">
        <v>275</v>
      </c>
      <c r="AI45" s="358">
        <f t="shared" si="30"/>
        <v>1</v>
      </c>
      <c r="AJ45" s="57"/>
      <c r="AK45" s="187"/>
      <c r="AL45" s="427">
        <f t="shared" si="42"/>
        <v>285.27699999999999</v>
      </c>
      <c r="AM45" s="319" t="s">
        <v>198</v>
      </c>
      <c r="AN45" s="306" t="s">
        <v>71</v>
      </c>
      <c r="AP45" s="188">
        <f t="shared" si="43"/>
        <v>285.27699999999999</v>
      </c>
      <c r="AQ45" s="187">
        <f t="shared" si="44"/>
        <v>0</v>
      </c>
      <c r="AT45" s="188">
        <f t="shared" si="1"/>
        <v>0</v>
      </c>
      <c r="AU45" s="187">
        <f t="shared" si="2"/>
        <v>0</v>
      </c>
    </row>
    <row r="46" spans="1:47" x14ac:dyDescent="0.2">
      <c r="A46" s="136"/>
      <c r="B46" s="29">
        <v>3231</v>
      </c>
      <c r="C46" s="29">
        <v>310</v>
      </c>
      <c r="D46" s="207" t="s">
        <v>353</v>
      </c>
      <c r="E46" s="46"/>
      <c r="F46" s="16">
        <v>1870</v>
      </c>
      <c r="G46" s="57">
        <f t="shared" si="32"/>
        <v>1870</v>
      </c>
      <c r="H46" s="186"/>
      <c r="I46" s="187"/>
      <c r="J46" s="46">
        <f t="shared" si="33"/>
        <v>0</v>
      </c>
      <c r="K46" s="29">
        <f>F46+I46</f>
        <v>1870</v>
      </c>
      <c r="L46" s="57">
        <f>SUM(J46:K46)</f>
        <v>1870</v>
      </c>
      <c r="M46" s="46">
        <v>3.8839999999999999</v>
      </c>
      <c r="N46" s="16"/>
      <c r="O46" s="57">
        <f t="shared" si="35"/>
        <v>3.8839999999999999</v>
      </c>
      <c r="P46" s="57">
        <f t="shared" si="46"/>
        <v>0.20770053475935826</v>
      </c>
      <c r="Q46" s="46"/>
      <c r="R46" s="16">
        <v>0</v>
      </c>
      <c r="S46" s="57">
        <f t="shared" si="37"/>
        <v>0</v>
      </c>
      <c r="T46" s="57">
        <f t="shared" si="5"/>
        <v>0</v>
      </c>
      <c r="U46" s="46">
        <v>5.64</v>
      </c>
      <c r="V46" s="16"/>
      <c r="W46" s="57">
        <f t="shared" si="38"/>
        <v>5.64</v>
      </c>
      <c r="X46" s="57">
        <f t="shared" si="6"/>
        <v>0.30160427807486628</v>
      </c>
      <c r="Y46" s="46">
        <v>5.64</v>
      </c>
      <c r="Z46" s="16">
        <v>1778.0845300000001</v>
      </c>
      <c r="AA46" s="57">
        <f t="shared" si="39"/>
        <v>1783.7245300000002</v>
      </c>
      <c r="AB46" s="57">
        <f t="shared" si="7"/>
        <v>95.386338502673809</v>
      </c>
      <c r="AC46" s="394">
        <f t="shared" si="40"/>
        <v>86.275469999999814</v>
      </c>
      <c r="AD46" s="46"/>
      <c r="AE46" s="16"/>
      <c r="AF46" s="57">
        <f t="shared" si="41"/>
        <v>0</v>
      </c>
      <c r="AG46" s="57">
        <f t="shared" si="45"/>
        <v>0</v>
      </c>
      <c r="AH46" s="16"/>
      <c r="AI46" s="358">
        <f t="shared" si="30"/>
        <v>0</v>
      </c>
      <c r="AJ46" s="57" t="s">
        <v>467</v>
      </c>
      <c r="AK46" s="187"/>
      <c r="AL46" s="427"/>
      <c r="AM46" s="320" t="s">
        <v>158</v>
      </c>
      <c r="AN46" s="307" t="s">
        <v>118</v>
      </c>
      <c r="AP46" s="188">
        <f t="shared" si="43"/>
        <v>0</v>
      </c>
      <c r="AQ46" s="187">
        <f t="shared" si="44"/>
        <v>1870</v>
      </c>
      <c r="AT46" s="188">
        <f t="shared" si="1"/>
        <v>0</v>
      </c>
      <c r="AU46" s="187">
        <f t="shared" si="2"/>
        <v>0</v>
      </c>
    </row>
    <row r="47" spans="1:47" x14ac:dyDescent="0.2">
      <c r="A47" s="138"/>
      <c r="B47" s="35">
        <v>3231</v>
      </c>
      <c r="C47" s="35">
        <v>310</v>
      </c>
      <c r="D47" s="418" t="s">
        <v>247</v>
      </c>
      <c r="E47" s="61">
        <v>8</v>
      </c>
      <c r="F47" s="64"/>
      <c r="G47" s="63">
        <f t="shared" si="32"/>
        <v>8</v>
      </c>
      <c r="H47" s="528">
        <v>0.40200000000000002</v>
      </c>
      <c r="I47" s="194"/>
      <c r="J47" s="61">
        <f>E47+H47</f>
        <v>8.4019999999999992</v>
      </c>
      <c r="K47" s="35">
        <f>F47+I47</f>
        <v>0</v>
      </c>
      <c r="L47" s="63">
        <f>SUM(J47:K47)</f>
        <v>8.4019999999999992</v>
      </c>
      <c r="M47" s="61"/>
      <c r="N47" s="64"/>
      <c r="O47" s="63">
        <f t="shared" si="35"/>
        <v>0</v>
      </c>
      <c r="P47" s="63">
        <f t="shared" si="46"/>
        <v>0</v>
      </c>
      <c r="Q47" s="61">
        <v>0</v>
      </c>
      <c r="R47" s="64"/>
      <c r="S47" s="63">
        <f t="shared" si="37"/>
        <v>0</v>
      </c>
      <c r="T47" s="63">
        <f t="shared" si="5"/>
        <v>0</v>
      </c>
      <c r="U47" s="61">
        <v>8.4019999999999992</v>
      </c>
      <c r="V47" s="64"/>
      <c r="W47" s="63">
        <f t="shared" si="38"/>
        <v>8.4019999999999992</v>
      </c>
      <c r="X47" s="63">
        <f t="shared" si="6"/>
        <v>100</v>
      </c>
      <c r="Y47" s="61">
        <v>8.4019999999999992</v>
      </c>
      <c r="Z47" s="64"/>
      <c r="AA47" s="63">
        <f t="shared" si="39"/>
        <v>8.4019999999999992</v>
      </c>
      <c r="AB47" s="63">
        <f t="shared" si="7"/>
        <v>100</v>
      </c>
      <c r="AC47" s="394">
        <f t="shared" si="40"/>
        <v>0</v>
      </c>
      <c r="AD47" s="61">
        <v>66</v>
      </c>
      <c r="AE47" s="64"/>
      <c r="AF47" s="63">
        <f t="shared" si="41"/>
        <v>66</v>
      </c>
      <c r="AG47" s="63">
        <f t="shared" si="45"/>
        <v>825</v>
      </c>
      <c r="AH47" s="64">
        <v>8</v>
      </c>
      <c r="AI47" s="360">
        <f t="shared" si="30"/>
        <v>1</v>
      </c>
      <c r="AJ47" s="63"/>
      <c r="AK47" s="194"/>
      <c r="AL47" s="429">
        <f t="shared" si="42"/>
        <v>8.4019999999999992</v>
      </c>
      <c r="AM47" s="436" t="s">
        <v>198</v>
      </c>
      <c r="AN47" s="310" t="s">
        <v>71</v>
      </c>
      <c r="AP47" s="406">
        <f t="shared" si="43"/>
        <v>8.4019999999999992</v>
      </c>
      <c r="AQ47" s="194">
        <f t="shared" si="44"/>
        <v>0</v>
      </c>
      <c r="AT47" s="406">
        <f t="shared" si="1"/>
        <v>0</v>
      </c>
      <c r="AU47" s="194">
        <f t="shared" si="2"/>
        <v>0</v>
      </c>
    </row>
    <row r="48" spans="1:47" x14ac:dyDescent="0.2">
      <c r="A48" s="90">
        <v>33</v>
      </c>
      <c r="B48" s="32">
        <v>3300</v>
      </c>
      <c r="C48" s="32"/>
      <c r="D48" s="410" t="s">
        <v>72</v>
      </c>
      <c r="E48" s="55">
        <f t="shared" ref="E48:O48" si="47">SUM(E49:E60)</f>
        <v>12350</v>
      </c>
      <c r="F48" s="18">
        <f t="shared" si="47"/>
        <v>5800</v>
      </c>
      <c r="G48" s="56">
        <f t="shared" si="47"/>
        <v>18150</v>
      </c>
      <c r="H48" s="195">
        <f t="shared" si="47"/>
        <v>736.56758000000002</v>
      </c>
      <c r="I48" s="196">
        <f t="shared" si="47"/>
        <v>-293</v>
      </c>
      <c r="J48" s="55">
        <f t="shared" si="47"/>
        <v>13086.567579999999</v>
      </c>
      <c r="K48" s="18">
        <f t="shared" si="47"/>
        <v>5507</v>
      </c>
      <c r="L48" s="56">
        <f t="shared" si="47"/>
        <v>18593.567579999999</v>
      </c>
      <c r="M48" s="55">
        <f t="shared" si="47"/>
        <v>1368.2074400000001</v>
      </c>
      <c r="N48" s="18">
        <f t="shared" si="47"/>
        <v>329.46174000000002</v>
      </c>
      <c r="O48" s="56">
        <f t="shared" si="47"/>
        <v>1697.6691800000003</v>
      </c>
      <c r="P48" s="56">
        <f t="shared" si="46"/>
        <v>9.130411217189339</v>
      </c>
      <c r="Q48" s="55">
        <f>SUM(Q49:Q60)</f>
        <v>3072.8198500000003</v>
      </c>
      <c r="R48" s="18">
        <f>SUM(R49:R60)</f>
        <v>2079.3053100000002</v>
      </c>
      <c r="S48" s="56">
        <f>SUM(S49:S60)</f>
        <v>5152.1251599999996</v>
      </c>
      <c r="T48" s="56">
        <f t="shared" si="5"/>
        <v>27.70918027340722</v>
      </c>
      <c r="U48" s="55">
        <f>SUM(U49:U60)</f>
        <v>8338.981600000001</v>
      </c>
      <c r="V48" s="18">
        <f>SUM(V49:V60)</f>
        <v>3049.1241599999998</v>
      </c>
      <c r="W48" s="56">
        <f>SUM(W49:W60)</f>
        <v>11388.10576</v>
      </c>
      <c r="X48" s="56">
        <f t="shared" si="6"/>
        <v>61.247556236865009</v>
      </c>
      <c r="Y48" s="55">
        <f>SUM(Y49:Y60)</f>
        <v>12010.53111</v>
      </c>
      <c r="Z48" s="18">
        <f>SUM(Z49:Z60)</f>
        <v>3057.15933</v>
      </c>
      <c r="AA48" s="56">
        <f>SUM(AA49:AA60)</f>
        <v>15067.690439999998</v>
      </c>
      <c r="AB48" s="56">
        <f t="shared" si="7"/>
        <v>81.037113373591751</v>
      </c>
      <c r="AC48" s="395">
        <f>SUM(AC49:AC60)</f>
        <v>3525.8771399999996</v>
      </c>
      <c r="AD48" s="55">
        <f>SUM(AD49:AD60)</f>
        <v>11005</v>
      </c>
      <c r="AE48" s="18">
        <f>SUM(AE49:AE60)</f>
        <v>80</v>
      </c>
      <c r="AF48" s="56">
        <f>SUM(AF49:AF60)</f>
        <v>11085</v>
      </c>
      <c r="AG48" s="56">
        <f t="shared" si="45"/>
        <v>61.074380165289256</v>
      </c>
      <c r="AH48" s="18">
        <f>SUM(AH49:AH60)</f>
        <v>11867</v>
      </c>
      <c r="AI48" s="361">
        <f t="shared" si="30"/>
        <v>0.65382920110192833</v>
      </c>
      <c r="AJ48" s="56"/>
      <c r="AK48" s="196">
        <f>SUM(AK49:AK60)</f>
        <v>0</v>
      </c>
      <c r="AL48" s="430">
        <f>SUM(AL49:AL60)</f>
        <v>11263.567579999999</v>
      </c>
      <c r="AM48" s="321"/>
      <c r="AN48" s="74"/>
      <c r="AP48" s="195">
        <f>SUM(AP49:AP60)</f>
        <v>12386.567579999999</v>
      </c>
      <c r="AQ48" s="196">
        <f>SUM(AQ49:AQ60)</f>
        <v>5500</v>
      </c>
      <c r="AT48" s="195">
        <f t="shared" si="1"/>
        <v>-700</v>
      </c>
      <c r="AU48" s="196">
        <f t="shared" si="2"/>
        <v>-7</v>
      </c>
    </row>
    <row r="49" spans="1:198" x14ac:dyDescent="0.2">
      <c r="A49" s="136"/>
      <c r="B49" s="29">
        <v>3314</v>
      </c>
      <c r="C49" s="29">
        <v>504</v>
      </c>
      <c r="D49" s="207" t="s">
        <v>117</v>
      </c>
      <c r="E49" s="46">
        <f>1218+1297</f>
        <v>2515</v>
      </c>
      <c r="F49" s="16"/>
      <c r="G49" s="57">
        <f>E49+F49</f>
        <v>2515</v>
      </c>
      <c r="H49" s="186"/>
      <c r="I49" s="187"/>
      <c r="J49" s="46">
        <f t="shared" ref="J49:J60" si="48">E49+H49</f>
        <v>2515</v>
      </c>
      <c r="K49" s="16"/>
      <c r="L49" s="57">
        <f>SUM(J49:K49)</f>
        <v>2515</v>
      </c>
      <c r="M49" s="46">
        <f>245.62744+99.589</f>
        <v>345.21644000000003</v>
      </c>
      <c r="N49" s="16"/>
      <c r="O49" s="57">
        <f>M49+N49</f>
        <v>345.21644000000003</v>
      </c>
      <c r="P49" s="57">
        <f t="shared" si="46"/>
        <v>13.726299801192846</v>
      </c>
      <c r="Q49" s="46">
        <f>583.56033+98.069</f>
        <v>681.62932999999998</v>
      </c>
      <c r="R49" s="16"/>
      <c r="S49" s="57">
        <f>Q49+R49</f>
        <v>681.62932999999998</v>
      </c>
      <c r="T49" s="57">
        <f t="shared" si="5"/>
        <v>27.102557852882704</v>
      </c>
      <c r="U49" s="46">
        <f>922.81919+98.144</f>
        <v>1020.9631900000001</v>
      </c>
      <c r="V49" s="16"/>
      <c r="W49" s="57">
        <f>U49+V49</f>
        <v>1020.9631900000001</v>
      </c>
      <c r="X49" s="57">
        <f t="shared" si="6"/>
        <v>40.594957852882708</v>
      </c>
      <c r="Y49" s="46">
        <v>1500.3006800000001</v>
      </c>
      <c r="Z49" s="16"/>
      <c r="AA49" s="57">
        <f>Y49+Z49</f>
        <v>1500.3006800000001</v>
      </c>
      <c r="AB49" s="57">
        <f t="shared" si="7"/>
        <v>59.654102584493039</v>
      </c>
      <c r="AC49" s="394">
        <f t="shared" ref="AC49:AC60" si="49">L49-AA49</f>
        <v>1014.6993199999999</v>
      </c>
      <c r="AD49" s="46">
        <f>211+40+80+1405</f>
        <v>1736</v>
      </c>
      <c r="AE49" s="16">
        <v>80</v>
      </c>
      <c r="AF49" s="57">
        <f>AD49+AE49</f>
        <v>1816</v>
      </c>
      <c r="AG49" s="57">
        <f t="shared" si="45"/>
        <v>72.206759443339962</v>
      </c>
      <c r="AH49" s="16">
        <f>1211+1404</f>
        <v>2615</v>
      </c>
      <c r="AI49" s="358">
        <f t="shared" si="30"/>
        <v>1.0397614314115309</v>
      </c>
      <c r="AJ49" s="57"/>
      <c r="AK49" s="187"/>
      <c r="AL49" s="427">
        <f>L49-AK49</f>
        <v>2515</v>
      </c>
      <c r="AM49" s="62" t="s">
        <v>271</v>
      </c>
      <c r="AN49" s="57" t="s">
        <v>129</v>
      </c>
      <c r="AP49" s="485">
        <f>J49-1000</f>
        <v>1515</v>
      </c>
      <c r="AQ49" s="187">
        <f>K49</f>
        <v>0</v>
      </c>
      <c r="AR49" s="21" t="s">
        <v>436</v>
      </c>
      <c r="AT49" s="485">
        <f t="shared" si="1"/>
        <v>-1000</v>
      </c>
      <c r="AU49" s="187">
        <f t="shared" si="2"/>
        <v>0</v>
      </c>
    </row>
    <row r="50" spans="1:198" x14ac:dyDescent="0.2">
      <c r="A50" s="136"/>
      <c r="B50" s="29">
        <v>3315</v>
      </c>
      <c r="C50" s="29">
        <v>505</v>
      </c>
      <c r="D50" s="207" t="s">
        <v>256</v>
      </c>
      <c r="E50" s="46">
        <v>1200</v>
      </c>
      <c r="F50" s="16"/>
      <c r="G50" s="57">
        <f t="shared" ref="G50:G59" si="50">E50+F50</f>
        <v>1200</v>
      </c>
      <c r="H50" s="186"/>
      <c r="I50" s="187"/>
      <c r="J50" s="46">
        <f t="shared" si="48"/>
        <v>1200</v>
      </c>
      <c r="K50" s="16"/>
      <c r="L50" s="57">
        <f t="shared" ref="L50:L59" si="51">SUM(J50:K50)</f>
        <v>1200</v>
      </c>
      <c r="M50" s="46"/>
      <c r="N50" s="16"/>
      <c r="O50" s="57">
        <f t="shared" ref="O50:O59" si="52">M50+N50</f>
        <v>0</v>
      </c>
      <c r="P50" s="57">
        <f>O50/$L50*100</f>
        <v>0</v>
      </c>
      <c r="Q50" s="46">
        <v>0</v>
      </c>
      <c r="R50" s="16"/>
      <c r="S50" s="57">
        <f t="shared" ref="S50:S59" si="53">Q50+R50</f>
        <v>0</v>
      </c>
      <c r="T50" s="57">
        <f t="shared" ref="T50:T59" si="54">S50/$L50*100</f>
        <v>0</v>
      </c>
      <c r="U50" s="46">
        <v>1200</v>
      </c>
      <c r="V50" s="16"/>
      <c r="W50" s="57">
        <f t="shared" ref="W50:W59" si="55">U50+V50</f>
        <v>1200</v>
      </c>
      <c r="X50" s="57">
        <f>W50/$L50*100</f>
        <v>100</v>
      </c>
      <c r="Y50" s="46">
        <v>1200</v>
      </c>
      <c r="Z50" s="16"/>
      <c r="AA50" s="57">
        <f t="shared" ref="AA50:AA59" si="56">Y50+Z50</f>
        <v>1200</v>
      </c>
      <c r="AB50" s="57">
        <f t="shared" ref="AB50:AB59" si="57">AA50/$L50*100</f>
        <v>100</v>
      </c>
      <c r="AC50" s="394">
        <f t="shared" si="49"/>
        <v>0</v>
      </c>
      <c r="AD50" s="46">
        <f>1200+85</f>
        <v>1285</v>
      </c>
      <c r="AE50" s="16"/>
      <c r="AF50" s="57">
        <f t="shared" ref="AF50:AF59" si="58">AD50+AE50</f>
        <v>1285</v>
      </c>
      <c r="AG50" s="57">
        <f t="shared" ref="AG50:AG59" si="59">AF50/$G50*100</f>
        <v>107.08333333333333</v>
      </c>
      <c r="AH50" s="16">
        <v>1200</v>
      </c>
      <c r="AI50" s="358">
        <f>AH50/G50</f>
        <v>1</v>
      </c>
      <c r="AJ50" s="57" t="s">
        <v>496</v>
      </c>
      <c r="AK50" s="187"/>
      <c r="AL50" s="427">
        <f>L50-AK50</f>
        <v>1200</v>
      </c>
      <c r="AM50" s="319" t="s">
        <v>198</v>
      </c>
      <c r="AN50" s="306" t="s">
        <v>71</v>
      </c>
      <c r="AP50" s="188">
        <f t="shared" ref="AP50:AP60" si="60">J50</f>
        <v>1200</v>
      </c>
      <c r="AQ50" s="187">
        <f t="shared" ref="AQ50:AQ60" si="61">K50</f>
        <v>0</v>
      </c>
      <c r="AT50" s="188">
        <f t="shared" si="1"/>
        <v>0</v>
      </c>
      <c r="AU50" s="187">
        <f t="shared" si="2"/>
        <v>0</v>
      </c>
    </row>
    <row r="51" spans="1:198" ht="12.75" customHeight="1" x14ac:dyDescent="0.2">
      <c r="A51" s="136"/>
      <c r="B51" s="29">
        <v>3319</v>
      </c>
      <c r="C51" s="29">
        <v>106</v>
      </c>
      <c r="D51" s="207" t="s">
        <v>391</v>
      </c>
      <c r="E51" s="46">
        <f>60+53</f>
        <v>113</v>
      </c>
      <c r="F51" s="16"/>
      <c r="G51" s="57">
        <f t="shared" si="50"/>
        <v>113</v>
      </c>
      <c r="H51" s="188"/>
      <c r="I51" s="189"/>
      <c r="J51" s="46">
        <f t="shared" si="48"/>
        <v>113</v>
      </c>
      <c r="K51" s="16"/>
      <c r="L51" s="57">
        <f t="shared" si="51"/>
        <v>113</v>
      </c>
      <c r="M51" s="46"/>
      <c r="N51" s="16"/>
      <c r="O51" s="57">
        <f t="shared" si="52"/>
        <v>0</v>
      </c>
      <c r="P51" s="57"/>
      <c r="Q51" s="46">
        <v>60</v>
      </c>
      <c r="R51" s="16"/>
      <c r="S51" s="57">
        <f t="shared" si="53"/>
        <v>60</v>
      </c>
      <c r="T51" s="57">
        <f t="shared" si="54"/>
        <v>53.097345132743371</v>
      </c>
      <c r="U51" s="46">
        <v>60</v>
      </c>
      <c r="V51" s="16"/>
      <c r="W51" s="57">
        <f>U51+V51</f>
        <v>60</v>
      </c>
      <c r="X51" s="57">
        <f>W51/$L51*100</f>
        <v>53.097345132743371</v>
      </c>
      <c r="Y51" s="46">
        <f>52.943+60</f>
        <v>112.943</v>
      </c>
      <c r="Z51" s="16"/>
      <c r="AA51" s="57">
        <f t="shared" si="56"/>
        <v>112.943</v>
      </c>
      <c r="AB51" s="57">
        <f t="shared" si="57"/>
        <v>99.949557522123882</v>
      </c>
      <c r="AC51" s="394">
        <f t="shared" si="49"/>
        <v>5.700000000000216E-2</v>
      </c>
      <c r="AD51" s="46">
        <v>40</v>
      </c>
      <c r="AE51" s="16"/>
      <c r="AF51" s="57">
        <f t="shared" si="58"/>
        <v>40</v>
      </c>
      <c r="AG51" s="57">
        <f t="shared" si="59"/>
        <v>35.398230088495573</v>
      </c>
      <c r="AH51" s="16">
        <v>40</v>
      </c>
      <c r="AI51" s="358"/>
      <c r="AJ51" s="57" t="s">
        <v>472</v>
      </c>
      <c r="AK51" s="189"/>
      <c r="AL51" s="427"/>
      <c r="AM51" s="319" t="s">
        <v>198</v>
      </c>
      <c r="AN51" s="306" t="s">
        <v>71</v>
      </c>
      <c r="AP51" s="188">
        <f t="shared" si="60"/>
        <v>113</v>
      </c>
      <c r="AQ51" s="187">
        <f t="shared" si="61"/>
        <v>0</v>
      </c>
      <c r="AT51" s="188">
        <f t="shared" si="1"/>
        <v>0</v>
      </c>
      <c r="AU51" s="187">
        <f t="shared" si="2"/>
        <v>0</v>
      </c>
    </row>
    <row r="52" spans="1:198" ht="12.75" customHeight="1" x14ac:dyDescent="0.2">
      <c r="A52" s="136"/>
      <c r="B52" s="29">
        <v>3319</v>
      </c>
      <c r="C52" s="29">
        <v>112</v>
      </c>
      <c r="D52" s="207" t="s">
        <v>389</v>
      </c>
      <c r="E52" s="46">
        <v>280</v>
      </c>
      <c r="F52" s="16"/>
      <c r="G52" s="57">
        <f t="shared" si="50"/>
        <v>280</v>
      </c>
      <c r="H52" s="188"/>
      <c r="I52" s="189"/>
      <c r="J52" s="46">
        <f t="shared" si="48"/>
        <v>280</v>
      </c>
      <c r="K52" s="16"/>
      <c r="L52" s="57">
        <f t="shared" si="51"/>
        <v>280</v>
      </c>
      <c r="M52" s="46"/>
      <c r="N52" s="16"/>
      <c r="O52" s="57">
        <f t="shared" si="52"/>
        <v>0</v>
      </c>
      <c r="P52" s="57"/>
      <c r="Q52" s="46">
        <f>266+14</f>
        <v>280</v>
      </c>
      <c r="R52" s="16"/>
      <c r="S52" s="57">
        <f t="shared" si="53"/>
        <v>280</v>
      </c>
      <c r="T52" s="57">
        <f t="shared" si="54"/>
        <v>100</v>
      </c>
      <c r="U52" s="46">
        <v>280</v>
      </c>
      <c r="V52" s="16"/>
      <c r="W52" s="57">
        <f t="shared" si="55"/>
        <v>280</v>
      </c>
      <c r="X52" s="57">
        <f>W52/$L52*100</f>
        <v>100</v>
      </c>
      <c r="Y52" s="46">
        <v>279.09300000000002</v>
      </c>
      <c r="Z52" s="16"/>
      <c r="AA52" s="57">
        <f t="shared" si="56"/>
        <v>279.09300000000002</v>
      </c>
      <c r="AB52" s="57">
        <f t="shared" si="57"/>
        <v>99.676071428571433</v>
      </c>
      <c r="AC52" s="394">
        <f t="shared" si="49"/>
        <v>0.90699999999998226</v>
      </c>
      <c r="AD52" s="46">
        <v>280</v>
      </c>
      <c r="AE52" s="16"/>
      <c r="AF52" s="57">
        <f t="shared" si="58"/>
        <v>280</v>
      </c>
      <c r="AG52" s="57">
        <f t="shared" si="59"/>
        <v>100</v>
      </c>
      <c r="AH52" s="46">
        <v>280</v>
      </c>
      <c r="AI52" s="358"/>
      <c r="AJ52" s="57"/>
      <c r="AK52" s="189"/>
      <c r="AL52" s="427"/>
      <c r="AM52" s="319" t="s">
        <v>384</v>
      </c>
      <c r="AN52" s="306" t="s">
        <v>71</v>
      </c>
      <c r="AP52" s="188">
        <f t="shared" si="60"/>
        <v>280</v>
      </c>
      <c r="AQ52" s="187">
        <f t="shared" si="61"/>
        <v>0</v>
      </c>
      <c r="AT52" s="188">
        <f t="shared" si="1"/>
        <v>0</v>
      </c>
      <c r="AU52" s="187">
        <f t="shared" si="2"/>
        <v>0</v>
      </c>
    </row>
    <row r="53" spans="1:198" ht="12.75" customHeight="1" x14ac:dyDescent="0.2">
      <c r="A53" s="136"/>
      <c r="B53" s="29">
        <v>3322.3326000000002</v>
      </c>
      <c r="C53" s="29">
        <v>102</v>
      </c>
      <c r="D53" s="207" t="s">
        <v>315</v>
      </c>
      <c r="E53" s="46"/>
      <c r="F53" s="16">
        <v>5800</v>
      </c>
      <c r="G53" s="57">
        <f t="shared" si="50"/>
        <v>5800</v>
      </c>
      <c r="H53" s="186">
        <v>230</v>
      </c>
      <c r="I53" s="187">
        <v>-293</v>
      </c>
      <c r="J53" s="46">
        <f t="shared" si="48"/>
        <v>230</v>
      </c>
      <c r="K53" s="29">
        <f>F53+I53</f>
        <v>5507</v>
      </c>
      <c r="L53" s="57">
        <f t="shared" si="51"/>
        <v>5737</v>
      </c>
      <c r="M53" s="46"/>
      <c r="N53" s="16">
        <v>329.46174000000002</v>
      </c>
      <c r="O53" s="57">
        <f t="shared" si="52"/>
        <v>329.46174000000002</v>
      </c>
      <c r="P53" s="57">
        <f>O53/$L53*100</f>
        <v>5.7427530067979786</v>
      </c>
      <c r="Q53" s="46"/>
      <c r="R53" s="16">
        <v>2079.3053100000002</v>
      </c>
      <c r="S53" s="57">
        <f t="shared" si="53"/>
        <v>2079.3053100000002</v>
      </c>
      <c r="T53" s="57">
        <f t="shared" si="54"/>
        <v>36.243773923653485</v>
      </c>
      <c r="U53" s="46">
        <f>3079.16616-V53</f>
        <v>30.042000000000371</v>
      </c>
      <c r="V53" s="16">
        <f>2828.37216+171.578+49.174</f>
        <v>3049.1241599999998</v>
      </c>
      <c r="W53" s="57">
        <f t="shared" si="55"/>
        <v>3079.1661600000002</v>
      </c>
      <c r="X53" s="57">
        <f>W53/$L53*100</f>
        <v>53.672061356109467</v>
      </c>
      <c r="Y53" s="46">
        <f>3388.77061-Z53</f>
        <v>331.61128000000008</v>
      </c>
      <c r="Z53" s="16">
        <f>2836.40733+171.578+49.174</f>
        <v>3057.15933</v>
      </c>
      <c r="AA53" s="57">
        <f t="shared" si="56"/>
        <v>3388.77061</v>
      </c>
      <c r="AB53" s="57">
        <f t="shared" si="57"/>
        <v>59.068687641624543</v>
      </c>
      <c r="AC53" s="394">
        <f t="shared" si="49"/>
        <v>2348.22939</v>
      </c>
      <c r="AD53" s="46"/>
      <c r="AE53" s="16"/>
      <c r="AF53" s="57">
        <f t="shared" si="58"/>
        <v>0</v>
      </c>
      <c r="AG53" s="57">
        <f t="shared" si="59"/>
        <v>0</v>
      </c>
      <c r="AH53" s="16"/>
      <c r="AI53" s="358">
        <f>AH53/G53</f>
        <v>0</v>
      </c>
      <c r="AJ53" s="57" t="s">
        <v>444</v>
      </c>
      <c r="AK53" s="187"/>
      <c r="AL53" s="427"/>
      <c r="AM53" s="322" t="s">
        <v>354</v>
      </c>
      <c r="AN53" s="307" t="s">
        <v>118</v>
      </c>
      <c r="AP53" s="188">
        <f t="shared" si="60"/>
        <v>230</v>
      </c>
      <c r="AQ53" s="486">
        <v>5500</v>
      </c>
      <c r="AT53" s="188">
        <f t="shared" si="1"/>
        <v>0</v>
      </c>
      <c r="AU53" s="187">
        <f t="shared" si="2"/>
        <v>-7</v>
      </c>
    </row>
    <row r="54" spans="1:198" x14ac:dyDescent="0.2">
      <c r="A54" s="136"/>
      <c r="B54" s="29">
        <v>3322</v>
      </c>
      <c r="C54" s="29">
        <v>111</v>
      </c>
      <c r="D54" s="207" t="s">
        <v>342</v>
      </c>
      <c r="E54" s="46">
        <v>1200</v>
      </c>
      <c r="F54" s="16"/>
      <c r="G54" s="57">
        <f t="shared" si="50"/>
        <v>1200</v>
      </c>
      <c r="H54" s="186"/>
      <c r="I54" s="187"/>
      <c r="J54" s="46">
        <f t="shared" si="48"/>
        <v>1200</v>
      </c>
      <c r="K54" s="16"/>
      <c r="L54" s="57">
        <f t="shared" si="51"/>
        <v>1200</v>
      </c>
      <c r="M54" s="46"/>
      <c r="N54" s="16"/>
      <c r="O54" s="57">
        <f t="shared" si="52"/>
        <v>0</v>
      </c>
      <c r="P54" s="57"/>
      <c r="Q54" s="46">
        <v>0</v>
      </c>
      <c r="R54" s="16"/>
      <c r="S54" s="57">
        <f t="shared" si="53"/>
        <v>0</v>
      </c>
      <c r="T54" s="57">
        <f t="shared" si="54"/>
        <v>0</v>
      </c>
      <c r="U54" s="46">
        <v>352.69200000000001</v>
      </c>
      <c r="V54" s="16"/>
      <c r="W54" s="57">
        <f t="shared" si="55"/>
        <v>352.69200000000001</v>
      </c>
      <c r="X54" s="57">
        <f t="shared" ref="X54:X59" si="62">W54/$L54*100</f>
        <v>29.391000000000002</v>
      </c>
      <c r="Y54" s="46">
        <v>1153.6595500000001</v>
      </c>
      <c r="Z54" s="16"/>
      <c r="AA54" s="57">
        <f t="shared" si="56"/>
        <v>1153.6595500000001</v>
      </c>
      <c r="AB54" s="57">
        <f t="shared" si="57"/>
        <v>96.138295833333345</v>
      </c>
      <c r="AC54" s="394">
        <f t="shared" si="49"/>
        <v>46.340449999999919</v>
      </c>
      <c r="AD54" s="46">
        <v>206</v>
      </c>
      <c r="AE54" s="16"/>
      <c r="AF54" s="57">
        <f t="shared" si="58"/>
        <v>206</v>
      </c>
      <c r="AG54" s="57">
        <f t="shared" si="59"/>
        <v>17.166666666666668</v>
      </c>
      <c r="AH54" s="16">
        <v>120</v>
      </c>
      <c r="AI54" s="358">
        <f>AH54/G54</f>
        <v>0.1</v>
      </c>
      <c r="AJ54" s="57" t="s">
        <v>473</v>
      </c>
      <c r="AK54" s="187"/>
      <c r="AL54" s="427"/>
      <c r="AM54" s="322" t="s">
        <v>354</v>
      </c>
      <c r="AN54" s="307" t="s">
        <v>118</v>
      </c>
      <c r="AP54" s="188">
        <f t="shared" si="60"/>
        <v>1200</v>
      </c>
      <c r="AQ54" s="187">
        <f t="shared" si="61"/>
        <v>0</v>
      </c>
      <c r="AT54" s="188">
        <f t="shared" si="1"/>
        <v>0</v>
      </c>
      <c r="AU54" s="187">
        <f t="shared" si="2"/>
        <v>0</v>
      </c>
    </row>
    <row r="55" spans="1:198" x14ac:dyDescent="0.2">
      <c r="A55" s="136"/>
      <c r="B55" s="29">
        <v>3322.3326000000002</v>
      </c>
      <c r="C55" s="29" t="s">
        <v>250</v>
      </c>
      <c r="D55" s="207" t="s">
        <v>143</v>
      </c>
      <c r="E55" s="46">
        <v>2200</v>
      </c>
      <c r="F55" s="16"/>
      <c r="G55" s="57">
        <f t="shared" si="50"/>
        <v>2200</v>
      </c>
      <c r="H55" s="186">
        <f>165+293</f>
        <v>458</v>
      </c>
      <c r="I55" s="187"/>
      <c r="J55" s="46">
        <f t="shared" si="48"/>
        <v>2658</v>
      </c>
      <c r="K55" s="16"/>
      <c r="L55" s="57">
        <f t="shared" si="51"/>
        <v>2658</v>
      </c>
      <c r="M55" s="46">
        <v>25</v>
      </c>
      <c r="N55" s="16"/>
      <c r="O55" s="57">
        <f t="shared" si="52"/>
        <v>25</v>
      </c>
      <c r="P55" s="57">
        <f>O55/$L55*100</f>
        <v>0.94055680963130184</v>
      </c>
      <c r="Q55" s="46">
        <v>34.075000000000003</v>
      </c>
      <c r="R55" s="16"/>
      <c r="S55" s="57">
        <f t="shared" si="53"/>
        <v>34.075000000000003</v>
      </c>
      <c r="T55" s="57">
        <f t="shared" si="54"/>
        <v>1.2819789315274643</v>
      </c>
      <c r="U55" s="46">
        <v>1704.4235000000001</v>
      </c>
      <c r="V55" s="16"/>
      <c r="W55" s="57">
        <f t="shared" si="55"/>
        <v>1704.4235000000001</v>
      </c>
      <c r="X55" s="57">
        <f t="shared" si="62"/>
        <v>64.124285176824685</v>
      </c>
      <c r="Y55" s="46">
        <v>2668.4105</v>
      </c>
      <c r="Z55" s="16"/>
      <c r="AA55" s="57">
        <f t="shared" si="56"/>
        <v>2668.4105</v>
      </c>
      <c r="AB55" s="57">
        <f t="shared" si="57"/>
        <v>100.39166666666665</v>
      </c>
      <c r="AC55" s="394">
        <f t="shared" si="49"/>
        <v>-10.410499999999956</v>
      </c>
      <c r="AD55" s="46">
        <f>1780+239+150+90+30+350</f>
        <v>2639</v>
      </c>
      <c r="AE55" s="16"/>
      <c r="AF55" s="57">
        <f t="shared" si="58"/>
        <v>2639</v>
      </c>
      <c r="AG55" s="57">
        <f t="shared" si="59"/>
        <v>119.95454545454545</v>
      </c>
      <c r="AH55" s="16">
        <v>2789</v>
      </c>
      <c r="AI55" s="358">
        <f>AH55/G55</f>
        <v>1.2677272727272728</v>
      </c>
      <c r="AJ55" s="57"/>
      <c r="AK55" s="187"/>
      <c r="AL55" s="427">
        <f t="shared" ref="AL55:AL60" si="63">L55-AK55</f>
        <v>2658</v>
      </c>
      <c r="AM55" s="322" t="s">
        <v>354</v>
      </c>
      <c r="AN55" s="307" t="s">
        <v>118</v>
      </c>
      <c r="AO55" s="146"/>
      <c r="AP55" s="485">
        <f>J55+300</f>
        <v>2958</v>
      </c>
      <c r="AQ55" s="187">
        <f t="shared" si="61"/>
        <v>0</v>
      </c>
      <c r="AT55" s="188">
        <f t="shared" si="1"/>
        <v>300</v>
      </c>
      <c r="AU55" s="187">
        <f t="shared" si="2"/>
        <v>0</v>
      </c>
    </row>
    <row r="56" spans="1:198" x14ac:dyDescent="0.2">
      <c r="A56" s="136"/>
      <c r="B56" s="29">
        <v>3326</v>
      </c>
      <c r="C56" s="29">
        <v>103</v>
      </c>
      <c r="D56" s="207" t="s">
        <v>236</v>
      </c>
      <c r="E56" s="46">
        <v>100</v>
      </c>
      <c r="F56" s="16"/>
      <c r="G56" s="57">
        <f t="shared" si="50"/>
        <v>100</v>
      </c>
      <c r="H56" s="186"/>
      <c r="I56" s="187"/>
      <c r="J56" s="46">
        <f t="shared" si="48"/>
        <v>100</v>
      </c>
      <c r="K56" s="16"/>
      <c r="L56" s="57">
        <f t="shared" si="51"/>
        <v>100</v>
      </c>
      <c r="M56" s="46">
        <v>8</v>
      </c>
      <c r="N56" s="16"/>
      <c r="O56" s="57">
        <f t="shared" si="52"/>
        <v>8</v>
      </c>
      <c r="P56" s="57">
        <f>O56/$L56*100</f>
        <v>8</v>
      </c>
      <c r="Q56" s="46">
        <v>17.68</v>
      </c>
      <c r="R56" s="16"/>
      <c r="S56" s="57">
        <f t="shared" si="53"/>
        <v>17.68</v>
      </c>
      <c r="T56" s="57">
        <f t="shared" si="54"/>
        <v>17.68</v>
      </c>
      <c r="U56" s="46">
        <v>55.494</v>
      </c>
      <c r="V56" s="16"/>
      <c r="W56" s="57">
        <f t="shared" si="55"/>
        <v>55.494</v>
      </c>
      <c r="X56" s="57">
        <f t="shared" si="62"/>
        <v>55.494</v>
      </c>
      <c r="Y56" s="46">
        <v>55.494</v>
      </c>
      <c r="Z56" s="16"/>
      <c r="AA56" s="57">
        <f t="shared" si="56"/>
        <v>55.494</v>
      </c>
      <c r="AB56" s="57">
        <f t="shared" si="57"/>
        <v>55.494</v>
      </c>
      <c r="AC56" s="394">
        <f t="shared" si="49"/>
        <v>44.506</v>
      </c>
      <c r="AD56" s="46">
        <v>80</v>
      </c>
      <c r="AE56" s="16"/>
      <c r="AF56" s="57">
        <f t="shared" si="58"/>
        <v>80</v>
      </c>
      <c r="AG56" s="57">
        <f t="shared" si="59"/>
        <v>80</v>
      </c>
      <c r="AH56" s="16">
        <v>81</v>
      </c>
      <c r="AI56" s="358">
        <f>AH56/G56</f>
        <v>0.81</v>
      </c>
      <c r="AJ56" s="57"/>
      <c r="AK56" s="187"/>
      <c r="AL56" s="427">
        <f t="shared" si="63"/>
        <v>100</v>
      </c>
      <c r="AM56" s="322" t="s">
        <v>354</v>
      </c>
      <c r="AN56" s="307" t="s">
        <v>118</v>
      </c>
      <c r="AP56" s="188">
        <f t="shared" si="60"/>
        <v>100</v>
      </c>
      <c r="AQ56" s="187">
        <f t="shared" si="61"/>
        <v>0</v>
      </c>
      <c r="AT56" s="188">
        <f t="shared" si="1"/>
        <v>0</v>
      </c>
      <c r="AU56" s="187">
        <f t="shared" si="2"/>
        <v>0</v>
      </c>
    </row>
    <row r="57" spans="1:198" x14ac:dyDescent="0.2">
      <c r="A57" s="136"/>
      <c r="B57" s="29">
        <v>3349</v>
      </c>
      <c r="C57" s="29">
        <v>42</v>
      </c>
      <c r="D57" s="207" t="s">
        <v>73</v>
      </c>
      <c r="E57" s="46">
        <f>359+20</f>
        <v>379</v>
      </c>
      <c r="F57" s="16"/>
      <c r="G57" s="57">
        <f t="shared" si="50"/>
        <v>379</v>
      </c>
      <c r="H57" s="186"/>
      <c r="I57" s="187"/>
      <c r="J57" s="46">
        <f t="shared" si="48"/>
        <v>379</v>
      </c>
      <c r="K57" s="16"/>
      <c r="L57" s="57">
        <f t="shared" si="51"/>
        <v>379</v>
      </c>
      <c r="M57" s="46">
        <f>90.755+2.2</f>
        <v>92.954999999999998</v>
      </c>
      <c r="N57" s="16"/>
      <c r="O57" s="57">
        <f t="shared" si="52"/>
        <v>92.954999999999998</v>
      </c>
      <c r="P57" s="57">
        <f>O57/$L57*100</f>
        <v>24.526385224274406</v>
      </c>
      <c r="Q57" s="46">
        <f>183.945+2.2</f>
        <v>186.14499999999998</v>
      </c>
      <c r="R57" s="16"/>
      <c r="S57" s="57">
        <f t="shared" si="53"/>
        <v>186.14499999999998</v>
      </c>
      <c r="T57" s="57">
        <f t="shared" si="54"/>
        <v>49.11477572559366</v>
      </c>
      <c r="U57" s="46">
        <f>245.52+2.2</f>
        <v>247.72</v>
      </c>
      <c r="V57" s="16"/>
      <c r="W57" s="57">
        <f t="shared" si="55"/>
        <v>247.72</v>
      </c>
      <c r="X57" s="57">
        <f t="shared" si="62"/>
        <v>65.361477572559366</v>
      </c>
      <c r="Y57" s="46">
        <v>339.3</v>
      </c>
      <c r="Z57" s="16"/>
      <c r="AA57" s="57">
        <f t="shared" si="56"/>
        <v>339.3</v>
      </c>
      <c r="AB57" s="57">
        <f t="shared" si="57"/>
        <v>89.525065963060683</v>
      </c>
      <c r="AC57" s="394">
        <f t="shared" si="49"/>
        <v>39.699999999999989</v>
      </c>
      <c r="AD57" s="46">
        <v>379</v>
      </c>
      <c r="AE57" s="16"/>
      <c r="AF57" s="57">
        <f t="shared" si="58"/>
        <v>379</v>
      </c>
      <c r="AG57" s="57">
        <f t="shared" si="59"/>
        <v>100</v>
      </c>
      <c r="AH57" s="16">
        <v>379</v>
      </c>
      <c r="AI57" s="358">
        <f>AH57/L57</f>
        <v>1</v>
      </c>
      <c r="AJ57" s="57"/>
      <c r="AK57" s="187"/>
      <c r="AL57" s="427">
        <f t="shared" si="63"/>
        <v>379</v>
      </c>
      <c r="AM57" s="413" t="s">
        <v>488</v>
      </c>
      <c r="AN57" s="412" t="s">
        <v>69</v>
      </c>
      <c r="AP57" s="188">
        <f t="shared" si="60"/>
        <v>379</v>
      </c>
      <c r="AQ57" s="187">
        <f t="shared" si="61"/>
        <v>0</v>
      </c>
      <c r="AT57" s="188">
        <f t="shared" si="1"/>
        <v>0</v>
      </c>
      <c r="AU57" s="187">
        <f t="shared" si="2"/>
        <v>0</v>
      </c>
      <c r="GP57" s="113">
        <f>SUM(Q57:GO57)</f>
        <v>3786.0313192612139</v>
      </c>
    </row>
    <row r="58" spans="1:198" x14ac:dyDescent="0.2">
      <c r="A58" s="136"/>
      <c r="B58" s="29">
        <v>3392</v>
      </c>
      <c r="C58" s="29">
        <v>312</v>
      </c>
      <c r="D58" s="207" t="s">
        <v>255</v>
      </c>
      <c r="E58" s="46">
        <v>3553</v>
      </c>
      <c r="F58" s="16"/>
      <c r="G58" s="57">
        <f t="shared" si="50"/>
        <v>3553</v>
      </c>
      <c r="H58" s="192">
        <f>23.57239+24.99519</f>
        <v>48.56758</v>
      </c>
      <c r="I58" s="456"/>
      <c r="J58" s="46">
        <f t="shared" si="48"/>
        <v>3601.5675799999999</v>
      </c>
      <c r="K58" s="480">
        <f>F58+I58</f>
        <v>0</v>
      </c>
      <c r="L58" s="57">
        <f t="shared" si="51"/>
        <v>3601.5675799999999</v>
      </c>
      <c r="M58" s="46">
        <v>888.25</v>
      </c>
      <c r="N58" s="16"/>
      <c r="O58" s="57">
        <f t="shared" si="52"/>
        <v>888.25</v>
      </c>
      <c r="P58" s="57">
        <f>O58/$L58*100</f>
        <v>24.662871937557814</v>
      </c>
      <c r="Q58" s="46">
        <v>1776.5</v>
      </c>
      <c r="R58" s="16"/>
      <c r="S58" s="57">
        <f t="shared" si="53"/>
        <v>1776.5</v>
      </c>
      <c r="T58" s="57">
        <f t="shared" si="54"/>
        <v>49.325743875115627</v>
      </c>
      <c r="U58" s="46">
        <f>2664.75+23.57239</f>
        <v>2688.3223899999998</v>
      </c>
      <c r="V58" s="16"/>
      <c r="W58" s="57">
        <f t="shared" si="55"/>
        <v>2688.3223899999998</v>
      </c>
      <c r="X58" s="57">
        <f t="shared" si="62"/>
        <v>74.643119427457748</v>
      </c>
      <c r="Y58" s="46">
        <f>3553+48.56758</f>
        <v>3601.5675799999999</v>
      </c>
      <c r="Z58" s="16"/>
      <c r="AA58" s="57">
        <f t="shared" si="56"/>
        <v>3601.5675799999999</v>
      </c>
      <c r="AB58" s="57">
        <f t="shared" si="57"/>
        <v>100</v>
      </c>
      <c r="AC58" s="394">
        <f t="shared" si="49"/>
        <v>0</v>
      </c>
      <c r="AD58" s="46">
        <v>3553</v>
      </c>
      <c r="AE58" s="16"/>
      <c r="AF58" s="57">
        <f t="shared" si="58"/>
        <v>3553</v>
      </c>
      <c r="AG58" s="57">
        <f t="shared" si="59"/>
        <v>100</v>
      </c>
      <c r="AH58" s="16">
        <v>3553</v>
      </c>
      <c r="AI58" s="358">
        <f>AH58/G58</f>
        <v>1</v>
      </c>
      <c r="AJ58" s="57" t="s">
        <v>285</v>
      </c>
      <c r="AK58" s="187"/>
      <c r="AL58" s="427">
        <f t="shared" si="63"/>
        <v>3601.5675799999999</v>
      </c>
      <c r="AM58" s="319" t="s">
        <v>198</v>
      </c>
      <c r="AN58" s="306" t="s">
        <v>71</v>
      </c>
      <c r="AP58" s="188">
        <f t="shared" si="60"/>
        <v>3601.5675799999999</v>
      </c>
      <c r="AQ58" s="187">
        <f t="shared" si="61"/>
        <v>0</v>
      </c>
      <c r="AT58" s="188">
        <f t="shared" si="1"/>
        <v>0</v>
      </c>
      <c r="AU58" s="187">
        <f t="shared" si="2"/>
        <v>0</v>
      </c>
    </row>
    <row r="59" spans="1:198" x14ac:dyDescent="0.2">
      <c r="A59" s="136"/>
      <c r="B59" s="29">
        <v>3392</v>
      </c>
      <c r="C59" s="29" t="s">
        <v>249</v>
      </c>
      <c r="D59" s="207" t="s">
        <v>248</v>
      </c>
      <c r="E59" s="46">
        <f>355+302</f>
        <v>657</v>
      </c>
      <c r="F59" s="16"/>
      <c r="G59" s="57">
        <f t="shared" si="50"/>
        <v>657</v>
      </c>
      <c r="H59" s="188"/>
      <c r="I59" s="189"/>
      <c r="J59" s="46">
        <f t="shared" si="48"/>
        <v>657</v>
      </c>
      <c r="K59" s="16"/>
      <c r="L59" s="57">
        <f t="shared" si="51"/>
        <v>657</v>
      </c>
      <c r="M59" s="46"/>
      <c r="N59" s="16"/>
      <c r="O59" s="57">
        <f t="shared" si="52"/>
        <v>0</v>
      </c>
      <c r="P59" s="57">
        <f>O59/$L59*100</f>
        <v>0</v>
      </c>
      <c r="Q59" s="46"/>
      <c r="R59" s="16"/>
      <c r="S59" s="57">
        <f t="shared" si="53"/>
        <v>0</v>
      </c>
      <c r="T59" s="57">
        <f t="shared" si="54"/>
        <v>0</v>
      </c>
      <c r="U59" s="46">
        <v>657</v>
      </c>
      <c r="V59" s="16"/>
      <c r="W59" s="57">
        <f t="shared" si="55"/>
        <v>657</v>
      </c>
      <c r="X59" s="57">
        <f t="shared" si="62"/>
        <v>100</v>
      </c>
      <c r="Y59" s="46">
        <v>657</v>
      </c>
      <c r="Z59" s="16"/>
      <c r="AA59" s="57">
        <f t="shared" si="56"/>
        <v>657</v>
      </c>
      <c r="AB59" s="57">
        <f t="shared" si="57"/>
        <v>100</v>
      </c>
      <c r="AC59" s="394">
        <f t="shared" si="49"/>
        <v>0</v>
      </c>
      <c r="AD59" s="46">
        <f>355+302</f>
        <v>657</v>
      </c>
      <c r="AE59" s="16"/>
      <c r="AF59" s="57">
        <f t="shared" si="58"/>
        <v>657</v>
      </c>
      <c r="AG59" s="57">
        <f t="shared" si="59"/>
        <v>100</v>
      </c>
      <c r="AH59" s="16">
        <v>657</v>
      </c>
      <c r="AI59" s="358">
        <f>AH59/G59</f>
        <v>1</v>
      </c>
      <c r="AJ59" s="57"/>
      <c r="AK59" s="189"/>
      <c r="AL59" s="427">
        <f t="shared" si="63"/>
        <v>657</v>
      </c>
      <c r="AM59" s="319" t="s">
        <v>198</v>
      </c>
      <c r="AN59" s="306" t="s">
        <v>71</v>
      </c>
      <c r="AP59" s="188">
        <f t="shared" si="60"/>
        <v>657</v>
      </c>
      <c r="AQ59" s="187">
        <f t="shared" si="61"/>
        <v>0</v>
      </c>
      <c r="AT59" s="188">
        <f t="shared" si="1"/>
        <v>0</v>
      </c>
      <c r="AU59" s="187">
        <f t="shared" si="2"/>
        <v>0</v>
      </c>
    </row>
    <row r="60" spans="1:198" x14ac:dyDescent="0.2">
      <c r="A60" s="136"/>
      <c r="B60" s="29">
        <v>3399</v>
      </c>
      <c r="C60" s="29">
        <v>313</v>
      </c>
      <c r="D60" s="207" t="s">
        <v>102</v>
      </c>
      <c r="E60" s="46">
        <v>153</v>
      </c>
      <c r="F60" s="16"/>
      <c r="G60" s="57">
        <f>E60+F60</f>
        <v>153</v>
      </c>
      <c r="H60" s="186"/>
      <c r="I60" s="187"/>
      <c r="J60" s="46">
        <f t="shared" si="48"/>
        <v>153</v>
      </c>
      <c r="K60" s="16"/>
      <c r="L60" s="57">
        <f>SUM(J60:K60)</f>
        <v>153</v>
      </c>
      <c r="M60" s="46">
        <v>8.7859999999999996</v>
      </c>
      <c r="N60" s="16"/>
      <c r="O60" s="57">
        <f>M60+N60</f>
        <v>8.7859999999999996</v>
      </c>
      <c r="P60" s="57">
        <f t="shared" ref="P60:P68" si="64">O60/$L60*100</f>
        <v>5.7424836601307181</v>
      </c>
      <c r="Q60" s="46">
        <f>35.19052+1.6</f>
        <v>36.790520000000001</v>
      </c>
      <c r="R60" s="16"/>
      <c r="S60" s="57">
        <f>Q60+R60</f>
        <v>36.790520000000001</v>
      </c>
      <c r="T60" s="57">
        <f t="shared" si="5"/>
        <v>24.046091503267974</v>
      </c>
      <c r="U60" s="46">
        <v>42.32452</v>
      </c>
      <c r="V60" s="16"/>
      <c r="W60" s="57">
        <f>U60+V60</f>
        <v>42.32452</v>
      </c>
      <c r="X60" s="57">
        <f t="shared" si="6"/>
        <v>27.663084967320263</v>
      </c>
      <c r="Y60" s="46">
        <v>111.15152</v>
      </c>
      <c r="Z60" s="16"/>
      <c r="AA60" s="57">
        <f>Y60+Z60</f>
        <v>111.15152</v>
      </c>
      <c r="AB60" s="57">
        <f t="shared" si="7"/>
        <v>72.648052287581706</v>
      </c>
      <c r="AC60" s="394">
        <f t="shared" si="49"/>
        <v>41.848479999999995</v>
      </c>
      <c r="AD60" s="46">
        <v>150</v>
      </c>
      <c r="AE60" s="16"/>
      <c r="AF60" s="57">
        <f>AD60+AE60</f>
        <v>150</v>
      </c>
      <c r="AG60" s="57">
        <f t="shared" ref="AG60:AG68" si="65">AF60/$G60*100</f>
        <v>98.039215686274503</v>
      </c>
      <c r="AH60" s="16">
        <v>153</v>
      </c>
      <c r="AI60" s="358">
        <f>AH60/G60</f>
        <v>1</v>
      </c>
      <c r="AJ60" s="57" t="s">
        <v>286</v>
      </c>
      <c r="AK60" s="187"/>
      <c r="AL60" s="427">
        <f t="shared" si="63"/>
        <v>153</v>
      </c>
      <c r="AM60" s="413" t="s">
        <v>270</v>
      </c>
      <c r="AN60" s="422" t="s">
        <v>383</v>
      </c>
      <c r="AP60" s="188">
        <f t="shared" si="60"/>
        <v>153</v>
      </c>
      <c r="AQ60" s="187">
        <f t="shared" si="61"/>
        <v>0</v>
      </c>
      <c r="AT60" s="188">
        <f t="shared" si="1"/>
        <v>0</v>
      </c>
      <c r="AU60" s="187">
        <f t="shared" si="2"/>
        <v>0</v>
      </c>
    </row>
    <row r="61" spans="1:198" x14ac:dyDescent="0.2">
      <c r="A61" s="137">
        <v>34</v>
      </c>
      <c r="B61" s="24">
        <v>3400</v>
      </c>
      <c r="C61" s="24"/>
      <c r="D61" s="417" t="s">
        <v>74</v>
      </c>
      <c r="E61" s="58">
        <f t="shared" ref="E61:O61" si="66">SUM(E62:E68)</f>
        <v>5062</v>
      </c>
      <c r="F61" s="59">
        <f t="shared" si="66"/>
        <v>7320</v>
      </c>
      <c r="G61" s="60">
        <f t="shared" si="66"/>
        <v>12382</v>
      </c>
      <c r="H61" s="190">
        <f t="shared" si="66"/>
        <v>0</v>
      </c>
      <c r="I61" s="191">
        <f t="shared" si="66"/>
        <v>0</v>
      </c>
      <c r="J61" s="58">
        <f t="shared" si="66"/>
        <v>5062</v>
      </c>
      <c r="K61" s="59">
        <f t="shared" si="66"/>
        <v>7320</v>
      </c>
      <c r="L61" s="60">
        <f t="shared" si="66"/>
        <v>12382</v>
      </c>
      <c r="M61" s="58">
        <f t="shared" si="66"/>
        <v>1009.785</v>
      </c>
      <c r="N61" s="59">
        <f t="shared" si="66"/>
        <v>0</v>
      </c>
      <c r="O61" s="60">
        <f t="shared" si="66"/>
        <v>1009.785</v>
      </c>
      <c r="P61" s="60">
        <f t="shared" si="64"/>
        <v>8.1552657082862225</v>
      </c>
      <c r="Q61" s="58">
        <f>SUM(Q62:Q68)</f>
        <v>2819.904</v>
      </c>
      <c r="R61" s="59">
        <f>SUM(R62:R68)</f>
        <v>2000</v>
      </c>
      <c r="S61" s="60">
        <f>SUM(S62:S68)</f>
        <v>4819.9040000000005</v>
      </c>
      <c r="T61" s="60">
        <f t="shared" si="5"/>
        <v>38.926700048457441</v>
      </c>
      <c r="U61" s="58">
        <f>SUM(U62:U68)</f>
        <v>3962.5340000000001</v>
      </c>
      <c r="V61" s="59">
        <f>SUM(V62:V68)</f>
        <v>6000</v>
      </c>
      <c r="W61" s="60">
        <f>SUM(W62:W68)</f>
        <v>9962.5339999999997</v>
      </c>
      <c r="X61" s="60">
        <f t="shared" si="6"/>
        <v>80.45981263123889</v>
      </c>
      <c r="Y61" s="58">
        <f>SUM(Y62:Y68)</f>
        <v>5065.7965999999997</v>
      </c>
      <c r="Z61" s="59">
        <f>SUM(Z62:Z68)</f>
        <v>7265</v>
      </c>
      <c r="AA61" s="60">
        <f>SUM(AA62:AA68)</f>
        <v>12330.7966</v>
      </c>
      <c r="AB61" s="60">
        <f t="shared" si="7"/>
        <v>99.586469068001932</v>
      </c>
      <c r="AC61" s="395">
        <f>SUM(AC62:AC68)</f>
        <v>51.203399999999988</v>
      </c>
      <c r="AD61" s="58">
        <f>SUM(AD62:AD68)</f>
        <v>6240</v>
      </c>
      <c r="AE61" s="59">
        <f>SUM(AE62:AE68)</f>
        <v>9640</v>
      </c>
      <c r="AF61" s="60">
        <f>SUM(AF62:AF68)</f>
        <v>15880</v>
      </c>
      <c r="AG61" s="60">
        <f t="shared" si="65"/>
        <v>128.25068648037475</v>
      </c>
      <c r="AH61" s="59">
        <f>SUM(AH62:AH68)</f>
        <v>10340</v>
      </c>
      <c r="AI61" s="359">
        <f>AH61/G61</f>
        <v>0.83508318526893877</v>
      </c>
      <c r="AJ61" s="60"/>
      <c r="AK61" s="191">
        <f>SUM(AK62:AK68)</f>
        <v>0</v>
      </c>
      <c r="AL61" s="428">
        <f>SUM(AL62:AL68)</f>
        <v>1320</v>
      </c>
      <c r="AM61" s="321"/>
      <c r="AN61" s="74"/>
      <c r="AP61" s="190">
        <f>SUM(AP62:AP68)</f>
        <v>5062</v>
      </c>
      <c r="AQ61" s="191">
        <f>SUM(AQ62:AQ68)</f>
        <v>7320</v>
      </c>
      <c r="AT61" s="190">
        <f t="shared" si="1"/>
        <v>0</v>
      </c>
      <c r="AU61" s="191">
        <f t="shared" si="2"/>
        <v>0</v>
      </c>
    </row>
    <row r="62" spans="1:198" ht="13.5" customHeight="1" x14ac:dyDescent="0.2">
      <c r="A62" s="136"/>
      <c r="B62" s="29">
        <v>3412</v>
      </c>
      <c r="C62" s="29">
        <v>506</v>
      </c>
      <c r="D62" s="207" t="s">
        <v>350</v>
      </c>
      <c r="E62" s="46">
        <v>3704</v>
      </c>
      <c r="F62" s="16"/>
      <c r="G62" s="57">
        <f t="shared" ref="G62:G68" si="67">E62+F62</f>
        <v>3704</v>
      </c>
      <c r="H62" s="188"/>
      <c r="I62" s="187"/>
      <c r="J62" s="46">
        <f t="shared" ref="J62:K66" si="68">E62+H62</f>
        <v>3704</v>
      </c>
      <c r="K62" s="16">
        <f t="shared" si="68"/>
        <v>0</v>
      </c>
      <c r="L62" s="57">
        <f t="shared" ref="L62:L68" si="69">SUM(J62:K62)</f>
        <v>3704</v>
      </c>
      <c r="M62" s="46">
        <v>926</v>
      </c>
      <c r="N62" s="16"/>
      <c r="O62" s="57">
        <f t="shared" ref="O62:O68" si="70">M62+N62</f>
        <v>926</v>
      </c>
      <c r="P62" s="57">
        <f t="shared" si="64"/>
        <v>25</v>
      </c>
      <c r="Q62" s="46">
        <v>1852</v>
      </c>
      <c r="R62" s="16"/>
      <c r="S62" s="57">
        <f t="shared" ref="S62:S68" si="71">Q62+R62</f>
        <v>1852</v>
      </c>
      <c r="T62" s="57">
        <f t="shared" si="5"/>
        <v>50</v>
      </c>
      <c r="U62" s="46">
        <v>2778</v>
      </c>
      <c r="V62" s="16"/>
      <c r="W62" s="57">
        <f t="shared" ref="W62:W68" si="72">U62+V62</f>
        <v>2778</v>
      </c>
      <c r="X62" s="57">
        <f t="shared" si="6"/>
        <v>75</v>
      </c>
      <c r="Y62" s="46">
        <v>3704</v>
      </c>
      <c r="Z62" s="16"/>
      <c r="AA62" s="57">
        <f t="shared" ref="AA62:AA68" si="73">Y62+Z62</f>
        <v>3704</v>
      </c>
      <c r="AB62" s="57">
        <f t="shared" si="7"/>
        <v>100</v>
      </c>
      <c r="AC62" s="394">
        <f t="shared" ref="AC62:AC68" si="74">L62-AA62</f>
        <v>0</v>
      </c>
      <c r="AD62" s="46">
        <v>4500</v>
      </c>
      <c r="AE62" s="16"/>
      <c r="AF62" s="57">
        <f t="shared" ref="AF62:AF68" si="75">AD62+AE62</f>
        <v>4500</v>
      </c>
      <c r="AG62" s="57">
        <f t="shared" si="65"/>
        <v>121.49028077753781</v>
      </c>
      <c r="AH62" s="16">
        <v>5100</v>
      </c>
      <c r="AI62" s="358">
        <f>AH62/L62</f>
        <v>1.3768898488120951</v>
      </c>
      <c r="AJ62" s="57" t="s">
        <v>352</v>
      </c>
      <c r="AK62" s="187"/>
      <c r="AL62" s="427"/>
      <c r="AM62" s="319" t="s">
        <v>198</v>
      </c>
      <c r="AN62" s="306" t="s">
        <v>71</v>
      </c>
      <c r="AO62" s="98"/>
      <c r="AP62" s="188">
        <f t="shared" ref="AP62:AQ68" si="76">J62</f>
        <v>3704</v>
      </c>
      <c r="AQ62" s="187">
        <f t="shared" si="76"/>
        <v>0</v>
      </c>
      <c r="AT62" s="188">
        <f t="shared" si="1"/>
        <v>0</v>
      </c>
      <c r="AU62" s="187">
        <f t="shared" si="2"/>
        <v>0</v>
      </c>
      <c r="AV62" s="113"/>
    </row>
    <row r="63" spans="1:198" ht="13.5" customHeight="1" x14ac:dyDescent="0.2">
      <c r="A63" s="136"/>
      <c r="B63" s="29">
        <v>3412</v>
      </c>
      <c r="C63" s="29">
        <v>506</v>
      </c>
      <c r="D63" s="207" t="s">
        <v>359</v>
      </c>
      <c r="E63" s="46"/>
      <c r="F63" s="16">
        <f>6800+200</f>
        <v>7000</v>
      </c>
      <c r="G63" s="57">
        <f t="shared" si="67"/>
        <v>7000</v>
      </c>
      <c r="H63" s="188"/>
      <c r="I63" s="187"/>
      <c r="J63" s="46">
        <f t="shared" si="68"/>
        <v>0</v>
      </c>
      <c r="K63" s="16">
        <f t="shared" si="68"/>
        <v>7000</v>
      </c>
      <c r="L63" s="57">
        <f t="shared" si="69"/>
        <v>7000</v>
      </c>
      <c r="M63" s="46"/>
      <c r="N63" s="16"/>
      <c r="O63" s="57">
        <f t="shared" si="70"/>
        <v>0</v>
      </c>
      <c r="P63" s="57">
        <f t="shared" si="64"/>
        <v>0</v>
      </c>
      <c r="Q63" s="46"/>
      <c r="R63" s="16">
        <v>2000</v>
      </c>
      <c r="S63" s="57">
        <f t="shared" si="71"/>
        <v>2000</v>
      </c>
      <c r="T63" s="57">
        <f t="shared" si="5"/>
        <v>28.571428571428569</v>
      </c>
      <c r="U63" s="46"/>
      <c r="V63" s="16">
        <v>6000</v>
      </c>
      <c r="W63" s="57">
        <f t="shared" si="72"/>
        <v>6000</v>
      </c>
      <c r="X63" s="57">
        <f t="shared" si="6"/>
        <v>85.714285714285708</v>
      </c>
      <c r="Y63" s="46"/>
      <c r="Z63" s="16">
        <v>7000</v>
      </c>
      <c r="AA63" s="57">
        <f t="shared" si="73"/>
        <v>7000</v>
      </c>
      <c r="AB63" s="57">
        <f t="shared" si="7"/>
        <v>100</v>
      </c>
      <c r="AC63" s="394">
        <f t="shared" si="74"/>
        <v>0</v>
      </c>
      <c r="AD63" s="46"/>
      <c r="AE63" s="16">
        <f>3640+6000</f>
        <v>9640</v>
      </c>
      <c r="AF63" s="57">
        <f t="shared" si="75"/>
        <v>9640</v>
      </c>
      <c r="AG63" s="57">
        <f t="shared" si="65"/>
        <v>137.71428571428572</v>
      </c>
      <c r="AH63" s="16">
        <f>2500+1300</f>
        <v>3800</v>
      </c>
      <c r="AI63" s="358">
        <f>AH63/L63</f>
        <v>0.54285714285714282</v>
      </c>
      <c r="AJ63" s="57" t="s">
        <v>382</v>
      </c>
      <c r="AK63" s="187"/>
      <c r="AL63" s="427"/>
      <c r="AM63" s="319" t="s">
        <v>198</v>
      </c>
      <c r="AN63" s="306" t="s">
        <v>71</v>
      </c>
      <c r="AO63" s="98"/>
      <c r="AP63" s="188">
        <f t="shared" si="76"/>
        <v>0</v>
      </c>
      <c r="AQ63" s="487">
        <f t="shared" si="76"/>
        <v>7000</v>
      </c>
      <c r="AT63" s="188">
        <f t="shared" si="1"/>
        <v>0</v>
      </c>
      <c r="AU63" s="187">
        <f t="shared" si="2"/>
        <v>0</v>
      </c>
    </row>
    <row r="64" spans="1:198" ht="13.5" customHeight="1" x14ac:dyDescent="0.2">
      <c r="A64" s="136"/>
      <c r="B64" s="29">
        <v>3412</v>
      </c>
      <c r="C64" s="29">
        <v>506</v>
      </c>
      <c r="D64" s="207" t="s">
        <v>350</v>
      </c>
      <c r="E64" s="46"/>
      <c r="F64" s="16"/>
      <c r="G64" s="57"/>
      <c r="H64" s="188"/>
      <c r="I64" s="187"/>
      <c r="J64" s="46"/>
      <c r="K64" s="16"/>
      <c r="L64" s="57"/>
      <c r="M64" s="46"/>
      <c r="N64" s="16"/>
      <c r="O64" s="57"/>
      <c r="P64" s="57"/>
      <c r="Q64" s="46"/>
      <c r="R64" s="16"/>
      <c r="S64" s="57"/>
      <c r="T64" s="57"/>
      <c r="U64" s="46"/>
      <c r="V64" s="16"/>
      <c r="W64" s="57"/>
      <c r="X64" s="57"/>
      <c r="Y64" s="46"/>
      <c r="Z64" s="16"/>
      <c r="AA64" s="57"/>
      <c r="AB64" s="57"/>
      <c r="AC64" s="394"/>
      <c r="AD64" s="46">
        <v>300</v>
      </c>
      <c r="AE64" s="16"/>
      <c r="AF64" s="57">
        <f t="shared" si="75"/>
        <v>300</v>
      </c>
      <c r="AG64" s="57"/>
      <c r="AH64" s="17"/>
      <c r="AI64" s="358"/>
      <c r="AJ64" s="57" t="s">
        <v>497</v>
      </c>
      <c r="AK64" s="187"/>
      <c r="AL64" s="427"/>
      <c r="AM64" s="319" t="s">
        <v>198</v>
      </c>
      <c r="AN64" s="306" t="s">
        <v>71</v>
      </c>
      <c r="AO64" s="98"/>
      <c r="AP64" s="188"/>
      <c r="AQ64" s="487"/>
      <c r="AT64" s="188"/>
      <c r="AU64" s="187"/>
    </row>
    <row r="65" spans="1:47" ht="13.5" customHeight="1" x14ac:dyDescent="0.2">
      <c r="A65" s="136"/>
      <c r="B65" s="29">
        <v>3412</v>
      </c>
      <c r="C65" s="29">
        <v>216</v>
      </c>
      <c r="D65" s="207" t="s">
        <v>356</v>
      </c>
      <c r="E65" s="46">
        <f>185+73</f>
        <v>258</v>
      </c>
      <c r="F65" s="16"/>
      <c r="G65" s="57">
        <f t="shared" si="67"/>
        <v>258</v>
      </c>
      <c r="H65" s="188"/>
      <c r="I65" s="187"/>
      <c r="J65" s="46">
        <f t="shared" si="68"/>
        <v>258</v>
      </c>
      <c r="K65" s="16">
        <f t="shared" si="68"/>
        <v>0</v>
      </c>
      <c r="L65" s="57">
        <f t="shared" si="69"/>
        <v>258</v>
      </c>
      <c r="M65" s="46">
        <v>83.784999999999997</v>
      </c>
      <c r="N65" s="16"/>
      <c r="O65" s="57">
        <f t="shared" si="70"/>
        <v>83.784999999999997</v>
      </c>
      <c r="P65" s="57">
        <f t="shared" si="64"/>
        <v>32.474806201550386</v>
      </c>
      <c r="Q65" s="46">
        <v>136.804</v>
      </c>
      <c r="R65" s="16"/>
      <c r="S65" s="57">
        <f t="shared" si="71"/>
        <v>136.804</v>
      </c>
      <c r="T65" s="57">
        <f t="shared" si="5"/>
        <v>53.02480620155039</v>
      </c>
      <c r="U65" s="46">
        <v>184.53399999999999</v>
      </c>
      <c r="V65" s="16"/>
      <c r="W65" s="57">
        <f t="shared" si="72"/>
        <v>184.53399999999999</v>
      </c>
      <c r="X65" s="57">
        <f t="shared" si="6"/>
        <v>71.52480620155039</v>
      </c>
      <c r="Y65" s="46">
        <v>261.79660000000001</v>
      </c>
      <c r="Z65" s="16"/>
      <c r="AA65" s="57">
        <f t="shared" si="73"/>
        <v>261.79660000000001</v>
      </c>
      <c r="AB65" s="57">
        <f t="shared" ref="AB65:AB70" si="77">AA65/$L65*100</f>
        <v>101.47155038759689</v>
      </c>
      <c r="AC65" s="394">
        <f t="shared" si="74"/>
        <v>-3.7966000000000122</v>
      </c>
      <c r="AD65" s="46">
        <f>172+73</f>
        <v>245</v>
      </c>
      <c r="AE65" s="16"/>
      <c r="AF65" s="57">
        <f t="shared" si="75"/>
        <v>245</v>
      </c>
      <c r="AG65" s="57">
        <f t="shared" si="65"/>
        <v>94.961240310077528</v>
      </c>
      <c r="AH65" s="46">
        <f>172+73</f>
        <v>245</v>
      </c>
      <c r="AI65" s="358">
        <f>AH65/L65</f>
        <v>0.94961240310077522</v>
      </c>
      <c r="AJ65" s="57"/>
      <c r="AK65" s="187"/>
      <c r="AL65" s="427"/>
      <c r="AM65" s="320" t="s">
        <v>319</v>
      </c>
      <c r="AN65" s="509" t="s">
        <v>68</v>
      </c>
      <c r="AO65" s="98"/>
      <c r="AP65" s="188">
        <f t="shared" si="76"/>
        <v>258</v>
      </c>
      <c r="AQ65" s="187">
        <f t="shared" si="76"/>
        <v>0</v>
      </c>
      <c r="AT65" s="188">
        <f t="shared" si="1"/>
        <v>0</v>
      </c>
      <c r="AU65" s="187">
        <f t="shared" si="2"/>
        <v>0</v>
      </c>
    </row>
    <row r="66" spans="1:47" ht="13.5" customHeight="1" x14ac:dyDescent="0.2">
      <c r="A66" s="136"/>
      <c r="B66" s="29">
        <v>3419</v>
      </c>
      <c r="C66" s="29">
        <v>105</v>
      </c>
      <c r="D66" s="207" t="s">
        <v>392</v>
      </c>
      <c r="E66" s="46">
        <f>50</f>
        <v>50</v>
      </c>
      <c r="F66" s="16">
        <v>320</v>
      </c>
      <c r="G66" s="57">
        <f t="shared" si="67"/>
        <v>370</v>
      </c>
      <c r="H66" s="192"/>
      <c r="I66" s="187"/>
      <c r="J66" s="46">
        <f>E66+H66</f>
        <v>50</v>
      </c>
      <c r="K66" s="16">
        <f t="shared" si="68"/>
        <v>320</v>
      </c>
      <c r="L66" s="57">
        <f t="shared" si="69"/>
        <v>370</v>
      </c>
      <c r="M66" s="46"/>
      <c r="N66" s="16"/>
      <c r="O66" s="57">
        <f t="shared" si="70"/>
        <v>0</v>
      </c>
      <c r="P66" s="57">
        <f t="shared" si="64"/>
        <v>0</v>
      </c>
      <c r="Q66" s="46"/>
      <c r="R66" s="16"/>
      <c r="S66" s="57">
        <f t="shared" si="71"/>
        <v>0</v>
      </c>
      <c r="T66" s="57">
        <f t="shared" si="5"/>
        <v>0</v>
      </c>
      <c r="U66" s="46">
        <v>50</v>
      </c>
      <c r="V66" s="16"/>
      <c r="W66" s="57">
        <f t="shared" si="72"/>
        <v>50</v>
      </c>
      <c r="X66" s="57">
        <f>W66/$L66*100</f>
        <v>13.513513513513514</v>
      </c>
      <c r="Y66" s="46">
        <v>50</v>
      </c>
      <c r="Z66" s="16">
        <v>265</v>
      </c>
      <c r="AA66" s="57">
        <f t="shared" si="73"/>
        <v>315</v>
      </c>
      <c r="AB66" s="57">
        <f t="shared" si="77"/>
        <v>85.13513513513513</v>
      </c>
      <c r="AC66" s="394">
        <f t="shared" si="74"/>
        <v>55</v>
      </c>
      <c r="AD66" s="46">
        <v>50</v>
      </c>
      <c r="AE66" s="16"/>
      <c r="AF66" s="57">
        <f t="shared" si="75"/>
        <v>50</v>
      </c>
      <c r="AG66" s="57">
        <f t="shared" si="65"/>
        <v>13.513513513513514</v>
      </c>
      <c r="AH66" s="16">
        <v>50</v>
      </c>
      <c r="AI66" s="358">
        <f>AH66/G66</f>
        <v>0.13513513513513514</v>
      </c>
      <c r="AJ66" s="57" t="s">
        <v>390</v>
      </c>
      <c r="AK66" s="187"/>
      <c r="AL66" s="427">
        <f>L66-AK66</f>
        <v>370</v>
      </c>
      <c r="AM66" s="319" t="s">
        <v>384</v>
      </c>
      <c r="AN66" s="306" t="s">
        <v>71</v>
      </c>
      <c r="AP66" s="188">
        <f t="shared" si="76"/>
        <v>50</v>
      </c>
      <c r="AQ66" s="187">
        <f t="shared" si="76"/>
        <v>320</v>
      </c>
      <c r="AT66" s="188">
        <f t="shared" si="1"/>
        <v>0</v>
      </c>
      <c r="AU66" s="187">
        <f t="shared" si="2"/>
        <v>0</v>
      </c>
    </row>
    <row r="67" spans="1:47" ht="13.5" customHeight="1" x14ac:dyDescent="0.2">
      <c r="A67" s="136"/>
      <c r="B67" s="29">
        <v>3419</v>
      </c>
      <c r="C67" s="29">
        <v>104</v>
      </c>
      <c r="D67" s="207" t="s">
        <v>378</v>
      </c>
      <c r="E67" s="46">
        <v>100</v>
      </c>
      <c r="F67" s="16"/>
      <c r="G67" s="57">
        <f t="shared" si="67"/>
        <v>100</v>
      </c>
      <c r="H67" s="192"/>
      <c r="I67" s="187"/>
      <c r="J67" s="46">
        <f>E67+H67</f>
        <v>100</v>
      </c>
      <c r="K67" s="16"/>
      <c r="L67" s="57">
        <f>SUM(J67:K67)</f>
        <v>100</v>
      </c>
      <c r="M67" s="46"/>
      <c r="N67" s="16"/>
      <c r="O67" s="57">
        <f t="shared" si="70"/>
        <v>0</v>
      </c>
      <c r="P67" s="57"/>
      <c r="Q67" s="46"/>
      <c r="R67" s="16"/>
      <c r="S67" s="57">
        <f t="shared" si="71"/>
        <v>0</v>
      </c>
      <c r="T67" s="57"/>
      <c r="U67" s="46">
        <v>0</v>
      </c>
      <c r="V67" s="16"/>
      <c r="W67" s="57">
        <f t="shared" si="72"/>
        <v>0</v>
      </c>
      <c r="X67" s="57">
        <f>W67/$L67*100</f>
        <v>0</v>
      </c>
      <c r="Y67" s="46">
        <v>100</v>
      </c>
      <c r="Z67" s="16"/>
      <c r="AA67" s="57">
        <f t="shared" si="73"/>
        <v>100</v>
      </c>
      <c r="AB67" s="57"/>
      <c r="AC67" s="394">
        <f t="shared" si="74"/>
        <v>0</v>
      </c>
      <c r="AD67" s="46">
        <f>50+45+20+50+30</f>
        <v>195</v>
      </c>
      <c r="AE67" s="16"/>
      <c r="AF67" s="57">
        <f t="shared" si="75"/>
        <v>195</v>
      </c>
      <c r="AG67" s="57"/>
      <c r="AH67" s="16">
        <v>195</v>
      </c>
      <c r="AI67" s="358"/>
      <c r="AJ67" s="57"/>
      <c r="AK67" s="187"/>
      <c r="AL67" s="427"/>
      <c r="AM67" s="319" t="s">
        <v>384</v>
      </c>
      <c r="AN67" s="306" t="s">
        <v>71</v>
      </c>
      <c r="AP67" s="188">
        <f t="shared" si="76"/>
        <v>100</v>
      </c>
      <c r="AQ67" s="187">
        <f t="shared" si="76"/>
        <v>0</v>
      </c>
      <c r="AT67" s="188">
        <f t="shared" si="1"/>
        <v>0</v>
      </c>
      <c r="AU67" s="187">
        <f t="shared" si="2"/>
        <v>0</v>
      </c>
    </row>
    <row r="68" spans="1:47" ht="12.75" customHeight="1" x14ac:dyDescent="0.2">
      <c r="A68" s="136"/>
      <c r="B68" s="29">
        <v>3421</v>
      </c>
      <c r="C68" s="29">
        <v>105</v>
      </c>
      <c r="D68" s="207" t="s">
        <v>373</v>
      </c>
      <c r="E68" s="46">
        <f>1200-250</f>
        <v>950</v>
      </c>
      <c r="F68" s="16"/>
      <c r="G68" s="57">
        <f t="shared" si="67"/>
        <v>950</v>
      </c>
      <c r="H68" s="188"/>
      <c r="I68" s="187"/>
      <c r="J68" s="46">
        <f>E68+H68</f>
        <v>950</v>
      </c>
      <c r="K68" s="16"/>
      <c r="L68" s="57">
        <f t="shared" si="69"/>
        <v>950</v>
      </c>
      <c r="M68" s="46"/>
      <c r="N68" s="16"/>
      <c r="O68" s="57">
        <f t="shared" si="70"/>
        <v>0</v>
      </c>
      <c r="P68" s="57">
        <f t="shared" si="64"/>
        <v>0</v>
      </c>
      <c r="Q68" s="46">
        <f>845.1-14</f>
        <v>831.1</v>
      </c>
      <c r="R68" s="16"/>
      <c r="S68" s="57">
        <f t="shared" si="71"/>
        <v>831.1</v>
      </c>
      <c r="T68" s="57">
        <f>S68/$L68*100</f>
        <v>87.484210526315792</v>
      </c>
      <c r="U68" s="46">
        <v>950</v>
      </c>
      <c r="V68" s="16"/>
      <c r="W68" s="57">
        <f t="shared" si="72"/>
        <v>950</v>
      </c>
      <c r="X68" s="57">
        <f>W68/$L68*100</f>
        <v>100</v>
      </c>
      <c r="Y68" s="46">
        <v>950</v>
      </c>
      <c r="Z68" s="16"/>
      <c r="AA68" s="57">
        <f t="shared" si="73"/>
        <v>950</v>
      </c>
      <c r="AB68" s="479">
        <f t="shared" si="77"/>
        <v>100</v>
      </c>
      <c r="AC68" s="394">
        <f t="shared" si="74"/>
        <v>0</v>
      </c>
      <c r="AD68" s="46">
        <v>950</v>
      </c>
      <c r="AE68" s="16"/>
      <c r="AF68" s="57">
        <f t="shared" si="75"/>
        <v>950</v>
      </c>
      <c r="AG68" s="57">
        <f t="shared" si="65"/>
        <v>100</v>
      </c>
      <c r="AH68" s="16">
        <v>950</v>
      </c>
      <c r="AI68" s="358">
        <f>AH68/G68</f>
        <v>1</v>
      </c>
      <c r="AJ68" s="57"/>
      <c r="AK68" s="187"/>
      <c r="AL68" s="427">
        <f>L68-AK68</f>
        <v>950</v>
      </c>
      <c r="AM68" s="319" t="s">
        <v>384</v>
      </c>
      <c r="AN68" s="306" t="s">
        <v>71</v>
      </c>
      <c r="AP68" s="188">
        <f t="shared" si="76"/>
        <v>950</v>
      </c>
      <c r="AQ68" s="187">
        <f t="shared" si="76"/>
        <v>0</v>
      </c>
      <c r="AT68" s="188">
        <f t="shared" si="1"/>
        <v>0</v>
      </c>
      <c r="AU68" s="187">
        <f t="shared" si="2"/>
        <v>0</v>
      </c>
    </row>
    <row r="69" spans="1:47" x14ac:dyDescent="0.2">
      <c r="A69" s="137">
        <v>35</v>
      </c>
      <c r="B69" s="24">
        <v>3500</v>
      </c>
      <c r="C69" s="24"/>
      <c r="D69" s="417" t="s">
        <v>115</v>
      </c>
      <c r="E69" s="58">
        <f t="shared" ref="E69:O69" si="78">SUM(E70:E70)</f>
        <v>0</v>
      </c>
      <c r="F69" s="59">
        <f t="shared" si="78"/>
        <v>0</v>
      </c>
      <c r="G69" s="60">
        <f t="shared" si="78"/>
        <v>0</v>
      </c>
      <c r="H69" s="190">
        <f t="shared" si="78"/>
        <v>0</v>
      </c>
      <c r="I69" s="191">
        <f t="shared" si="78"/>
        <v>0</v>
      </c>
      <c r="J69" s="58">
        <f t="shared" si="78"/>
        <v>0</v>
      </c>
      <c r="K69" s="59">
        <f t="shared" si="78"/>
        <v>0</v>
      </c>
      <c r="L69" s="60">
        <f t="shared" si="78"/>
        <v>0</v>
      </c>
      <c r="M69" s="58">
        <f t="shared" si="78"/>
        <v>0</v>
      </c>
      <c r="N69" s="59">
        <f t="shared" si="78"/>
        <v>0</v>
      </c>
      <c r="O69" s="60">
        <f t="shared" si="78"/>
        <v>0</v>
      </c>
      <c r="P69" s="60"/>
      <c r="Q69" s="58">
        <f>SUM(Q70:Q70)</f>
        <v>0</v>
      </c>
      <c r="R69" s="59">
        <f>SUM(R70:R70)</f>
        <v>0</v>
      </c>
      <c r="S69" s="60">
        <f>SUM(S70:S70)</f>
        <v>0</v>
      </c>
      <c r="T69" s="60"/>
      <c r="U69" s="58">
        <f>SUM(U70:U70)</f>
        <v>0</v>
      </c>
      <c r="V69" s="59">
        <f>SUM(V70:V70)</f>
        <v>0</v>
      </c>
      <c r="W69" s="60">
        <f>SUM(W70:W70)</f>
        <v>0</v>
      </c>
      <c r="X69" s="60"/>
      <c r="Y69" s="58">
        <f>SUM(Y70:Y70)</f>
        <v>0</v>
      </c>
      <c r="Z69" s="59">
        <f>SUM(Z70:Z70)</f>
        <v>0</v>
      </c>
      <c r="AA69" s="60">
        <f>SUM(AA70:AA70)</f>
        <v>0</v>
      </c>
      <c r="AB69" s="57" t="e">
        <f t="shared" si="77"/>
        <v>#DIV/0!</v>
      </c>
      <c r="AC69" s="395">
        <f>SUM(AC70:AC70)</f>
        <v>0</v>
      </c>
      <c r="AD69" s="58">
        <f>SUM(AD70:AD70)</f>
        <v>351</v>
      </c>
      <c r="AE69" s="59">
        <f>SUM(AE70:AE70)</f>
        <v>792</v>
      </c>
      <c r="AF69" s="60">
        <f>SUM(AF70:AF70)</f>
        <v>1143</v>
      </c>
      <c r="AG69" s="60"/>
      <c r="AH69" s="59">
        <f>SUM(AH70:AH70)</f>
        <v>1143</v>
      </c>
      <c r="AI69" s="359"/>
      <c r="AJ69" s="60"/>
      <c r="AK69" s="191">
        <f>SUM(AK70:AK70)</f>
        <v>0</v>
      </c>
      <c r="AL69" s="428" t="e">
        <f>SUM(#REF!)</f>
        <v>#REF!</v>
      </c>
      <c r="AM69" s="58"/>
      <c r="AN69" s="312"/>
      <c r="AP69" s="190">
        <f>SUM(AP70:AP70)</f>
        <v>0</v>
      </c>
      <c r="AQ69" s="191">
        <f>SUM(AQ70:AQ70)</f>
        <v>0</v>
      </c>
      <c r="AT69" s="190">
        <f t="shared" si="1"/>
        <v>0</v>
      </c>
      <c r="AU69" s="191">
        <f t="shared" si="2"/>
        <v>0</v>
      </c>
    </row>
    <row r="70" spans="1:47" x14ac:dyDescent="0.2">
      <c r="A70" s="90"/>
      <c r="B70" s="32">
        <v>3522</v>
      </c>
      <c r="C70" s="32">
        <v>233</v>
      </c>
      <c r="D70" s="383" t="s">
        <v>313</v>
      </c>
      <c r="E70" s="201"/>
      <c r="F70" s="16"/>
      <c r="G70" s="460">
        <f>E70+F70</f>
        <v>0</v>
      </c>
      <c r="H70" s="195"/>
      <c r="I70" s="382"/>
      <c r="J70" s="55"/>
      <c r="K70" s="16">
        <f>F70+I70</f>
        <v>0</v>
      </c>
      <c r="L70" s="57">
        <f>SUM(J70:K70)</f>
        <v>0</v>
      </c>
      <c r="M70" s="201"/>
      <c r="N70" s="16"/>
      <c r="O70" s="460">
        <f>M70+N70</f>
        <v>0</v>
      </c>
      <c r="P70" s="56"/>
      <c r="Q70" s="201"/>
      <c r="R70" s="16"/>
      <c r="S70" s="460">
        <f>Q70+R70</f>
        <v>0</v>
      </c>
      <c r="T70" s="56"/>
      <c r="U70" s="201"/>
      <c r="V70" s="16"/>
      <c r="W70" s="460">
        <f>U70+V70</f>
        <v>0</v>
      </c>
      <c r="X70" s="56"/>
      <c r="Y70" s="201"/>
      <c r="Z70" s="16"/>
      <c r="AA70" s="460">
        <f>Y70+Z70</f>
        <v>0</v>
      </c>
      <c r="AB70" s="57" t="e">
        <f t="shared" si="77"/>
        <v>#DIV/0!</v>
      </c>
      <c r="AC70" s="394">
        <f>L70/2-S70</f>
        <v>0</v>
      </c>
      <c r="AD70" s="201">
        <f>221+130</f>
        <v>351</v>
      </c>
      <c r="AE70" s="16">
        <v>792</v>
      </c>
      <c r="AF70" s="460">
        <f>AD70+AE70</f>
        <v>1143</v>
      </c>
      <c r="AG70" s="56"/>
      <c r="AH70" s="16">
        <f>351+792</f>
        <v>1143</v>
      </c>
      <c r="AI70" s="358"/>
      <c r="AJ70" s="460" t="s">
        <v>443</v>
      </c>
      <c r="AK70" s="382"/>
      <c r="AL70" s="430"/>
      <c r="AM70" s="319" t="s">
        <v>198</v>
      </c>
      <c r="AN70" s="306" t="s">
        <v>71</v>
      </c>
      <c r="AP70" s="188">
        <f>J70</f>
        <v>0</v>
      </c>
      <c r="AQ70" s="187">
        <f>K70</f>
        <v>0</v>
      </c>
      <c r="AT70" s="188">
        <f t="shared" si="1"/>
        <v>0</v>
      </c>
      <c r="AU70" s="187">
        <f t="shared" si="2"/>
        <v>0</v>
      </c>
    </row>
    <row r="71" spans="1:47" x14ac:dyDescent="0.2">
      <c r="A71" s="137">
        <v>36</v>
      </c>
      <c r="B71" s="24">
        <v>3600</v>
      </c>
      <c r="C71" s="24"/>
      <c r="D71" s="417" t="s">
        <v>75</v>
      </c>
      <c r="E71" s="58">
        <f t="shared" ref="E71:O71" si="79">SUM(E72:E94)</f>
        <v>13427</v>
      </c>
      <c r="F71" s="59">
        <f t="shared" si="79"/>
        <v>6900</v>
      </c>
      <c r="G71" s="60">
        <f t="shared" si="79"/>
        <v>20327</v>
      </c>
      <c r="H71" s="190">
        <f t="shared" si="79"/>
        <v>515.41600000000005</v>
      </c>
      <c r="I71" s="191">
        <f t="shared" si="79"/>
        <v>0</v>
      </c>
      <c r="J71" s="58">
        <f t="shared" si="79"/>
        <v>13942.415999999999</v>
      </c>
      <c r="K71" s="59">
        <f t="shared" si="79"/>
        <v>6900</v>
      </c>
      <c r="L71" s="60">
        <f t="shared" si="79"/>
        <v>20842.416000000001</v>
      </c>
      <c r="M71" s="58">
        <f t="shared" si="79"/>
        <v>2153.9811199999999</v>
      </c>
      <c r="N71" s="59">
        <f t="shared" si="79"/>
        <v>562.26890000000003</v>
      </c>
      <c r="O71" s="60">
        <f t="shared" si="79"/>
        <v>2716.2500199999999</v>
      </c>
      <c r="P71" s="60">
        <f>O71/$L71*100</f>
        <v>13.032318422202108</v>
      </c>
      <c r="Q71" s="58">
        <f>SUM(Q72:Q94)</f>
        <v>4416.7873800000007</v>
      </c>
      <c r="R71" s="59">
        <f>SUM(R72:R94)</f>
        <v>662.33390000000009</v>
      </c>
      <c r="S71" s="60">
        <f>SUM(S72:S94)</f>
        <v>5079.1212799999994</v>
      </c>
      <c r="T71" s="60">
        <f>S71/$L71*100</f>
        <v>24.369157970937721</v>
      </c>
      <c r="U71" s="58">
        <f>SUM(U72:U94)</f>
        <v>6487.9630300000008</v>
      </c>
      <c r="V71" s="59">
        <f>SUM(V72:V94)</f>
        <v>6659.6028999999999</v>
      </c>
      <c r="W71" s="60">
        <f>SUM(W72:W94)</f>
        <v>13147.565929999999</v>
      </c>
      <c r="X71" s="60">
        <f t="shared" ref="X71:X83" si="80">W71/$L71*100</f>
        <v>63.080815247138325</v>
      </c>
      <c r="Y71" s="58">
        <f>SUM(Y72:Y94)</f>
        <v>9544.2595899999978</v>
      </c>
      <c r="Z71" s="59">
        <f>SUM(Z72:Z94)</f>
        <v>7064.6079000000009</v>
      </c>
      <c r="AA71" s="60">
        <f>SUM(AA72:AA94)</f>
        <v>16608.867490000001</v>
      </c>
      <c r="AB71" s="60">
        <f t="shared" ref="AB71:AB83" si="81">AA71/$L71*100</f>
        <v>79.687822611351777</v>
      </c>
      <c r="AC71" s="395">
        <f>SUM(AC72:AC94)</f>
        <v>4233.5485100000014</v>
      </c>
      <c r="AD71" s="58">
        <f>SUM(AD72:AD94)</f>
        <v>15302</v>
      </c>
      <c r="AE71" s="59">
        <f>SUM(AE72:AE94)</f>
        <v>22650</v>
      </c>
      <c r="AF71" s="60">
        <f>SUM(AF72:AF94)</f>
        <v>37952</v>
      </c>
      <c r="AG71" s="60">
        <f t="shared" ref="AG71:AG83" si="82">AF71/$G71*100</f>
        <v>186.70733507157968</v>
      </c>
      <c r="AH71" s="59">
        <f>SUM(AH72:AH94)</f>
        <v>40089</v>
      </c>
      <c r="AI71" s="359">
        <f t="shared" ref="AI71:AI97" si="83">AH71/G71</f>
        <v>1.97220445712599</v>
      </c>
      <c r="AJ71" s="60"/>
      <c r="AK71" s="191">
        <f>SUM(AK72:AK94)</f>
        <v>0</v>
      </c>
      <c r="AL71" s="428">
        <f>SUM(AL72:AL94)</f>
        <v>17301.415999999997</v>
      </c>
      <c r="AM71" s="58"/>
      <c r="AN71" s="312"/>
      <c r="AP71" s="190">
        <f>SUM(AP72:AP94)</f>
        <v>10489.2309</v>
      </c>
      <c r="AQ71" s="191">
        <f>SUM(AQ72:AQ94)</f>
        <v>6800</v>
      </c>
      <c r="AT71" s="190">
        <f t="shared" si="1"/>
        <v>-3453.1850999999988</v>
      </c>
      <c r="AU71" s="191">
        <f t="shared" si="2"/>
        <v>-100</v>
      </c>
    </row>
    <row r="72" spans="1:47" ht="12" customHeight="1" x14ac:dyDescent="0.2">
      <c r="A72" s="136"/>
      <c r="B72" s="29">
        <v>3612</v>
      </c>
      <c r="C72" s="29" t="s">
        <v>291</v>
      </c>
      <c r="D72" s="207" t="s">
        <v>125</v>
      </c>
      <c r="E72" s="46">
        <f>6665-1750</f>
        <v>4915</v>
      </c>
      <c r="F72" s="16"/>
      <c r="G72" s="57">
        <f t="shared" ref="G72:G83" si="84">E72+F72</f>
        <v>4915</v>
      </c>
      <c r="H72" s="192"/>
      <c r="I72" s="189"/>
      <c r="J72" s="46">
        <f t="shared" ref="J72:J94" si="85">E72+H72</f>
        <v>4915</v>
      </c>
      <c r="K72" s="16"/>
      <c r="L72" s="57">
        <f t="shared" ref="L72:L94" si="86">SUM(J72:K72)</f>
        <v>4915</v>
      </c>
      <c r="M72" s="46">
        <f>471.31489+30.4983+538.97137</f>
        <v>1040.7845600000001</v>
      </c>
      <c r="N72" s="16"/>
      <c r="O72" s="57">
        <f t="shared" ref="O72:O83" si="87">M72+N72</f>
        <v>1040.7845600000001</v>
      </c>
      <c r="P72" s="57">
        <f>O72/$L72*100</f>
        <v>21.175677721261447</v>
      </c>
      <c r="Q72" s="46">
        <v>1114.35995</v>
      </c>
      <c r="R72" s="16"/>
      <c r="S72" s="57">
        <f t="shared" ref="S72:S83" si="88">Q72+R72</f>
        <v>1114.35995</v>
      </c>
      <c r="T72" s="57">
        <f>S72/$L72*100</f>
        <v>22.672633774160733</v>
      </c>
      <c r="U72" s="46">
        <v>1801.03449</v>
      </c>
      <c r="V72" s="16"/>
      <c r="W72" s="57">
        <f t="shared" ref="W72:W83" si="89">U72+V72</f>
        <v>1801.03449</v>
      </c>
      <c r="X72" s="57">
        <f t="shared" si="80"/>
        <v>36.643631536113936</v>
      </c>
      <c r="Y72" s="46">
        <v>2476.1937899999998</v>
      </c>
      <c r="Z72" s="16"/>
      <c r="AA72" s="57">
        <f t="shared" ref="AA72:AA83" si="90">Y72+Z72</f>
        <v>2476.1937899999998</v>
      </c>
      <c r="AB72" s="57">
        <f t="shared" si="81"/>
        <v>50.38034160732451</v>
      </c>
      <c r="AC72" s="394">
        <f t="shared" ref="AC72:AC94" si="91">L72-AA72</f>
        <v>2438.8062100000002</v>
      </c>
      <c r="AD72" s="46">
        <f>8006-500</f>
        <v>7506</v>
      </c>
      <c r="AE72" s="16"/>
      <c r="AF72" s="57">
        <f t="shared" ref="AF72:AF83" si="92">AD72+AE72</f>
        <v>7506</v>
      </c>
      <c r="AG72" s="57">
        <f t="shared" si="82"/>
        <v>152.71617497456765</v>
      </c>
      <c r="AH72" s="16">
        <f>6223+2200</f>
        <v>8423</v>
      </c>
      <c r="AI72" s="358">
        <f t="shared" si="83"/>
        <v>1.713733468972533</v>
      </c>
      <c r="AJ72" s="57" t="s">
        <v>506</v>
      </c>
      <c r="AK72" s="189"/>
      <c r="AL72" s="427">
        <f t="shared" ref="AL72:AL94" si="93">L72-AK72</f>
        <v>4915</v>
      </c>
      <c r="AM72" s="316" t="s">
        <v>355</v>
      </c>
      <c r="AN72" s="313" t="s">
        <v>290</v>
      </c>
      <c r="AP72" s="485">
        <f>J72-2200-56</f>
        <v>2659</v>
      </c>
      <c r="AQ72" s="187">
        <f>K72</f>
        <v>0</v>
      </c>
      <c r="AT72" s="485">
        <f t="shared" si="1"/>
        <v>-2256</v>
      </c>
      <c r="AU72" s="187">
        <f t="shared" si="2"/>
        <v>0</v>
      </c>
    </row>
    <row r="73" spans="1:47" x14ac:dyDescent="0.2">
      <c r="A73" s="136"/>
      <c r="B73" s="29">
        <v>3612</v>
      </c>
      <c r="C73" s="29" t="s">
        <v>291</v>
      </c>
      <c r="D73" s="207" t="s">
        <v>126</v>
      </c>
      <c r="E73" s="46">
        <v>2050</v>
      </c>
      <c r="F73" s="16"/>
      <c r="G73" s="57">
        <f t="shared" si="84"/>
        <v>2050</v>
      </c>
      <c r="H73" s="186"/>
      <c r="I73" s="187"/>
      <c r="J73" s="46">
        <f t="shared" si="85"/>
        <v>2050</v>
      </c>
      <c r="K73" s="16"/>
      <c r="L73" s="57">
        <f t="shared" si="86"/>
        <v>2050</v>
      </c>
      <c r="M73" s="46"/>
      <c r="N73" s="16"/>
      <c r="O73" s="57">
        <f t="shared" si="87"/>
        <v>0</v>
      </c>
      <c r="P73" s="57">
        <f>O73/$L73*100</f>
        <v>0</v>
      </c>
      <c r="Q73" s="46">
        <v>1046.90534</v>
      </c>
      <c r="R73" s="16"/>
      <c r="S73" s="57">
        <f t="shared" si="88"/>
        <v>1046.90534</v>
      </c>
      <c r="T73" s="57">
        <f>S73/$L73*100</f>
        <v>51.068553170731711</v>
      </c>
      <c r="U73" s="46">
        <v>1418.4009000000001</v>
      </c>
      <c r="V73" s="16"/>
      <c r="W73" s="57">
        <f t="shared" si="89"/>
        <v>1418.4009000000001</v>
      </c>
      <c r="X73" s="57">
        <f t="shared" si="80"/>
        <v>69.190287804878054</v>
      </c>
      <c r="Y73" s="46">
        <v>1953.9216100000001</v>
      </c>
      <c r="Z73" s="16"/>
      <c r="AA73" s="57">
        <f t="shared" si="90"/>
        <v>1953.9216100000001</v>
      </c>
      <c r="AB73" s="57">
        <f t="shared" si="81"/>
        <v>95.313249268292694</v>
      </c>
      <c r="AC73" s="394">
        <f t="shared" si="91"/>
        <v>96.078389999999899</v>
      </c>
      <c r="AD73" s="46">
        <v>1980</v>
      </c>
      <c r="AE73" s="16"/>
      <c r="AF73" s="57">
        <f t="shared" si="92"/>
        <v>1980</v>
      </c>
      <c r="AG73" s="57">
        <f t="shared" si="82"/>
        <v>96.58536585365853</v>
      </c>
      <c r="AH73" s="16">
        <v>1980</v>
      </c>
      <c r="AI73" s="358">
        <f t="shared" si="83"/>
        <v>0.96585365853658534</v>
      </c>
      <c r="AJ73" s="57" t="s">
        <v>298</v>
      </c>
      <c r="AK73" s="187"/>
      <c r="AL73" s="427">
        <f t="shared" si="93"/>
        <v>2050</v>
      </c>
      <c r="AM73" s="316" t="s">
        <v>355</v>
      </c>
      <c r="AN73" s="313" t="s">
        <v>290</v>
      </c>
      <c r="AP73" s="485">
        <f>U73/3*4</f>
        <v>1891.2012000000002</v>
      </c>
      <c r="AQ73" s="187">
        <f t="shared" ref="AQ73:AQ94" si="94">K73</f>
        <v>0</v>
      </c>
      <c r="AT73" s="485">
        <f t="shared" si="1"/>
        <v>-158.7987999999998</v>
      </c>
      <c r="AU73" s="187">
        <f t="shared" si="2"/>
        <v>0</v>
      </c>
    </row>
    <row r="74" spans="1:47" x14ac:dyDescent="0.2">
      <c r="A74" s="136"/>
      <c r="B74" s="29">
        <v>3612</v>
      </c>
      <c r="C74" s="29">
        <v>218</v>
      </c>
      <c r="D74" s="207" t="s">
        <v>327</v>
      </c>
      <c r="E74" s="46">
        <v>350</v>
      </c>
      <c r="F74" s="16"/>
      <c r="G74" s="57">
        <f t="shared" si="84"/>
        <v>350</v>
      </c>
      <c r="H74" s="186"/>
      <c r="I74" s="187"/>
      <c r="J74" s="46">
        <f t="shared" ref="J74:J83" si="95">E74+H74</f>
        <v>350</v>
      </c>
      <c r="K74" s="16"/>
      <c r="L74" s="57">
        <f t="shared" ref="L74:L83" si="96">SUM(J74:K74)</f>
        <v>350</v>
      </c>
      <c r="M74" s="46"/>
      <c r="N74" s="16"/>
      <c r="O74" s="57">
        <f t="shared" si="87"/>
        <v>0</v>
      </c>
      <c r="P74" s="57">
        <f>O74/$L74*100</f>
        <v>0</v>
      </c>
      <c r="Q74" s="46"/>
      <c r="R74" s="16">
        <v>0</v>
      </c>
      <c r="S74" s="57">
        <f t="shared" si="88"/>
        <v>0</v>
      </c>
      <c r="T74" s="57">
        <f>S74/$L74*100</f>
        <v>0</v>
      </c>
      <c r="U74" s="46">
        <v>0</v>
      </c>
      <c r="V74" s="16"/>
      <c r="W74" s="57">
        <f t="shared" si="89"/>
        <v>0</v>
      </c>
      <c r="X74" s="57">
        <f t="shared" si="80"/>
        <v>0</v>
      </c>
      <c r="Y74" s="46">
        <v>0</v>
      </c>
      <c r="Z74" s="16"/>
      <c r="AA74" s="57">
        <f t="shared" si="90"/>
        <v>0</v>
      </c>
      <c r="AB74" s="57">
        <f t="shared" si="81"/>
        <v>0</v>
      </c>
      <c r="AC74" s="394">
        <f t="shared" si="91"/>
        <v>350</v>
      </c>
      <c r="AD74" s="46"/>
      <c r="AE74" s="16"/>
      <c r="AF74" s="57">
        <f t="shared" si="92"/>
        <v>0</v>
      </c>
      <c r="AG74" s="57">
        <f t="shared" si="82"/>
        <v>0</v>
      </c>
      <c r="AH74" s="16"/>
      <c r="AI74" s="358">
        <f>AH74/G74</f>
        <v>0</v>
      </c>
      <c r="AJ74" s="57"/>
      <c r="AK74" s="187"/>
      <c r="AL74" s="427">
        <f>L74-AK74</f>
        <v>350</v>
      </c>
      <c r="AM74" s="320" t="s">
        <v>505</v>
      </c>
      <c r="AN74" s="307" t="s">
        <v>118</v>
      </c>
      <c r="AP74" s="485">
        <v>0</v>
      </c>
      <c r="AQ74" s="187">
        <f t="shared" si="94"/>
        <v>0</v>
      </c>
      <c r="AT74" s="481">
        <f t="shared" si="1"/>
        <v>-350</v>
      </c>
      <c r="AU74" s="187">
        <f t="shared" si="2"/>
        <v>0</v>
      </c>
    </row>
    <row r="75" spans="1:47" x14ac:dyDescent="0.2">
      <c r="A75" s="136"/>
      <c r="B75" s="29">
        <v>3612</v>
      </c>
      <c r="C75" s="29">
        <v>324</v>
      </c>
      <c r="D75" s="419" t="s">
        <v>374</v>
      </c>
      <c r="E75" s="46"/>
      <c r="F75" s="16">
        <v>200</v>
      </c>
      <c r="G75" s="57">
        <f t="shared" si="84"/>
        <v>200</v>
      </c>
      <c r="H75" s="186"/>
      <c r="I75" s="187"/>
      <c r="J75" s="46">
        <f t="shared" si="95"/>
        <v>0</v>
      </c>
      <c r="K75" s="16">
        <f>F75+I75</f>
        <v>200</v>
      </c>
      <c r="L75" s="57">
        <f t="shared" si="96"/>
        <v>200</v>
      </c>
      <c r="M75" s="46"/>
      <c r="N75" s="16"/>
      <c r="O75" s="57">
        <f t="shared" si="87"/>
        <v>0</v>
      </c>
      <c r="P75" s="57"/>
      <c r="Q75" s="46"/>
      <c r="R75" s="16">
        <v>65</v>
      </c>
      <c r="S75" s="57">
        <f t="shared" si="88"/>
        <v>65</v>
      </c>
      <c r="T75" s="57"/>
      <c r="U75" s="46"/>
      <c r="V75" s="16">
        <v>77.099999999999994</v>
      </c>
      <c r="W75" s="57">
        <f t="shared" si="89"/>
        <v>77.099999999999994</v>
      </c>
      <c r="X75" s="57">
        <f t="shared" si="80"/>
        <v>38.549999999999997</v>
      </c>
      <c r="Y75" s="46"/>
      <c r="Z75" s="16">
        <v>146.935</v>
      </c>
      <c r="AA75" s="57">
        <f t="shared" si="90"/>
        <v>146.935</v>
      </c>
      <c r="AB75" s="57">
        <f t="shared" si="81"/>
        <v>73.467500000000001</v>
      </c>
      <c r="AC75" s="394">
        <f t="shared" si="91"/>
        <v>53.064999999999998</v>
      </c>
      <c r="AD75" s="46">
        <v>40</v>
      </c>
      <c r="AE75" s="16">
        <v>4800</v>
      </c>
      <c r="AF75" s="57">
        <f t="shared" si="92"/>
        <v>4840</v>
      </c>
      <c r="AG75" s="57">
        <f t="shared" si="82"/>
        <v>2420</v>
      </c>
      <c r="AH75" s="16">
        <v>5250</v>
      </c>
      <c r="AI75" s="358"/>
      <c r="AJ75" s="405" t="s">
        <v>447</v>
      </c>
      <c r="AK75" s="187"/>
      <c r="AL75" s="427"/>
      <c r="AM75" s="320" t="s">
        <v>505</v>
      </c>
      <c r="AN75" s="307" t="s">
        <v>118</v>
      </c>
      <c r="AP75" s="188">
        <f t="shared" ref="AP75:AP94" si="97">J75</f>
        <v>0</v>
      </c>
      <c r="AQ75" s="486">
        <v>150</v>
      </c>
      <c r="AT75" s="188">
        <f t="shared" si="1"/>
        <v>0</v>
      </c>
      <c r="AU75" s="486">
        <f t="shared" si="2"/>
        <v>-50</v>
      </c>
    </row>
    <row r="76" spans="1:47" x14ac:dyDescent="0.2">
      <c r="A76" s="136"/>
      <c r="B76" s="29">
        <v>3612</v>
      </c>
      <c r="C76" s="29">
        <v>326</v>
      </c>
      <c r="D76" s="207" t="s">
        <v>385</v>
      </c>
      <c r="E76" s="46"/>
      <c r="F76" s="16">
        <v>4600</v>
      </c>
      <c r="G76" s="57">
        <f t="shared" si="84"/>
        <v>4600</v>
      </c>
      <c r="H76" s="186"/>
      <c r="I76" s="187"/>
      <c r="J76" s="46">
        <f t="shared" si="95"/>
        <v>0</v>
      </c>
      <c r="K76" s="16">
        <f>F76+I76</f>
        <v>4600</v>
      </c>
      <c r="L76" s="57">
        <f t="shared" si="96"/>
        <v>4600</v>
      </c>
      <c r="M76" s="46"/>
      <c r="N76" s="16">
        <v>312.78500000000003</v>
      </c>
      <c r="O76" s="57">
        <f t="shared" si="87"/>
        <v>312.78500000000003</v>
      </c>
      <c r="P76" s="57">
        <f t="shared" ref="P76:P83" si="98">O76/$L76*100</f>
        <v>6.7996739130434785</v>
      </c>
      <c r="Q76" s="46"/>
      <c r="R76" s="16">
        <v>347.85</v>
      </c>
      <c r="S76" s="57">
        <f t="shared" si="88"/>
        <v>347.85</v>
      </c>
      <c r="T76" s="57">
        <f t="shared" ref="T76:T83" si="99">S76/$L76*100</f>
        <v>7.5619565217391314</v>
      </c>
      <c r="U76" s="46"/>
      <c r="V76" s="16">
        <f>534.771+4000</f>
        <v>4534.7709999999997</v>
      </c>
      <c r="W76" s="57">
        <f t="shared" si="89"/>
        <v>4534.7709999999997</v>
      </c>
      <c r="X76" s="57">
        <f t="shared" si="80"/>
        <v>98.581978260869562</v>
      </c>
      <c r="Y76" s="46"/>
      <c r="Z76" s="16">
        <f>869.941+4000</f>
        <v>4869.9409999999998</v>
      </c>
      <c r="AA76" s="57">
        <f t="shared" si="90"/>
        <v>4869.9409999999998</v>
      </c>
      <c r="AB76" s="57">
        <f t="shared" si="81"/>
        <v>105.86828260869565</v>
      </c>
      <c r="AC76" s="394">
        <f t="shared" si="91"/>
        <v>-269.9409999999998</v>
      </c>
      <c r="AD76" s="46"/>
      <c r="AE76" s="16">
        <v>17200</v>
      </c>
      <c r="AF76" s="57">
        <f t="shared" si="92"/>
        <v>17200</v>
      </c>
      <c r="AG76" s="57">
        <f t="shared" si="82"/>
        <v>373.91304347826087</v>
      </c>
      <c r="AH76" s="16">
        <v>19000</v>
      </c>
      <c r="AI76" s="358">
        <f>AH76/G76</f>
        <v>4.1304347826086953</v>
      </c>
      <c r="AJ76" s="57"/>
      <c r="AK76" s="187"/>
      <c r="AL76" s="427">
        <f>L76-AK76</f>
        <v>4600</v>
      </c>
      <c r="AM76" s="320" t="s">
        <v>505</v>
      </c>
      <c r="AN76" s="307" t="s">
        <v>118</v>
      </c>
      <c r="AP76" s="188">
        <f t="shared" si="97"/>
        <v>0</v>
      </c>
      <c r="AQ76" s="187">
        <f t="shared" si="94"/>
        <v>4600</v>
      </c>
      <c r="AT76" s="188">
        <f t="shared" si="1"/>
        <v>0</v>
      </c>
      <c r="AU76" s="187">
        <f t="shared" si="2"/>
        <v>0</v>
      </c>
    </row>
    <row r="77" spans="1:47" x14ac:dyDescent="0.2">
      <c r="A77" s="136"/>
      <c r="B77" s="29">
        <v>3612</v>
      </c>
      <c r="C77" s="29">
        <v>327</v>
      </c>
      <c r="D77" s="207" t="s">
        <v>499</v>
      </c>
      <c r="E77" s="46"/>
      <c r="F77" s="16"/>
      <c r="G77" s="57"/>
      <c r="H77" s="186"/>
      <c r="I77" s="187"/>
      <c r="J77" s="46"/>
      <c r="K77" s="16"/>
      <c r="L77" s="57"/>
      <c r="M77" s="46"/>
      <c r="N77" s="16"/>
      <c r="O77" s="57"/>
      <c r="P77" s="57"/>
      <c r="Q77" s="46"/>
      <c r="R77" s="16"/>
      <c r="S77" s="57"/>
      <c r="T77" s="57"/>
      <c r="U77" s="46"/>
      <c r="V77" s="16"/>
      <c r="W77" s="57"/>
      <c r="X77" s="57"/>
      <c r="Y77" s="46"/>
      <c r="Z77" s="16"/>
      <c r="AA77" s="57"/>
      <c r="AB77" s="57"/>
      <c r="AC77" s="394"/>
      <c r="AD77" s="46"/>
      <c r="AE77" s="16">
        <v>300</v>
      </c>
      <c r="AF77" s="57">
        <f t="shared" si="92"/>
        <v>300</v>
      </c>
      <c r="AG77" s="57"/>
      <c r="AH77" s="17"/>
      <c r="AI77" s="358"/>
      <c r="AJ77" s="57"/>
      <c r="AK77" s="187"/>
      <c r="AL77" s="427"/>
      <c r="AM77" s="320" t="s">
        <v>505</v>
      </c>
      <c r="AN77" s="307" t="s">
        <v>118</v>
      </c>
      <c r="AP77" s="188"/>
      <c r="AQ77" s="187"/>
      <c r="AT77" s="188"/>
      <c r="AU77" s="187"/>
    </row>
    <row r="78" spans="1:47" x14ac:dyDescent="0.2">
      <c r="A78" s="136"/>
      <c r="B78" s="29">
        <v>3613</v>
      </c>
      <c r="C78" s="29">
        <v>305</v>
      </c>
      <c r="D78" s="419" t="s">
        <v>348</v>
      </c>
      <c r="E78" s="46">
        <f>277+146</f>
        <v>423</v>
      </c>
      <c r="F78" s="16"/>
      <c r="G78" s="57">
        <f t="shared" si="84"/>
        <v>423</v>
      </c>
      <c r="H78" s="186"/>
      <c r="I78" s="187"/>
      <c r="J78" s="46">
        <f t="shared" si="95"/>
        <v>423</v>
      </c>
      <c r="K78" s="16"/>
      <c r="L78" s="57">
        <f t="shared" si="96"/>
        <v>423</v>
      </c>
      <c r="M78" s="46">
        <v>108.745</v>
      </c>
      <c r="N78" s="16"/>
      <c r="O78" s="57">
        <f t="shared" si="87"/>
        <v>108.745</v>
      </c>
      <c r="P78" s="57">
        <f t="shared" si="98"/>
        <v>25.708037825059105</v>
      </c>
      <c r="Q78" s="46">
        <v>215.34800000000001</v>
      </c>
      <c r="R78" s="16"/>
      <c r="S78" s="57">
        <f t="shared" si="88"/>
        <v>215.34800000000001</v>
      </c>
      <c r="T78" s="57">
        <f t="shared" si="99"/>
        <v>50.909692671394801</v>
      </c>
      <c r="U78" s="46">
        <v>319.8</v>
      </c>
      <c r="V78" s="16"/>
      <c r="W78" s="57">
        <f t="shared" si="89"/>
        <v>319.8</v>
      </c>
      <c r="X78" s="57">
        <f t="shared" si="80"/>
        <v>75.602836879432616</v>
      </c>
      <c r="Y78" s="46">
        <v>422.09199999999998</v>
      </c>
      <c r="Z78" s="16"/>
      <c r="AA78" s="57">
        <f t="shared" si="90"/>
        <v>422.09199999999998</v>
      </c>
      <c r="AB78" s="57">
        <f t="shared" si="81"/>
        <v>99.785342789598104</v>
      </c>
      <c r="AC78" s="394">
        <f t="shared" si="91"/>
        <v>0.90800000000001546</v>
      </c>
      <c r="AD78" s="46">
        <f>243+146</f>
        <v>389</v>
      </c>
      <c r="AE78" s="16"/>
      <c r="AF78" s="57">
        <f t="shared" si="92"/>
        <v>389</v>
      </c>
      <c r="AG78" s="57">
        <f t="shared" si="82"/>
        <v>91.96217494089835</v>
      </c>
      <c r="AH78" s="46">
        <f>243+146</f>
        <v>389</v>
      </c>
      <c r="AI78" s="358"/>
      <c r="AJ78" s="57" t="s">
        <v>349</v>
      </c>
      <c r="AK78" s="187"/>
      <c r="AL78" s="427"/>
      <c r="AM78" s="320" t="s">
        <v>319</v>
      </c>
      <c r="AN78" s="307" t="s">
        <v>118</v>
      </c>
      <c r="AO78" s="117">
        <v>151</v>
      </c>
      <c r="AP78" s="188">
        <f t="shared" si="97"/>
        <v>423</v>
      </c>
      <c r="AQ78" s="187">
        <f t="shared" si="94"/>
        <v>0</v>
      </c>
      <c r="AT78" s="188">
        <f t="shared" ref="AT78:AT130" si="100">AP78-J78</f>
        <v>0</v>
      </c>
      <c r="AU78" s="187">
        <f t="shared" ref="AU78:AU130" si="101">AQ78-K78</f>
        <v>0</v>
      </c>
    </row>
    <row r="79" spans="1:47" x14ac:dyDescent="0.2">
      <c r="A79" s="136"/>
      <c r="B79" s="29">
        <v>3613</v>
      </c>
      <c r="C79" s="29">
        <v>306</v>
      </c>
      <c r="D79" s="419" t="s">
        <v>416</v>
      </c>
      <c r="E79" s="46"/>
      <c r="F79" s="16"/>
      <c r="G79" s="57"/>
      <c r="H79" s="186">
        <v>484</v>
      </c>
      <c r="I79" s="187"/>
      <c r="J79" s="46">
        <f>E79+H79</f>
        <v>484</v>
      </c>
      <c r="K79" s="16"/>
      <c r="L79" s="57">
        <f>SUM(J79:K79)</f>
        <v>484</v>
      </c>
      <c r="M79" s="46"/>
      <c r="N79" s="16"/>
      <c r="O79" s="57"/>
      <c r="P79" s="57"/>
      <c r="Q79" s="46">
        <v>0</v>
      </c>
      <c r="R79" s="16"/>
      <c r="S79" s="57">
        <f t="shared" si="88"/>
        <v>0</v>
      </c>
      <c r="T79" s="57">
        <f t="shared" si="99"/>
        <v>0</v>
      </c>
      <c r="U79" s="46">
        <v>0</v>
      </c>
      <c r="V79" s="16"/>
      <c r="W79" s="57">
        <f t="shared" si="89"/>
        <v>0</v>
      </c>
      <c r="X79" s="57">
        <f t="shared" si="80"/>
        <v>0</v>
      </c>
      <c r="Y79" s="46">
        <v>484</v>
      </c>
      <c r="Z79" s="16"/>
      <c r="AA79" s="57">
        <f>Y79+Z79</f>
        <v>484</v>
      </c>
      <c r="AB79" s="57">
        <f>AA79/$L79*100</f>
        <v>100</v>
      </c>
      <c r="AC79" s="394">
        <f t="shared" si="91"/>
        <v>0</v>
      </c>
      <c r="AD79" s="46"/>
      <c r="AE79" s="16"/>
      <c r="AF79" s="57">
        <f t="shared" si="92"/>
        <v>0</v>
      </c>
      <c r="AG79" s="57"/>
      <c r="AH79" s="16"/>
      <c r="AI79" s="358"/>
      <c r="AJ79" s="57" t="s">
        <v>468</v>
      </c>
      <c r="AK79" s="187"/>
      <c r="AL79" s="427"/>
      <c r="AM79" s="320" t="s">
        <v>319</v>
      </c>
      <c r="AN79" s="307" t="s">
        <v>118</v>
      </c>
      <c r="AP79" s="188">
        <f t="shared" si="97"/>
        <v>484</v>
      </c>
      <c r="AQ79" s="187">
        <f t="shared" si="94"/>
        <v>0</v>
      </c>
      <c r="AT79" s="188">
        <f t="shared" si="100"/>
        <v>0</v>
      </c>
      <c r="AU79" s="187">
        <f t="shared" si="101"/>
        <v>0</v>
      </c>
    </row>
    <row r="80" spans="1:47" x14ac:dyDescent="0.2">
      <c r="A80" s="136"/>
      <c r="B80" s="29">
        <v>3613</v>
      </c>
      <c r="C80" s="29">
        <v>316</v>
      </c>
      <c r="D80" s="207" t="s">
        <v>334</v>
      </c>
      <c r="E80" s="46">
        <f>583+51</f>
        <v>634</v>
      </c>
      <c r="F80" s="16"/>
      <c r="G80" s="57">
        <f t="shared" si="84"/>
        <v>634</v>
      </c>
      <c r="H80" s="186"/>
      <c r="I80" s="187"/>
      <c r="J80" s="46">
        <f t="shared" si="95"/>
        <v>634</v>
      </c>
      <c r="K80" s="16">
        <f>F80+I80</f>
        <v>0</v>
      </c>
      <c r="L80" s="57">
        <f t="shared" si="96"/>
        <v>634</v>
      </c>
      <c r="M80" s="46">
        <v>125.75069999999999</v>
      </c>
      <c r="N80" s="16"/>
      <c r="O80" s="57">
        <f t="shared" si="87"/>
        <v>125.75069999999999</v>
      </c>
      <c r="P80" s="57">
        <f t="shared" si="98"/>
        <v>19.834495268138799</v>
      </c>
      <c r="Q80" s="46">
        <v>199.22370000000001</v>
      </c>
      <c r="R80" s="16"/>
      <c r="S80" s="57">
        <f t="shared" si="88"/>
        <v>199.22370000000001</v>
      </c>
      <c r="T80" s="57">
        <f t="shared" si="99"/>
        <v>31.423296529968454</v>
      </c>
      <c r="U80" s="46">
        <v>269.76870000000002</v>
      </c>
      <c r="V80" s="16"/>
      <c r="W80" s="57">
        <f t="shared" si="89"/>
        <v>269.76870000000002</v>
      </c>
      <c r="X80" s="57">
        <f t="shared" si="80"/>
        <v>42.550268138801265</v>
      </c>
      <c r="Y80" s="46">
        <v>318.41813999999999</v>
      </c>
      <c r="Z80" s="16"/>
      <c r="AA80" s="57">
        <f t="shared" si="90"/>
        <v>318.41813999999999</v>
      </c>
      <c r="AB80" s="57">
        <f t="shared" si="81"/>
        <v>50.223681388012622</v>
      </c>
      <c r="AC80" s="394">
        <f t="shared" si="91"/>
        <v>315.58186000000001</v>
      </c>
      <c r="AD80" s="46">
        <v>398</v>
      </c>
      <c r="AE80" s="16"/>
      <c r="AF80" s="57">
        <f t="shared" si="92"/>
        <v>398</v>
      </c>
      <c r="AG80" s="57">
        <f t="shared" si="82"/>
        <v>62.776025236593057</v>
      </c>
      <c r="AH80" s="16">
        <v>398</v>
      </c>
      <c r="AI80" s="358">
        <f>AH80/G80</f>
        <v>0.62776025236593058</v>
      </c>
      <c r="AJ80" s="57" t="s">
        <v>453</v>
      </c>
      <c r="AK80" s="187"/>
      <c r="AL80" s="427"/>
      <c r="AM80" s="320" t="s">
        <v>314</v>
      </c>
      <c r="AN80" s="307" t="s">
        <v>68</v>
      </c>
      <c r="AP80" s="523">
        <f>U80/3*4</f>
        <v>359.69160000000005</v>
      </c>
      <c r="AQ80" s="187">
        <f t="shared" si="94"/>
        <v>0</v>
      </c>
      <c r="AT80" s="523">
        <f t="shared" si="100"/>
        <v>-274.30839999999995</v>
      </c>
      <c r="AU80" s="187">
        <f t="shared" si="101"/>
        <v>0</v>
      </c>
    </row>
    <row r="81" spans="1:47" x14ac:dyDescent="0.2">
      <c r="A81" s="136"/>
      <c r="B81" s="29">
        <v>3613</v>
      </c>
      <c r="C81" s="29">
        <v>317</v>
      </c>
      <c r="D81" s="207" t="s">
        <v>200</v>
      </c>
      <c r="E81" s="46">
        <v>104</v>
      </c>
      <c r="F81" s="16"/>
      <c r="G81" s="57">
        <f t="shared" si="84"/>
        <v>104</v>
      </c>
      <c r="H81" s="186"/>
      <c r="I81" s="189"/>
      <c r="J81" s="46">
        <f t="shared" si="95"/>
        <v>104</v>
      </c>
      <c r="K81" s="16"/>
      <c r="L81" s="57">
        <f t="shared" si="96"/>
        <v>104</v>
      </c>
      <c r="M81" s="46">
        <v>40.524000000000001</v>
      </c>
      <c r="N81" s="16"/>
      <c r="O81" s="57">
        <f t="shared" si="87"/>
        <v>40.524000000000001</v>
      </c>
      <c r="P81" s="57">
        <f t="shared" si="98"/>
        <v>38.965384615384622</v>
      </c>
      <c r="Q81" s="46">
        <v>77.778000000000006</v>
      </c>
      <c r="R81" s="16"/>
      <c r="S81" s="57">
        <f t="shared" si="88"/>
        <v>77.778000000000006</v>
      </c>
      <c r="T81" s="57">
        <f t="shared" si="99"/>
        <v>74.78653846153847</v>
      </c>
      <c r="U81" s="46">
        <v>83.188000000000002</v>
      </c>
      <c r="V81" s="16"/>
      <c r="W81" s="57">
        <f t="shared" si="89"/>
        <v>83.188000000000002</v>
      </c>
      <c r="X81" s="57">
        <f t="shared" si="80"/>
        <v>79.988461538461536</v>
      </c>
      <c r="Y81" s="46">
        <v>87.974000000000004</v>
      </c>
      <c r="Z81" s="16"/>
      <c r="AA81" s="57">
        <f t="shared" si="90"/>
        <v>87.974000000000004</v>
      </c>
      <c r="AB81" s="57">
        <f t="shared" si="81"/>
        <v>84.590384615384622</v>
      </c>
      <c r="AC81" s="394">
        <f t="shared" si="91"/>
        <v>16.025999999999996</v>
      </c>
      <c r="AD81" s="46">
        <v>134</v>
      </c>
      <c r="AE81" s="16"/>
      <c r="AF81" s="57">
        <f t="shared" si="92"/>
        <v>134</v>
      </c>
      <c r="AG81" s="57">
        <f t="shared" si="82"/>
        <v>128.84615384615387</v>
      </c>
      <c r="AH81" s="16">
        <v>102</v>
      </c>
      <c r="AI81" s="358">
        <f>AH81/G81</f>
        <v>0.98076923076923073</v>
      </c>
      <c r="AJ81" s="57"/>
      <c r="AK81" s="189"/>
      <c r="AL81" s="427">
        <f>L81-AK81</f>
        <v>104</v>
      </c>
      <c r="AM81" s="322" t="s">
        <v>314</v>
      </c>
      <c r="AN81" s="307" t="s">
        <v>68</v>
      </c>
      <c r="AP81" s="188">
        <f t="shared" si="97"/>
        <v>104</v>
      </c>
      <c r="AQ81" s="187">
        <f t="shared" si="94"/>
        <v>0</v>
      </c>
      <c r="AT81" s="188">
        <f t="shared" si="100"/>
        <v>0</v>
      </c>
      <c r="AU81" s="187">
        <f t="shared" si="101"/>
        <v>0</v>
      </c>
    </row>
    <row r="82" spans="1:47" x14ac:dyDescent="0.2">
      <c r="A82" s="136"/>
      <c r="B82" s="29">
        <v>3613</v>
      </c>
      <c r="C82" s="29">
        <v>703</v>
      </c>
      <c r="D82" s="207" t="s">
        <v>127</v>
      </c>
      <c r="E82" s="46">
        <v>350</v>
      </c>
      <c r="F82" s="16"/>
      <c r="G82" s="57">
        <f t="shared" si="84"/>
        <v>350</v>
      </c>
      <c r="H82" s="186"/>
      <c r="I82" s="187"/>
      <c r="J82" s="46">
        <f t="shared" si="95"/>
        <v>350</v>
      </c>
      <c r="K82" s="16"/>
      <c r="L82" s="57">
        <f t="shared" si="96"/>
        <v>350</v>
      </c>
      <c r="M82" s="46">
        <v>87.090559999999996</v>
      </c>
      <c r="N82" s="16"/>
      <c r="O82" s="57">
        <f t="shared" si="87"/>
        <v>87.090559999999996</v>
      </c>
      <c r="P82" s="57">
        <f t="shared" si="98"/>
        <v>24.883017142857142</v>
      </c>
      <c r="Q82" s="46">
        <v>142.00431</v>
      </c>
      <c r="R82" s="16"/>
      <c r="S82" s="57">
        <f t="shared" si="88"/>
        <v>142.00431</v>
      </c>
      <c r="T82" s="57">
        <f t="shared" si="99"/>
        <v>40.572659999999999</v>
      </c>
      <c r="U82" s="46">
        <v>206.69644</v>
      </c>
      <c r="V82" s="16"/>
      <c r="W82" s="57">
        <f t="shared" si="89"/>
        <v>206.69644</v>
      </c>
      <c r="X82" s="57">
        <f t="shared" si="80"/>
        <v>59.056125714285713</v>
      </c>
      <c r="Y82" s="46">
        <v>252.99635000000001</v>
      </c>
      <c r="Z82" s="16"/>
      <c r="AA82" s="57">
        <f t="shared" si="90"/>
        <v>252.99635000000001</v>
      </c>
      <c r="AB82" s="57">
        <f t="shared" si="81"/>
        <v>72.284671428571428</v>
      </c>
      <c r="AC82" s="394">
        <f t="shared" si="91"/>
        <v>97.003649999999993</v>
      </c>
      <c r="AD82" s="46">
        <v>300</v>
      </c>
      <c r="AE82" s="16"/>
      <c r="AF82" s="57">
        <f t="shared" si="92"/>
        <v>300</v>
      </c>
      <c r="AG82" s="57">
        <f t="shared" si="82"/>
        <v>85.714285714285708</v>
      </c>
      <c r="AH82" s="46">
        <v>300</v>
      </c>
      <c r="AI82" s="358">
        <f>AH82/G82</f>
        <v>0.8571428571428571</v>
      </c>
      <c r="AJ82" s="57" t="s">
        <v>471</v>
      </c>
      <c r="AK82" s="187"/>
      <c r="AL82" s="427">
        <f>L82-AK82</f>
        <v>350</v>
      </c>
      <c r="AM82" s="316" t="s">
        <v>355</v>
      </c>
      <c r="AN82" s="313" t="s">
        <v>290</v>
      </c>
      <c r="AP82" s="188">
        <f t="shared" si="97"/>
        <v>350</v>
      </c>
      <c r="AQ82" s="187">
        <f t="shared" si="94"/>
        <v>0</v>
      </c>
      <c r="AT82" s="188">
        <f t="shared" si="100"/>
        <v>0</v>
      </c>
      <c r="AU82" s="187">
        <f t="shared" si="101"/>
        <v>0</v>
      </c>
    </row>
    <row r="83" spans="1:47" x14ac:dyDescent="0.2">
      <c r="A83" s="136"/>
      <c r="B83" s="29">
        <v>3613</v>
      </c>
      <c r="C83" s="29">
        <v>703</v>
      </c>
      <c r="D83" s="207" t="s">
        <v>128</v>
      </c>
      <c r="E83" s="46">
        <v>300</v>
      </c>
      <c r="F83" s="16"/>
      <c r="G83" s="57">
        <f t="shared" si="84"/>
        <v>300</v>
      </c>
      <c r="H83" s="186"/>
      <c r="I83" s="187"/>
      <c r="J83" s="46">
        <f t="shared" si="95"/>
        <v>300</v>
      </c>
      <c r="K83" s="16"/>
      <c r="L83" s="57">
        <f t="shared" si="96"/>
        <v>300</v>
      </c>
      <c r="M83" s="46"/>
      <c r="N83" s="16"/>
      <c r="O83" s="57">
        <f t="shared" si="87"/>
        <v>0</v>
      </c>
      <c r="P83" s="57">
        <f t="shared" si="98"/>
        <v>0</v>
      </c>
      <c r="Q83" s="46">
        <v>79.996899999999997</v>
      </c>
      <c r="R83" s="16"/>
      <c r="S83" s="57">
        <f t="shared" si="88"/>
        <v>79.996899999999997</v>
      </c>
      <c r="T83" s="57">
        <f t="shared" si="99"/>
        <v>26.665633333333332</v>
      </c>
      <c r="U83" s="46">
        <v>125.51990000000001</v>
      </c>
      <c r="V83" s="16"/>
      <c r="W83" s="57">
        <f t="shared" si="89"/>
        <v>125.51990000000001</v>
      </c>
      <c r="X83" s="57">
        <f t="shared" si="80"/>
        <v>41.839966666666669</v>
      </c>
      <c r="Y83" s="46">
        <v>156.16911999999999</v>
      </c>
      <c r="Z83" s="16"/>
      <c r="AA83" s="57">
        <f t="shared" si="90"/>
        <v>156.16911999999999</v>
      </c>
      <c r="AB83" s="57">
        <f t="shared" si="81"/>
        <v>52.056373333333326</v>
      </c>
      <c r="AC83" s="394">
        <f t="shared" si="91"/>
        <v>143.83088000000001</v>
      </c>
      <c r="AD83" s="46">
        <v>300</v>
      </c>
      <c r="AE83" s="16"/>
      <c r="AF83" s="57">
        <f t="shared" si="92"/>
        <v>300</v>
      </c>
      <c r="AG83" s="57">
        <f t="shared" si="82"/>
        <v>100</v>
      </c>
      <c r="AH83" s="46">
        <v>300</v>
      </c>
      <c r="AI83" s="358">
        <f>AH83/G83</f>
        <v>1</v>
      </c>
      <c r="AJ83" s="57"/>
      <c r="AK83" s="187"/>
      <c r="AL83" s="427">
        <f>L83-AK83</f>
        <v>300</v>
      </c>
      <c r="AM83" s="316" t="s">
        <v>355</v>
      </c>
      <c r="AN83" s="313" t="s">
        <v>290</v>
      </c>
      <c r="AP83" s="188">
        <f t="shared" si="97"/>
        <v>300</v>
      </c>
      <c r="AQ83" s="187">
        <f t="shared" si="94"/>
        <v>0</v>
      </c>
      <c r="AT83" s="188">
        <f t="shared" si="100"/>
        <v>0</v>
      </c>
      <c r="AU83" s="187">
        <f t="shared" si="101"/>
        <v>0</v>
      </c>
    </row>
    <row r="84" spans="1:47" x14ac:dyDescent="0.2">
      <c r="A84" s="136"/>
      <c r="B84" s="29">
        <v>3631</v>
      </c>
      <c r="C84" s="29">
        <v>107</v>
      </c>
      <c r="D84" s="207" t="s">
        <v>77</v>
      </c>
      <c r="E84" s="46">
        <v>1640</v>
      </c>
      <c r="F84" s="16">
        <v>250</v>
      </c>
      <c r="G84" s="57">
        <f t="shared" ref="G84:G94" si="102">E84+F84</f>
        <v>1890</v>
      </c>
      <c r="H84" s="186"/>
      <c r="I84" s="187"/>
      <c r="J84" s="46">
        <f t="shared" si="85"/>
        <v>1640</v>
      </c>
      <c r="K84" s="16">
        <f>F84+I84</f>
        <v>250</v>
      </c>
      <c r="L84" s="57">
        <f t="shared" si="86"/>
        <v>1890</v>
      </c>
      <c r="M84" s="46">
        <f>579.9809-N84</f>
        <v>330.49700000000001</v>
      </c>
      <c r="N84" s="16">
        <v>249.48390000000001</v>
      </c>
      <c r="O84" s="57">
        <f t="shared" ref="O84:O94" si="103">M84+N84</f>
        <v>579.98090000000002</v>
      </c>
      <c r="P84" s="57">
        <f t="shared" ref="P84:P94" si="104">O84/$L84*100</f>
        <v>30.686820105820107</v>
      </c>
      <c r="Q84" s="46">
        <f>969.4679-R84</f>
        <v>719.98399999999992</v>
      </c>
      <c r="R84" s="16">
        <v>249.48390000000001</v>
      </c>
      <c r="S84" s="57">
        <f t="shared" ref="S84:S94" si="105">Q84+R84</f>
        <v>969.46789999999987</v>
      </c>
      <c r="T84" s="57">
        <f>S84/$L84*100</f>
        <v>51.294597883597881</v>
      </c>
      <c r="U84" s="46">
        <f>1305.1429-V84</f>
        <v>1055.6590000000001</v>
      </c>
      <c r="V84" s="16">
        <v>249.48390000000001</v>
      </c>
      <c r="W84" s="57">
        <f t="shared" ref="W84:W94" si="106">U84+V84</f>
        <v>1305.1429000000001</v>
      </c>
      <c r="X84" s="57">
        <f t="shared" ref="X84:X97" si="107">W84/$L84*100</f>
        <v>69.055179894179901</v>
      </c>
      <c r="Y84" s="46">
        <f>1742.1879-Z84</f>
        <v>1492.704</v>
      </c>
      <c r="Z84" s="16">
        <v>249.48390000000001</v>
      </c>
      <c r="AA84" s="57">
        <f t="shared" ref="AA84:AA94" si="108">Y84+Z84</f>
        <v>1742.1878999999999</v>
      </c>
      <c r="AB84" s="57">
        <f t="shared" ref="AB84:AB97" si="109">AA84/$L84*100</f>
        <v>92.17925396825396</v>
      </c>
      <c r="AC84" s="394">
        <f t="shared" si="91"/>
        <v>147.8121000000001</v>
      </c>
      <c r="AD84" s="46">
        <v>1640</v>
      </c>
      <c r="AE84" s="16"/>
      <c r="AF84" s="57">
        <f t="shared" ref="AF84:AF94" si="110">AD84+AE84</f>
        <v>1640</v>
      </c>
      <c r="AG84" s="57">
        <f>AF84/$G84*100</f>
        <v>86.772486772486772</v>
      </c>
      <c r="AH84" s="16">
        <v>1640</v>
      </c>
      <c r="AI84" s="358">
        <f t="shared" si="83"/>
        <v>0.86772486772486768</v>
      </c>
      <c r="AJ84" s="57"/>
      <c r="AK84" s="187"/>
      <c r="AL84" s="427">
        <f t="shared" si="93"/>
        <v>1890</v>
      </c>
      <c r="AM84" s="320" t="s">
        <v>196</v>
      </c>
      <c r="AN84" s="307" t="s">
        <v>118</v>
      </c>
      <c r="AP84" s="188">
        <f t="shared" si="97"/>
        <v>1640</v>
      </c>
      <c r="AQ84" s="187">
        <f t="shared" si="94"/>
        <v>250</v>
      </c>
      <c r="AT84" s="188">
        <f t="shared" si="100"/>
        <v>0</v>
      </c>
      <c r="AU84" s="187">
        <f t="shared" si="101"/>
        <v>0</v>
      </c>
    </row>
    <row r="85" spans="1:47" x14ac:dyDescent="0.2">
      <c r="A85" s="136"/>
      <c r="B85" s="29">
        <v>3632</v>
      </c>
      <c r="C85" s="29">
        <v>238</v>
      </c>
      <c r="D85" s="207" t="s">
        <v>38</v>
      </c>
      <c r="E85" s="46">
        <v>360</v>
      </c>
      <c r="F85" s="16">
        <v>50</v>
      </c>
      <c r="G85" s="57">
        <f t="shared" si="102"/>
        <v>410</v>
      </c>
      <c r="H85" s="186"/>
      <c r="I85" s="187"/>
      <c r="J85" s="46">
        <f t="shared" si="85"/>
        <v>360</v>
      </c>
      <c r="K85" s="16">
        <f>F85+I85</f>
        <v>50</v>
      </c>
      <c r="L85" s="57">
        <f t="shared" si="86"/>
        <v>410</v>
      </c>
      <c r="M85" s="46">
        <v>73.22</v>
      </c>
      <c r="N85" s="16"/>
      <c r="O85" s="57">
        <f t="shared" si="103"/>
        <v>73.22</v>
      </c>
      <c r="P85" s="57">
        <f t="shared" si="104"/>
        <v>17.858536585365854</v>
      </c>
      <c r="Q85" s="46">
        <v>182.63499999999999</v>
      </c>
      <c r="R85" s="16"/>
      <c r="S85" s="57">
        <f t="shared" si="105"/>
        <v>182.63499999999999</v>
      </c>
      <c r="T85" s="57">
        <f t="shared" ref="T85:T97" si="111">S85/$L85*100</f>
        <v>44.545121951219507</v>
      </c>
      <c r="U85" s="46">
        <v>263.16899999999998</v>
      </c>
      <c r="V85" s="16"/>
      <c r="W85" s="57">
        <f t="shared" si="106"/>
        <v>263.16899999999998</v>
      </c>
      <c r="X85" s="57">
        <f t="shared" si="107"/>
        <v>64.187560975609742</v>
      </c>
      <c r="Y85" s="46">
        <v>349.32900000000001</v>
      </c>
      <c r="Z85" s="16"/>
      <c r="AA85" s="57">
        <f t="shared" si="108"/>
        <v>349.32900000000001</v>
      </c>
      <c r="AB85" s="57">
        <f t="shared" si="109"/>
        <v>85.20219512195122</v>
      </c>
      <c r="AC85" s="394">
        <f t="shared" si="91"/>
        <v>60.670999999999992</v>
      </c>
      <c r="AD85" s="46">
        <v>351</v>
      </c>
      <c r="AE85" s="16">
        <v>50</v>
      </c>
      <c r="AF85" s="57">
        <f t="shared" si="110"/>
        <v>401</v>
      </c>
      <c r="AG85" s="57">
        <f>AF85/$G85*100</f>
        <v>97.804878048780481</v>
      </c>
      <c r="AH85" s="16">
        <f>351+50</f>
        <v>401</v>
      </c>
      <c r="AI85" s="358">
        <f t="shared" si="83"/>
        <v>0.97804878048780486</v>
      </c>
      <c r="AJ85" s="57" t="s">
        <v>452</v>
      </c>
      <c r="AK85" s="187"/>
      <c r="AL85" s="427">
        <f t="shared" si="93"/>
        <v>410</v>
      </c>
      <c r="AM85" s="322" t="s">
        <v>314</v>
      </c>
      <c r="AN85" s="307" t="s">
        <v>68</v>
      </c>
      <c r="AP85" s="188">
        <f t="shared" si="97"/>
        <v>360</v>
      </c>
      <c r="AQ85" s="486">
        <v>0</v>
      </c>
      <c r="AT85" s="188">
        <f t="shared" si="100"/>
        <v>0</v>
      </c>
      <c r="AU85" s="187">
        <f t="shared" si="101"/>
        <v>-50</v>
      </c>
    </row>
    <row r="86" spans="1:47" x14ac:dyDescent="0.2">
      <c r="A86" s="136"/>
      <c r="B86" s="29">
        <v>3632</v>
      </c>
      <c r="C86" s="29">
        <v>232</v>
      </c>
      <c r="D86" s="207" t="s">
        <v>498</v>
      </c>
      <c r="E86" s="46"/>
      <c r="F86" s="16"/>
      <c r="G86" s="57"/>
      <c r="H86" s="186"/>
      <c r="I86" s="187"/>
      <c r="J86" s="46"/>
      <c r="K86" s="16"/>
      <c r="L86" s="57"/>
      <c r="M86" s="46"/>
      <c r="N86" s="16"/>
      <c r="O86" s="57"/>
      <c r="P86" s="57"/>
      <c r="Q86" s="46"/>
      <c r="R86" s="16"/>
      <c r="S86" s="57"/>
      <c r="T86" s="57"/>
      <c r="U86" s="46"/>
      <c r="V86" s="16"/>
      <c r="W86" s="57"/>
      <c r="X86" s="57"/>
      <c r="Y86" s="46"/>
      <c r="Z86" s="16"/>
      <c r="AA86" s="57"/>
      <c r="AB86" s="57"/>
      <c r="AC86" s="394"/>
      <c r="AD86" s="46"/>
      <c r="AE86" s="16">
        <v>300</v>
      </c>
      <c r="AF86" s="57">
        <f t="shared" si="110"/>
        <v>300</v>
      </c>
      <c r="AG86" s="57"/>
      <c r="AH86" s="16"/>
      <c r="AI86" s="358"/>
      <c r="AJ86" s="57"/>
      <c r="AK86" s="187"/>
      <c r="AL86" s="427"/>
      <c r="AM86" s="320" t="s">
        <v>505</v>
      </c>
      <c r="AN86" s="307" t="s">
        <v>118</v>
      </c>
      <c r="AP86" s="188"/>
      <c r="AQ86" s="486"/>
      <c r="AT86" s="188"/>
      <c r="AU86" s="187"/>
    </row>
    <row r="87" spans="1:47" x14ac:dyDescent="0.2">
      <c r="A87" s="136"/>
      <c r="B87" s="29">
        <v>3635</v>
      </c>
      <c r="C87" s="29">
        <v>248</v>
      </c>
      <c r="D87" s="207" t="s">
        <v>203</v>
      </c>
      <c r="E87" s="46">
        <v>50</v>
      </c>
      <c r="F87" s="16"/>
      <c r="G87" s="57">
        <f t="shared" si="102"/>
        <v>50</v>
      </c>
      <c r="H87" s="186"/>
      <c r="I87" s="187"/>
      <c r="J87" s="46">
        <f t="shared" si="85"/>
        <v>50</v>
      </c>
      <c r="K87" s="16"/>
      <c r="L87" s="57">
        <f t="shared" si="86"/>
        <v>50</v>
      </c>
      <c r="M87" s="46"/>
      <c r="N87" s="16"/>
      <c r="O87" s="57">
        <f t="shared" si="103"/>
        <v>0</v>
      </c>
      <c r="P87" s="57">
        <f t="shared" si="104"/>
        <v>0</v>
      </c>
      <c r="Q87" s="46">
        <v>0</v>
      </c>
      <c r="R87" s="16"/>
      <c r="S87" s="57">
        <f t="shared" si="105"/>
        <v>0</v>
      </c>
      <c r="T87" s="57">
        <f t="shared" si="111"/>
        <v>0</v>
      </c>
      <c r="U87" s="46">
        <v>0</v>
      </c>
      <c r="V87" s="16"/>
      <c r="W87" s="57">
        <f t="shared" si="106"/>
        <v>0</v>
      </c>
      <c r="X87" s="57">
        <f t="shared" si="107"/>
        <v>0</v>
      </c>
      <c r="Y87" s="46">
        <v>0</v>
      </c>
      <c r="Z87" s="16"/>
      <c r="AA87" s="57">
        <f t="shared" si="108"/>
        <v>0</v>
      </c>
      <c r="AB87" s="57">
        <f t="shared" si="109"/>
        <v>0</v>
      </c>
      <c r="AC87" s="394">
        <f t="shared" si="91"/>
        <v>50</v>
      </c>
      <c r="AD87" s="46">
        <v>50</v>
      </c>
      <c r="AE87" s="16"/>
      <c r="AF87" s="57">
        <f t="shared" si="110"/>
        <v>50</v>
      </c>
      <c r="AG87" s="57">
        <f t="shared" ref="AG87:AG94" si="112">AF87/$G87*100</f>
        <v>100</v>
      </c>
      <c r="AH87" s="16">
        <v>100</v>
      </c>
      <c r="AI87" s="358">
        <f t="shared" si="83"/>
        <v>2</v>
      </c>
      <c r="AJ87" s="57"/>
      <c r="AK87" s="187"/>
      <c r="AL87" s="427">
        <f t="shared" si="93"/>
        <v>50</v>
      </c>
      <c r="AM87" s="323" t="s">
        <v>202</v>
      </c>
      <c r="AN87" s="314" t="s">
        <v>201</v>
      </c>
      <c r="AP87" s="481">
        <f t="shared" si="97"/>
        <v>50</v>
      </c>
      <c r="AQ87" s="187">
        <f t="shared" si="94"/>
        <v>0</v>
      </c>
      <c r="AT87" s="188">
        <f t="shared" si="100"/>
        <v>0</v>
      </c>
      <c r="AU87" s="187">
        <f t="shared" si="101"/>
        <v>0</v>
      </c>
    </row>
    <row r="88" spans="1:47" x14ac:dyDescent="0.2">
      <c r="A88" s="136"/>
      <c r="B88" s="29">
        <v>3636</v>
      </c>
      <c r="C88" s="29">
        <v>249</v>
      </c>
      <c r="D88" s="207" t="s">
        <v>253</v>
      </c>
      <c r="E88" s="46">
        <v>141</v>
      </c>
      <c r="F88" s="16"/>
      <c r="G88" s="57">
        <f t="shared" si="102"/>
        <v>141</v>
      </c>
      <c r="H88" s="192">
        <v>31.416</v>
      </c>
      <c r="I88" s="187"/>
      <c r="J88" s="46">
        <f t="shared" si="85"/>
        <v>172.416</v>
      </c>
      <c r="K88" s="16"/>
      <c r="L88" s="57">
        <f t="shared" si="86"/>
        <v>172.416</v>
      </c>
      <c r="M88" s="46">
        <v>1.6359999999999999</v>
      </c>
      <c r="N88" s="16"/>
      <c r="O88" s="57">
        <f t="shared" si="103"/>
        <v>1.6359999999999999</v>
      </c>
      <c r="P88" s="57">
        <f t="shared" si="104"/>
        <v>0.94886785449146238</v>
      </c>
      <c r="Q88" s="46">
        <v>33.508000000000003</v>
      </c>
      <c r="R88" s="16"/>
      <c r="S88" s="57">
        <f t="shared" si="105"/>
        <v>33.508000000000003</v>
      </c>
      <c r="T88" s="57">
        <f t="shared" si="111"/>
        <v>19.434391239792131</v>
      </c>
      <c r="U88" s="46">
        <f>62.78124+9.6</f>
        <v>72.381239999999991</v>
      </c>
      <c r="V88" s="16"/>
      <c r="W88" s="57">
        <f t="shared" si="106"/>
        <v>72.381239999999991</v>
      </c>
      <c r="X88" s="57">
        <f t="shared" si="107"/>
        <v>41.980581848552333</v>
      </c>
      <c r="Y88" s="46">
        <v>105.48724</v>
      </c>
      <c r="Z88" s="16"/>
      <c r="AA88" s="57">
        <f t="shared" si="108"/>
        <v>105.48724</v>
      </c>
      <c r="AB88" s="57">
        <f t="shared" si="109"/>
        <v>61.181816072754266</v>
      </c>
      <c r="AC88" s="394">
        <f t="shared" si="91"/>
        <v>66.928759999999997</v>
      </c>
      <c r="AD88" s="46">
        <f>238-42</f>
        <v>196</v>
      </c>
      <c r="AE88" s="16"/>
      <c r="AF88" s="57">
        <f t="shared" si="110"/>
        <v>196</v>
      </c>
      <c r="AG88" s="57">
        <f t="shared" si="112"/>
        <v>139.00709219858157</v>
      </c>
      <c r="AH88" s="16">
        <v>238</v>
      </c>
      <c r="AI88" s="358">
        <f t="shared" si="83"/>
        <v>1.6879432624113475</v>
      </c>
      <c r="AJ88" s="16" t="s">
        <v>459</v>
      </c>
      <c r="AK88" s="187"/>
      <c r="AL88" s="427">
        <f t="shared" si="93"/>
        <v>172.416</v>
      </c>
      <c r="AM88" s="533" t="s">
        <v>488</v>
      </c>
      <c r="AN88" s="307" t="s">
        <v>118</v>
      </c>
      <c r="AP88" s="188">
        <f t="shared" si="97"/>
        <v>172.416</v>
      </c>
      <c r="AQ88" s="187">
        <f t="shared" si="94"/>
        <v>0</v>
      </c>
      <c r="AT88" s="188">
        <f t="shared" si="100"/>
        <v>0</v>
      </c>
      <c r="AU88" s="187">
        <f t="shared" si="101"/>
        <v>0</v>
      </c>
    </row>
    <row r="89" spans="1:47" x14ac:dyDescent="0.2">
      <c r="A89" s="136"/>
      <c r="B89" s="29">
        <v>3639</v>
      </c>
      <c r="C89" s="29">
        <v>108</v>
      </c>
      <c r="D89" s="207" t="s">
        <v>95</v>
      </c>
      <c r="E89" s="46">
        <v>900</v>
      </c>
      <c r="F89" s="16"/>
      <c r="G89" s="57">
        <f t="shared" si="102"/>
        <v>900</v>
      </c>
      <c r="H89" s="188"/>
      <c r="I89" s="187"/>
      <c r="J89" s="46">
        <f t="shared" si="85"/>
        <v>900</v>
      </c>
      <c r="K89" s="16"/>
      <c r="L89" s="57">
        <f t="shared" si="86"/>
        <v>900</v>
      </c>
      <c r="M89" s="46">
        <v>133.55234999999999</v>
      </c>
      <c r="N89" s="16"/>
      <c r="O89" s="57">
        <f t="shared" si="103"/>
        <v>133.55234999999999</v>
      </c>
      <c r="P89" s="57">
        <f t="shared" si="104"/>
        <v>14.839149999999998</v>
      </c>
      <c r="Q89" s="46">
        <v>167.93600000000001</v>
      </c>
      <c r="R89" s="16"/>
      <c r="S89" s="57">
        <f t="shared" si="105"/>
        <v>167.93600000000001</v>
      </c>
      <c r="T89" s="57">
        <f t="shared" si="111"/>
        <v>18.659555555555556</v>
      </c>
      <c r="U89" s="46">
        <v>175.9221</v>
      </c>
      <c r="V89" s="16"/>
      <c r="W89" s="57">
        <f t="shared" si="106"/>
        <v>175.9221</v>
      </c>
      <c r="X89" s="57">
        <f t="shared" si="107"/>
        <v>19.546900000000001</v>
      </c>
      <c r="Y89" s="46">
        <v>464.82459999999998</v>
      </c>
      <c r="Z89" s="16"/>
      <c r="AA89" s="57">
        <f t="shared" si="108"/>
        <v>464.82459999999998</v>
      </c>
      <c r="AB89" s="57">
        <f t="shared" si="109"/>
        <v>51.647177777777777</v>
      </c>
      <c r="AC89" s="394">
        <f t="shared" si="91"/>
        <v>435.17540000000002</v>
      </c>
      <c r="AD89" s="46">
        <v>800</v>
      </c>
      <c r="AE89" s="16"/>
      <c r="AF89" s="57">
        <f t="shared" si="110"/>
        <v>800</v>
      </c>
      <c r="AG89" s="57">
        <f t="shared" si="112"/>
        <v>88.888888888888886</v>
      </c>
      <c r="AH89" s="16">
        <v>350</v>
      </c>
      <c r="AI89" s="358">
        <f t="shared" si="83"/>
        <v>0.3888888888888889</v>
      </c>
      <c r="AJ89" s="57"/>
      <c r="AK89" s="187"/>
      <c r="AL89" s="427">
        <f t="shared" si="93"/>
        <v>900</v>
      </c>
      <c r="AM89" s="320" t="s">
        <v>158</v>
      </c>
      <c r="AN89" s="307" t="s">
        <v>68</v>
      </c>
      <c r="AP89" s="485">
        <f>U89+300</f>
        <v>475.9221</v>
      </c>
      <c r="AQ89" s="187">
        <f t="shared" si="94"/>
        <v>0</v>
      </c>
      <c r="AT89" s="485">
        <f t="shared" si="100"/>
        <v>-424.0779</v>
      </c>
      <c r="AU89" s="187">
        <f t="shared" si="101"/>
        <v>0</v>
      </c>
    </row>
    <row r="90" spans="1:47" x14ac:dyDescent="0.2">
      <c r="A90" s="136"/>
      <c r="B90" s="29">
        <v>3639</v>
      </c>
      <c r="C90" s="29">
        <v>239</v>
      </c>
      <c r="D90" s="207" t="s">
        <v>185</v>
      </c>
      <c r="E90" s="46">
        <v>562</v>
      </c>
      <c r="F90" s="16"/>
      <c r="G90" s="57">
        <f t="shared" si="102"/>
        <v>562</v>
      </c>
      <c r="H90" s="186"/>
      <c r="I90" s="187"/>
      <c r="J90" s="46">
        <f t="shared" si="85"/>
        <v>562</v>
      </c>
      <c r="K90" s="16"/>
      <c r="L90" s="57">
        <f t="shared" si="86"/>
        <v>562</v>
      </c>
      <c r="M90" s="46">
        <v>74.400049999999993</v>
      </c>
      <c r="N90" s="16"/>
      <c r="O90" s="57">
        <f t="shared" si="103"/>
        <v>74.400049999999993</v>
      </c>
      <c r="P90" s="57">
        <f t="shared" si="104"/>
        <v>13.23844306049822</v>
      </c>
      <c r="Q90" s="46">
        <v>142.36928</v>
      </c>
      <c r="R90" s="16"/>
      <c r="S90" s="57">
        <f t="shared" si="105"/>
        <v>142.36928</v>
      </c>
      <c r="T90" s="57">
        <f t="shared" si="111"/>
        <v>25.33261209964413</v>
      </c>
      <c r="U90" s="46">
        <f>2057.42246-V91</f>
        <v>259.17445999999973</v>
      </c>
      <c r="V90" s="16"/>
      <c r="W90" s="57">
        <f t="shared" si="106"/>
        <v>259.17445999999973</v>
      </c>
      <c r="X90" s="57">
        <f t="shared" si="107"/>
        <v>46.116451957295325</v>
      </c>
      <c r="Y90" s="46">
        <f>2173.84593-Z91</f>
        <v>375.59792999999991</v>
      </c>
      <c r="Z90" s="16"/>
      <c r="AA90" s="57">
        <f t="shared" si="108"/>
        <v>375.59792999999991</v>
      </c>
      <c r="AB90" s="57">
        <f t="shared" si="109"/>
        <v>66.832371886120981</v>
      </c>
      <c r="AC90" s="394">
        <f t="shared" si="91"/>
        <v>186.40207000000009</v>
      </c>
      <c r="AD90" s="46">
        <v>486</v>
      </c>
      <c r="AE90" s="16"/>
      <c r="AF90" s="57">
        <f t="shared" si="110"/>
        <v>486</v>
      </c>
      <c r="AG90" s="57">
        <f t="shared" si="112"/>
        <v>86.47686832740213</v>
      </c>
      <c r="AH90" s="16">
        <v>486</v>
      </c>
      <c r="AI90" s="358">
        <f t="shared" si="83"/>
        <v>0.86476868327402134</v>
      </c>
      <c r="AJ90" s="57"/>
      <c r="AK90" s="187"/>
      <c r="AL90" s="427">
        <f t="shared" si="93"/>
        <v>562</v>
      </c>
      <c r="AM90" s="320" t="s">
        <v>196</v>
      </c>
      <c r="AN90" s="307" t="s">
        <v>118</v>
      </c>
      <c r="AP90" s="188">
        <f t="shared" si="97"/>
        <v>562</v>
      </c>
      <c r="AQ90" s="187">
        <f t="shared" si="94"/>
        <v>0</v>
      </c>
      <c r="AT90" s="188">
        <f t="shared" si="100"/>
        <v>0</v>
      </c>
      <c r="AU90" s="187">
        <f t="shared" si="101"/>
        <v>0</v>
      </c>
    </row>
    <row r="91" spans="1:47" x14ac:dyDescent="0.2">
      <c r="A91" s="136"/>
      <c r="B91" s="29">
        <v>3639</v>
      </c>
      <c r="C91" s="29">
        <v>239</v>
      </c>
      <c r="D91" s="207" t="s">
        <v>376</v>
      </c>
      <c r="E91" s="46"/>
      <c r="F91" s="16">
        <v>1800</v>
      </c>
      <c r="G91" s="57">
        <f t="shared" si="102"/>
        <v>1800</v>
      </c>
      <c r="H91" s="186"/>
      <c r="I91" s="187"/>
      <c r="J91" s="46"/>
      <c r="K91" s="16">
        <f>F91+I91</f>
        <v>1800</v>
      </c>
      <c r="L91" s="57">
        <f t="shared" si="86"/>
        <v>1800</v>
      </c>
      <c r="M91" s="46"/>
      <c r="N91" s="16"/>
      <c r="O91" s="57">
        <f t="shared" si="103"/>
        <v>0</v>
      </c>
      <c r="P91" s="57"/>
      <c r="Q91" s="46"/>
      <c r="R91" s="16">
        <v>0</v>
      </c>
      <c r="S91" s="57">
        <f t="shared" si="105"/>
        <v>0</v>
      </c>
      <c r="T91" s="57"/>
      <c r="U91" s="46"/>
      <c r="V91" s="16">
        <v>1798.248</v>
      </c>
      <c r="W91" s="57">
        <f t="shared" si="106"/>
        <v>1798.248</v>
      </c>
      <c r="X91" s="57">
        <f t="shared" si="107"/>
        <v>99.902666666666676</v>
      </c>
      <c r="Y91" s="46"/>
      <c r="Z91" s="16">
        <v>1798.248</v>
      </c>
      <c r="AA91" s="57">
        <f t="shared" si="108"/>
        <v>1798.248</v>
      </c>
      <c r="AB91" s="57"/>
      <c r="AC91" s="394">
        <f t="shared" si="91"/>
        <v>1.7519999999999527</v>
      </c>
      <c r="AD91" s="46"/>
      <c r="AE91" s="16"/>
      <c r="AF91" s="57">
        <f t="shared" si="110"/>
        <v>0</v>
      </c>
      <c r="AG91" s="57">
        <f t="shared" si="112"/>
        <v>0</v>
      </c>
      <c r="AH91" s="16"/>
      <c r="AI91" s="358"/>
      <c r="AJ91" s="57" t="s">
        <v>444</v>
      </c>
      <c r="AK91" s="187"/>
      <c r="AL91" s="427"/>
      <c r="AM91" s="320" t="s">
        <v>196</v>
      </c>
      <c r="AN91" s="307" t="s">
        <v>305</v>
      </c>
      <c r="AP91" s="188">
        <f t="shared" si="97"/>
        <v>0</v>
      </c>
      <c r="AQ91" s="187">
        <f t="shared" si="94"/>
        <v>1800</v>
      </c>
      <c r="AT91" s="188">
        <f t="shared" si="100"/>
        <v>0</v>
      </c>
      <c r="AU91" s="187">
        <f t="shared" si="101"/>
        <v>0</v>
      </c>
    </row>
    <row r="92" spans="1:47" x14ac:dyDescent="0.2">
      <c r="A92" s="136"/>
      <c r="B92" s="29">
        <v>3639</v>
      </c>
      <c r="C92" s="29">
        <v>243</v>
      </c>
      <c r="D92" s="207" t="s">
        <v>154</v>
      </c>
      <c r="E92" s="46">
        <f>64+291</f>
        <v>355</v>
      </c>
      <c r="F92" s="16"/>
      <c r="G92" s="57">
        <f t="shared" si="102"/>
        <v>355</v>
      </c>
      <c r="H92" s="186"/>
      <c r="I92" s="187"/>
      <c r="J92" s="46">
        <f t="shared" si="85"/>
        <v>355</v>
      </c>
      <c r="K92" s="16"/>
      <c r="L92" s="57">
        <f t="shared" si="86"/>
        <v>355</v>
      </c>
      <c r="M92" s="46">
        <f>66.4809+12.2</f>
        <v>78.680900000000008</v>
      </c>
      <c r="N92" s="16"/>
      <c r="O92" s="57">
        <f t="shared" si="103"/>
        <v>78.680900000000008</v>
      </c>
      <c r="P92" s="57">
        <f t="shared" si="104"/>
        <v>22.163633802816904</v>
      </c>
      <c r="Q92" s="46">
        <f>144.7169+21.227</f>
        <v>165.94390000000001</v>
      </c>
      <c r="R92" s="16"/>
      <c r="S92" s="57">
        <f t="shared" si="105"/>
        <v>165.94390000000001</v>
      </c>
      <c r="T92" s="57">
        <f t="shared" si="111"/>
        <v>46.744760563380282</v>
      </c>
      <c r="U92" s="46">
        <f>223.243+21.585</f>
        <v>244.828</v>
      </c>
      <c r="V92" s="16"/>
      <c r="W92" s="57">
        <f t="shared" si="106"/>
        <v>244.828</v>
      </c>
      <c r="X92" s="57">
        <f t="shared" si="107"/>
        <v>68.96563380281691</v>
      </c>
      <c r="Y92" s="46">
        <f>305.71941+4.352</f>
        <v>310.07140999999996</v>
      </c>
      <c r="Z92" s="16"/>
      <c r="AA92" s="57">
        <f t="shared" si="108"/>
        <v>310.07140999999996</v>
      </c>
      <c r="AB92" s="57">
        <f t="shared" si="109"/>
        <v>87.344059154929568</v>
      </c>
      <c r="AC92" s="394">
        <f t="shared" si="91"/>
        <v>44.928590000000042</v>
      </c>
      <c r="AD92" s="46">
        <f>63+315</f>
        <v>378</v>
      </c>
      <c r="AE92" s="16"/>
      <c r="AF92" s="57">
        <f t="shared" si="110"/>
        <v>378</v>
      </c>
      <c r="AG92" s="57">
        <f t="shared" si="112"/>
        <v>106.47887323943661</v>
      </c>
      <c r="AH92" s="16">
        <f>63+315</f>
        <v>378</v>
      </c>
      <c r="AI92" s="358">
        <f t="shared" si="83"/>
        <v>1.0647887323943661</v>
      </c>
      <c r="AJ92" s="57"/>
      <c r="AK92" s="187"/>
      <c r="AL92" s="427">
        <f t="shared" si="93"/>
        <v>355</v>
      </c>
      <c r="AM92" s="322" t="s">
        <v>68</v>
      </c>
      <c r="AN92" s="307" t="s">
        <v>306</v>
      </c>
      <c r="AP92" s="188">
        <f t="shared" si="97"/>
        <v>355</v>
      </c>
      <c r="AQ92" s="187">
        <f t="shared" si="94"/>
        <v>0</v>
      </c>
      <c r="AT92" s="188">
        <f t="shared" si="100"/>
        <v>0</v>
      </c>
      <c r="AU92" s="187">
        <f t="shared" si="101"/>
        <v>0</v>
      </c>
    </row>
    <row r="93" spans="1:47" x14ac:dyDescent="0.2">
      <c r="A93" s="136"/>
      <c r="B93" s="29">
        <v>3639</v>
      </c>
      <c r="C93" s="29">
        <v>319</v>
      </c>
      <c r="D93" s="207" t="s">
        <v>264</v>
      </c>
      <c r="E93" s="46">
        <v>227</v>
      </c>
      <c r="F93" s="16"/>
      <c r="G93" s="57">
        <f t="shared" si="102"/>
        <v>227</v>
      </c>
      <c r="H93" s="188"/>
      <c r="I93" s="187"/>
      <c r="J93" s="46">
        <f t="shared" si="85"/>
        <v>227</v>
      </c>
      <c r="K93" s="16"/>
      <c r="L93" s="57">
        <f t="shared" si="86"/>
        <v>227</v>
      </c>
      <c r="M93" s="46">
        <v>56.7</v>
      </c>
      <c r="N93" s="16"/>
      <c r="O93" s="57">
        <f t="shared" si="103"/>
        <v>56.7</v>
      </c>
      <c r="P93" s="57">
        <f t="shared" si="104"/>
        <v>24.977973568281939</v>
      </c>
      <c r="Q93" s="46">
        <v>113.4</v>
      </c>
      <c r="R93" s="16"/>
      <c r="S93" s="57">
        <f t="shared" si="105"/>
        <v>113.4</v>
      </c>
      <c r="T93" s="57">
        <f t="shared" si="111"/>
        <v>49.955947136563879</v>
      </c>
      <c r="U93" s="46">
        <v>170.1</v>
      </c>
      <c r="V93" s="16"/>
      <c r="W93" s="57">
        <f t="shared" si="106"/>
        <v>170.1</v>
      </c>
      <c r="X93" s="57">
        <f t="shared" si="107"/>
        <v>74.933920704845818</v>
      </c>
      <c r="Y93" s="46">
        <v>234.96719999999999</v>
      </c>
      <c r="Z93" s="16"/>
      <c r="AA93" s="57">
        <f t="shared" si="108"/>
        <v>234.96719999999999</v>
      </c>
      <c r="AB93" s="57">
        <f t="shared" si="109"/>
        <v>103.5097797356828</v>
      </c>
      <c r="AC93" s="394">
        <f t="shared" si="91"/>
        <v>-7.9671999999999912</v>
      </c>
      <c r="AD93" s="46">
        <v>227</v>
      </c>
      <c r="AE93" s="16"/>
      <c r="AF93" s="57">
        <f t="shared" si="110"/>
        <v>227</v>
      </c>
      <c r="AG93" s="57">
        <f t="shared" si="112"/>
        <v>100</v>
      </c>
      <c r="AH93" s="16">
        <v>227</v>
      </c>
      <c r="AI93" s="358">
        <f t="shared" si="83"/>
        <v>1</v>
      </c>
      <c r="AJ93" s="57" t="s">
        <v>304</v>
      </c>
      <c r="AK93" s="187"/>
      <c r="AL93" s="427">
        <f t="shared" si="93"/>
        <v>227</v>
      </c>
      <c r="AM93" s="322" t="s">
        <v>314</v>
      </c>
      <c r="AN93" s="307" t="s">
        <v>68</v>
      </c>
      <c r="AP93" s="485">
        <f>J93+10</f>
        <v>237</v>
      </c>
      <c r="AQ93" s="187">
        <f t="shared" si="94"/>
        <v>0</v>
      </c>
      <c r="AT93" s="485">
        <f t="shared" si="100"/>
        <v>10</v>
      </c>
      <c r="AU93" s="187">
        <f t="shared" si="101"/>
        <v>0</v>
      </c>
    </row>
    <row r="94" spans="1:47" x14ac:dyDescent="0.2">
      <c r="A94" s="138"/>
      <c r="B94" s="35">
        <v>3639</v>
      </c>
      <c r="C94" s="35">
        <v>319.20999999999998</v>
      </c>
      <c r="D94" s="418" t="s">
        <v>262</v>
      </c>
      <c r="E94" s="61">
        <f>18+48</f>
        <v>66</v>
      </c>
      <c r="F94" s="16"/>
      <c r="G94" s="57">
        <f t="shared" si="102"/>
        <v>66</v>
      </c>
      <c r="H94" s="406"/>
      <c r="I94" s="194"/>
      <c r="J94" s="61">
        <f t="shared" si="85"/>
        <v>66</v>
      </c>
      <c r="K94" s="64"/>
      <c r="L94" s="63">
        <f t="shared" si="86"/>
        <v>66</v>
      </c>
      <c r="M94" s="69">
        <v>2.4</v>
      </c>
      <c r="N94" s="16"/>
      <c r="O94" s="57">
        <f t="shared" si="103"/>
        <v>2.4</v>
      </c>
      <c r="P94" s="63">
        <f t="shared" si="104"/>
        <v>3.6363636363636362</v>
      </c>
      <c r="Q94" s="69">
        <v>15.395</v>
      </c>
      <c r="R94" s="16"/>
      <c r="S94" s="57">
        <f t="shared" si="105"/>
        <v>15.395</v>
      </c>
      <c r="T94" s="63">
        <f t="shared" si="111"/>
        <v>23.325757575757574</v>
      </c>
      <c r="U94" s="69">
        <v>22.320799999999998</v>
      </c>
      <c r="V94" s="16"/>
      <c r="W94" s="57">
        <f t="shared" si="106"/>
        <v>22.320799999999998</v>
      </c>
      <c r="X94" s="63">
        <f t="shared" si="107"/>
        <v>33.81939393939394</v>
      </c>
      <c r="Y94" s="69">
        <f>34.054+25.4592</f>
        <v>59.513199999999998</v>
      </c>
      <c r="Z94" s="16"/>
      <c r="AA94" s="57">
        <f t="shared" si="108"/>
        <v>59.513199999999998</v>
      </c>
      <c r="AB94" s="63">
        <f t="shared" si="109"/>
        <v>90.171515151515152</v>
      </c>
      <c r="AC94" s="394">
        <f t="shared" si="91"/>
        <v>6.4868000000000023</v>
      </c>
      <c r="AD94" s="69">
        <f>36+91</f>
        <v>127</v>
      </c>
      <c r="AE94" s="16"/>
      <c r="AF94" s="57">
        <f t="shared" si="110"/>
        <v>127</v>
      </c>
      <c r="AG94" s="63">
        <f t="shared" si="112"/>
        <v>192.42424242424244</v>
      </c>
      <c r="AH94" s="69">
        <f>36+91</f>
        <v>127</v>
      </c>
      <c r="AI94" s="360">
        <f t="shared" si="83"/>
        <v>1.9242424242424243</v>
      </c>
      <c r="AJ94" s="63" t="s">
        <v>446</v>
      </c>
      <c r="AK94" s="194"/>
      <c r="AL94" s="427">
        <f t="shared" si="93"/>
        <v>66</v>
      </c>
      <c r="AM94" s="421" t="s">
        <v>314</v>
      </c>
      <c r="AN94" s="309" t="s">
        <v>68</v>
      </c>
      <c r="AP94" s="188">
        <f t="shared" si="97"/>
        <v>66</v>
      </c>
      <c r="AQ94" s="187">
        <f t="shared" si="94"/>
        <v>0</v>
      </c>
      <c r="AT94" s="188">
        <f t="shared" si="100"/>
        <v>0</v>
      </c>
      <c r="AU94" s="187">
        <f t="shared" si="101"/>
        <v>0</v>
      </c>
    </row>
    <row r="95" spans="1:47" x14ac:dyDescent="0.2">
      <c r="A95" s="137">
        <v>37</v>
      </c>
      <c r="B95" s="24"/>
      <c r="C95" s="24"/>
      <c r="D95" s="417" t="s">
        <v>116</v>
      </c>
      <c r="E95" s="58">
        <f t="shared" ref="E95:O95" si="113">SUM(E96:E103)</f>
        <v>12528</v>
      </c>
      <c r="F95" s="59">
        <f t="shared" si="113"/>
        <v>0</v>
      </c>
      <c r="G95" s="60">
        <f t="shared" si="113"/>
        <v>12528</v>
      </c>
      <c r="H95" s="190">
        <f t="shared" si="113"/>
        <v>179.95999999999998</v>
      </c>
      <c r="I95" s="191">
        <f t="shared" si="113"/>
        <v>0</v>
      </c>
      <c r="J95" s="58">
        <f t="shared" si="113"/>
        <v>12707.96</v>
      </c>
      <c r="K95" s="59">
        <f t="shared" si="113"/>
        <v>0</v>
      </c>
      <c r="L95" s="60">
        <f t="shared" si="113"/>
        <v>12707.96</v>
      </c>
      <c r="M95" s="58">
        <f t="shared" si="113"/>
        <v>2000.71642</v>
      </c>
      <c r="N95" s="59">
        <f t="shared" si="113"/>
        <v>0</v>
      </c>
      <c r="O95" s="60">
        <f t="shared" si="113"/>
        <v>2000.71642</v>
      </c>
      <c r="P95" s="60">
        <f t="shared" ref="P95:P131" si="114">O95/$L95*100</f>
        <v>15.743804827840188</v>
      </c>
      <c r="Q95" s="58">
        <f>SUM(Q96:Q103)</f>
        <v>4673.3336099999997</v>
      </c>
      <c r="R95" s="59">
        <f>SUM(R96:R103)</f>
        <v>0</v>
      </c>
      <c r="S95" s="60">
        <f>SUM(S96:S103)</f>
        <v>4673.3336099999997</v>
      </c>
      <c r="T95" s="60">
        <f t="shared" si="111"/>
        <v>36.774853005517798</v>
      </c>
      <c r="U95" s="58">
        <f>SUM(U96:U103)</f>
        <v>8330.6325499999984</v>
      </c>
      <c r="V95" s="59">
        <f>SUM(V96:V103)</f>
        <v>0</v>
      </c>
      <c r="W95" s="60">
        <f>SUM(W96:W103)</f>
        <v>8330.6325499999984</v>
      </c>
      <c r="X95" s="60">
        <f t="shared" si="107"/>
        <v>65.554444222361411</v>
      </c>
      <c r="Y95" s="58">
        <f>SUM(Y96:Y103)</f>
        <v>11662.420899999999</v>
      </c>
      <c r="Z95" s="59">
        <f>SUM(Z96:Z103)</f>
        <v>0</v>
      </c>
      <c r="AA95" s="60">
        <f>SUM(AA96:AA103)</f>
        <v>11662.420899999999</v>
      </c>
      <c r="AB95" s="60">
        <f t="shared" si="109"/>
        <v>91.772565384215881</v>
      </c>
      <c r="AC95" s="395">
        <f>SUM(AC96:AC103)</f>
        <v>1045.5391</v>
      </c>
      <c r="AD95" s="58">
        <f>SUM(AD96:AD103)</f>
        <v>12522</v>
      </c>
      <c r="AE95" s="59">
        <f>SUM(AE96:AE103)</f>
        <v>103</v>
      </c>
      <c r="AF95" s="60">
        <f>SUM(AF96:AF103)</f>
        <v>12625</v>
      </c>
      <c r="AG95" s="60">
        <f t="shared" ref="AG95:AG101" si="115">AF95/$G95*100</f>
        <v>100.77426564495531</v>
      </c>
      <c r="AH95" s="59">
        <f>SUM(AH96:AH103)</f>
        <v>16249</v>
      </c>
      <c r="AI95" s="359">
        <f t="shared" si="83"/>
        <v>1.2970146871008941</v>
      </c>
      <c r="AJ95" s="60"/>
      <c r="AK95" s="191">
        <f>SUM(AK96:AK103)</f>
        <v>0</v>
      </c>
      <c r="AL95" s="428">
        <f>SUM(AL96:AL103)</f>
        <v>12427.96</v>
      </c>
      <c r="AM95" s="55"/>
      <c r="AN95" s="74"/>
      <c r="AP95" s="190">
        <f>SUM(AP96:AP103)</f>
        <v>12707.96</v>
      </c>
      <c r="AQ95" s="191">
        <f>SUM(AQ96:AQ103)</f>
        <v>0</v>
      </c>
      <c r="AT95" s="190">
        <f t="shared" si="100"/>
        <v>0</v>
      </c>
      <c r="AU95" s="191">
        <f t="shared" si="101"/>
        <v>0</v>
      </c>
    </row>
    <row r="96" spans="1:47" x14ac:dyDescent="0.2">
      <c r="A96" s="136"/>
      <c r="B96" s="29">
        <v>3722</v>
      </c>
      <c r="C96" s="29">
        <v>240</v>
      </c>
      <c r="D96" s="207" t="s">
        <v>78</v>
      </c>
      <c r="E96" s="46">
        <v>6634</v>
      </c>
      <c r="F96" s="16"/>
      <c r="G96" s="57">
        <f>E96+F96</f>
        <v>6634</v>
      </c>
      <c r="H96" s="192">
        <f>30+29.96</f>
        <v>59.96</v>
      </c>
      <c r="I96" s="187"/>
      <c r="J96" s="46">
        <f t="shared" ref="J96:J103" si="116">E96+H96</f>
        <v>6693.96</v>
      </c>
      <c r="K96" s="16"/>
      <c r="L96" s="57">
        <f t="shared" ref="L96:L103" si="117">SUM(J96:K96)</f>
        <v>6693.96</v>
      </c>
      <c r="M96" s="46">
        <v>1417.652</v>
      </c>
      <c r="N96" s="16"/>
      <c r="O96" s="57">
        <f>M96+N96</f>
        <v>1417.652</v>
      </c>
      <c r="P96" s="57">
        <f t="shared" si="114"/>
        <v>21.178076952954605</v>
      </c>
      <c r="Q96" s="46">
        <v>3191.0365999999999</v>
      </c>
      <c r="R96" s="16"/>
      <c r="S96" s="57">
        <f>Q96+R96</f>
        <v>3191.0365999999999</v>
      </c>
      <c r="T96" s="57">
        <f t="shared" si="111"/>
        <v>47.670386437923142</v>
      </c>
      <c r="U96" s="46">
        <v>4929.8316699999996</v>
      </c>
      <c r="V96" s="16"/>
      <c r="W96" s="57">
        <f>U96+V96</f>
        <v>4929.8316699999996</v>
      </c>
      <c r="X96" s="57">
        <f t="shared" si="107"/>
        <v>73.645968455144626</v>
      </c>
      <c r="Y96" s="46">
        <v>6594.5495799999999</v>
      </c>
      <c r="Z96" s="16"/>
      <c r="AA96" s="57">
        <f t="shared" ref="AA96:AA103" si="118">Y96+Z96</f>
        <v>6594.5495799999999</v>
      </c>
      <c r="AB96" s="57">
        <f t="shared" si="109"/>
        <v>98.514923602770253</v>
      </c>
      <c r="AC96" s="394">
        <f t="shared" ref="AC96:AC103" si="119">L96-AA96</f>
        <v>99.410420000000158</v>
      </c>
      <c r="AD96" s="46">
        <v>6522</v>
      </c>
      <c r="AE96" s="16"/>
      <c r="AF96" s="57">
        <f t="shared" ref="AF96:AF103" si="120">AD96+AE96</f>
        <v>6522</v>
      </c>
      <c r="AG96" s="57">
        <f t="shared" si="115"/>
        <v>98.311727464576421</v>
      </c>
      <c r="AH96" s="16">
        <v>6522</v>
      </c>
      <c r="AI96" s="358">
        <f t="shared" si="83"/>
        <v>0.98311727464576426</v>
      </c>
      <c r="AJ96" s="57"/>
      <c r="AK96" s="187"/>
      <c r="AL96" s="427">
        <f>L96-AK96</f>
        <v>6693.96</v>
      </c>
      <c r="AM96" s="320" t="s">
        <v>319</v>
      </c>
      <c r="AN96" s="307" t="s">
        <v>196</v>
      </c>
      <c r="AP96" s="188">
        <f>J96</f>
        <v>6693.96</v>
      </c>
      <c r="AQ96" s="187">
        <f>K96</f>
        <v>0</v>
      </c>
      <c r="AT96" s="188">
        <f t="shared" si="100"/>
        <v>0</v>
      </c>
      <c r="AU96" s="187">
        <f t="shared" si="101"/>
        <v>0</v>
      </c>
    </row>
    <row r="97" spans="1:47" x14ac:dyDescent="0.2">
      <c r="A97" s="136"/>
      <c r="B97" s="29">
        <v>3722</v>
      </c>
      <c r="C97" s="29">
        <v>5110</v>
      </c>
      <c r="D97" s="207" t="s">
        <v>276</v>
      </c>
      <c r="E97" s="46">
        <v>759</v>
      </c>
      <c r="F97" s="16"/>
      <c r="G97" s="57">
        <f>E97+F97</f>
        <v>759</v>
      </c>
      <c r="H97" s="192"/>
      <c r="I97" s="187"/>
      <c r="J97" s="46">
        <f t="shared" si="116"/>
        <v>759</v>
      </c>
      <c r="K97" s="16"/>
      <c r="L97" s="57">
        <f t="shared" si="117"/>
        <v>759</v>
      </c>
      <c r="M97" s="46">
        <v>227.81813</v>
      </c>
      <c r="N97" s="16"/>
      <c r="O97" s="57">
        <f>M97+N97</f>
        <v>227.81813</v>
      </c>
      <c r="P97" s="57">
        <f t="shared" si="114"/>
        <v>30.015563899868248</v>
      </c>
      <c r="Q97" s="46">
        <v>493.31813</v>
      </c>
      <c r="R97" s="16"/>
      <c r="S97" s="57">
        <f>Q97+R97</f>
        <v>493.31813</v>
      </c>
      <c r="T97" s="57">
        <f t="shared" si="111"/>
        <v>64.995801054018443</v>
      </c>
      <c r="U97" s="46">
        <v>758.81813</v>
      </c>
      <c r="V97" s="16"/>
      <c r="W97" s="57">
        <f>U97+V97</f>
        <v>758.81813</v>
      </c>
      <c r="X97" s="57">
        <f t="shared" si="107"/>
        <v>99.976038208168632</v>
      </c>
      <c r="Y97" s="46">
        <v>758.81813</v>
      </c>
      <c r="Z97" s="16"/>
      <c r="AA97" s="57">
        <f t="shared" si="118"/>
        <v>758.81813</v>
      </c>
      <c r="AB97" s="57">
        <f t="shared" si="109"/>
        <v>99.976038208168632</v>
      </c>
      <c r="AC97" s="394">
        <f t="shared" si="119"/>
        <v>0.18187000000000353</v>
      </c>
      <c r="AD97" s="46">
        <f>208+94</f>
        <v>302</v>
      </c>
      <c r="AE97" s="16">
        <v>103</v>
      </c>
      <c r="AF97" s="57">
        <f t="shared" si="120"/>
        <v>405</v>
      </c>
      <c r="AG97" s="57">
        <f t="shared" si="115"/>
        <v>53.359683794466406</v>
      </c>
      <c r="AH97" s="16">
        <v>769</v>
      </c>
      <c r="AI97" s="358">
        <f t="shared" si="83"/>
        <v>1.0131752305665349</v>
      </c>
      <c r="AJ97" s="57"/>
      <c r="AK97" s="187"/>
      <c r="AL97" s="427">
        <f>L97-AK97</f>
        <v>759</v>
      </c>
      <c r="AM97" s="320" t="s">
        <v>319</v>
      </c>
      <c r="AN97" s="307" t="s">
        <v>196</v>
      </c>
      <c r="AP97" s="188">
        <f t="shared" ref="AP97:AP103" si="121">J97</f>
        <v>759</v>
      </c>
      <c r="AQ97" s="187">
        <f t="shared" ref="AQ97:AQ103" si="122">K97</f>
        <v>0</v>
      </c>
      <c r="AT97" s="188">
        <f t="shared" si="100"/>
        <v>0</v>
      </c>
      <c r="AU97" s="187">
        <f t="shared" si="101"/>
        <v>0</v>
      </c>
    </row>
    <row r="98" spans="1:47" x14ac:dyDescent="0.2">
      <c r="A98" s="136"/>
      <c r="B98" s="29">
        <v>3722</v>
      </c>
      <c r="C98" s="29">
        <v>253</v>
      </c>
      <c r="D98" s="419" t="s">
        <v>423</v>
      </c>
      <c r="E98" s="46"/>
      <c r="F98" s="16"/>
      <c r="G98" s="57"/>
      <c r="H98" s="192">
        <v>250</v>
      </c>
      <c r="I98" s="187"/>
      <c r="J98" s="46">
        <f t="shared" si="116"/>
        <v>250</v>
      </c>
      <c r="K98" s="16"/>
      <c r="L98" s="57">
        <f t="shared" si="117"/>
        <v>250</v>
      </c>
      <c r="M98" s="46"/>
      <c r="N98" s="16"/>
      <c r="O98" s="57"/>
      <c r="P98" s="57"/>
      <c r="Q98" s="46"/>
      <c r="R98" s="16"/>
      <c r="S98" s="57"/>
      <c r="T98" s="57"/>
      <c r="U98" s="46">
        <v>242</v>
      </c>
      <c r="V98" s="16"/>
      <c r="W98" s="57">
        <f t="shared" ref="W98:W103" si="123">U98+V98</f>
        <v>242</v>
      </c>
      <c r="X98" s="57">
        <f>W98/$L98*100</f>
        <v>96.8</v>
      </c>
      <c r="Y98" s="46">
        <v>242</v>
      </c>
      <c r="Z98" s="16"/>
      <c r="AA98" s="57">
        <f t="shared" si="118"/>
        <v>242</v>
      </c>
      <c r="AB98" s="57">
        <f>AA98/$L98*100</f>
        <v>96.8</v>
      </c>
      <c r="AC98" s="394">
        <f t="shared" si="119"/>
        <v>8</v>
      </c>
      <c r="AD98" s="46"/>
      <c r="AE98" s="16"/>
      <c r="AF98" s="57">
        <f t="shared" si="120"/>
        <v>0</v>
      </c>
      <c r="AG98" s="57"/>
      <c r="AH98" s="16"/>
      <c r="AI98" s="358"/>
      <c r="AJ98" s="57" t="s">
        <v>444</v>
      </c>
      <c r="AK98" s="187"/>
      <c r="AL98" s="427"/>
      <c r="AM98" s="320" t="s">
        <v>319</v>
      </c>
      <c r="AN98" s="307" t="s">
        <v>305</v>
      </c>
      <c r="AP98" s="188">
        <f t="shared" si="121"/>
        <v>250</v>
      </c>
      <c r="AQ98" s="187">
        <f t="shared" si="122"/>
        <v>0</v>
      </c>
      <c r="AT98" s="188">
        <f t="shared" si="100"/>
        <v>0</v>
      </c>
      <c r="AU98" s="187">
        <f t="shared" si="101"/>
        <v>0</v>
      </c>
    </row>
    <row r="99" spans="1:47" x14ac:dyDescent="0.2">
      <c r="A99" s="136"/>
      <c r="B99" s="29">
        <v>3745</v>
      </c>
      <c r="C99" s="29">
        <v>241</v>
      </c>
      <c r="D99" s="207" t="s">
        <v>79</v>
      </c>
      <c r="E99" s="46">
        <f>2475+2220-350</f>
        <v>4345</v>
      </c>
      <c r="F99" s="16"/>
      <c r="G99" s="57">
        <f>E99+F99</f>
        <v>4345</v>
      </c>
      <c r="H99" s="192">
        <v>-90</v>
      </c>
      <c r="I99" s="187"/>
      <c r="J99" s="46">
        <f t="shared" si="116"/>
        <v>4255</v>
      </c>
      <c r="K99" s="16"/>
      <c r="L99" s="57">
        <f t="shared" si="117"/>
        <v>4255</v>
      </c>
      <c r="M99" s="46">
        <f>215.596+122.629</f>
        <v>338.22500000000002</v>
      </c>
      <c r="N99" s="16"/>
      <c r="O99" s="57">
        <f>M99+N99</f>
        <v>338.22500000000002</v>
      </c>
      <c r="P99" s="57">
        <f>O99/$L99*100</f>
        <v>7.9488836662749707</v>
      </c>
      <c r="Q99" s="46">
        <f>727.34847+135.371</f>
        <v>862.71947</v>
      </c>
      <c r="R99" s="16"/>
      <c r="S99" s="57">
        <f>Q99+R99</f>
        <v>862.71947</v>
      </c>
      <c r="T99" s="57">
        <f>S99/$L99*100</f>
        <v>20.275428202115158</v>
      </c>
      <c r="U99" s="46">
        <f>1889.6673+158.315</f>
        <v>2047.9823000000001</v>
      </c>
      <c r="V99" s="16"/>
      <c r="W99" s="57">
        <f t="shared" si="123"/>
        <v>2047.9823000000001</v>
      </c>
      <c r="X99" s="57">
        <f>W99/$L99*100</f>
        <v>48.13119388954172</v>
      </c>
      <c r="Y99" s="46">
        <v>3337.92263</v>
      </c>
      <c r="Z99" s="16"/>
      <c r="AA99" s="57">
        <f t="shared" si="118"/>
        <v>3337.92263</v>
      </c>
      <c r="AB99" s="57">
        <f>AA99/$L99*100</f>
        <v>78.447065334900117</v>
      </c>
      <c r="AC99" s="394">
        <f t="shared" si="119"/>
        <v>917.07736999999997</v>
      </c>
      <c r="AD99" s="46">
        <f>2144-50+2364</f>
        <v>4458</v>
      </c>
      <c r="AE99" s="16"/>
      <c r="AF99" s="57">
        <f t="shared" si="120"/>
        <v>4458</v>
      </c>
      <c r="AG99" s="57">
        <f t="shared" si="115"/>
        <v>102.60069044879172</v>
      </c>
      <c r="AH99" s="16">
        <f>2144+2364</f>
        <v>4508</v>
      </c>
      <c r="AI99" s="358">
        <f>AH99/G99</f>
        <v>1.0375143843498273</v>
      </c>
      <c r="AJ99" s="57" t="s">
        <v>438</v>
      </c>
      <c r="AK99" s="187"/>
      <c r="AL99" s="427">
        <f>L99-AK99</f>
        <v>4255</v>
      </c>
      <c r="AM99" s="320" t="s">
        <v>280</v>
      </c>
      <c r="AN99" s="307" t="s">
        <v>196</v>
      </c>
      <c r="AP99" s="481">
        <f t="shared" si="121"/>
        <v>4255</v>
      </c>
      <c r="AQ99" s="187">
        <f t="shared" si="122"/>
        <v>0</v>
      </c>
      <c r="AT99" s="188">
        <f t="shared" si="100"/>
        <v>0</v>
      </c>
      <c r="AU99" s="187">
        <f t="shared" si="101"/>
        <v>0</v>
      </c>
    </row>
    <row r="100" spans="1:47" x14ac:dyDescent="0.2">
      <c r="A100" s="136"/>
      <c r="B100" s="29">
        <v>3745</v>
      </c>
      <c r="C100" s="29">
        <v>242</v>
      </c>
      <c r="D100" s="207" t="s">
        <v>240</v>
      </c>
      <c r="E100" s="46">
        <v>460</v>
      </c>
      <c r="F100" s="16"/>
      <c r="G100" s="57">
        <f>E100+F100</f>
        <v>460</v>
      </c>
      <c r="H100" s="188"/>
      <c r="I100" s="187"/>
      <c r="J100" s="46">
        <f t="shared" si="116"/>
        <v>460</v>
      </c>
      <c r="K100" s="16"/>
      <c r="L100" s="57">
        <f t="shared" si="117"/>
        <v>460</v>
      </c>
      <c r="M100" s="46"/>
      <c r="N100" s="16"/>
      <c r="O100" s="57">
        <f>M100+N100</f>
        <v>0</v>
      </c>
      <c r="P100" s="57">
        <f>O100/$L100*100</f>
        <v>0</v>
      </c>
      <c r="Q100" s="46">
        <v>109.17</v>
      </c>
      <c r="R100" s="16"/>
      <c r="S100" s="57">
        <f>Q100+R100</f>
        <v>109.17</v>
      </c>
      <c r="T100" s="57">
        <f>S100/$L100*100</f>
        <v>23.732608695652175</v>
      </c>
      <c r="U100" s="46">
        <v>296.66199999999998</v>
      </c>
      <c r="V100" s="16"/>
      <c r="W100" s="57">
        <f t="shared" si="123"/>
        <v>296.66199999999998</v>
      </c>
      <c r="X100" s="57">
        <f>W100/$L100*100</f>
        <v>64.49173913043478</v>
      </c>
      <c r="Y100" s="46">
        <v>447.738</v>
      </c>
      <c r="Z100" s="16"/>
      <c r="AA100" s="57">
        <f t="shared" si="118"/>
        <v>447.738</v>
      </c>
      <c r="AB100" s="57">
        <f>AA100/$L100*100</f>
        <v>97.334347826086955</v>
      </c>
      <c r="AC100" s="394">
        <f t="shared" si="119"/>
        <v>12.262</v>
      </c>
      <c r="AD100" s="46">
        <v>450</v>
      </c>
      <c r="AE100" s="16"/>
      <c r="AF100" s="57">
        <f t="shared" si="120"/>
        <v>450</v>
      </c>
      <c r="AG100" s="57">
        <f t="shared" si="115"/>
        <v>97.826086956521735</v>
      </c>
      <c r="AH100" s="16">
        <v>450</v>
      </c>
      <c r="AI100" s="358">
        <f>AH100/G100</f>
        <v>0.97826086956521741</v>
      </c>
      <c r="AJ100" s="57"/>
      <c r="AK100" s="187"/>
      <c r="AL100" s="427">
        <f>L100-AK100</f>
        <v>460</v>
      </c>
      <c r="AM100" s="320" t="s">
        <v>280</v>
      </c>
      <c r="AN100" s="307" t="s">
        <v>196</v>
      </c>
      <c r="AP100" s="188">
        <f t="shared" si="121"/>
        <v>460</v>
      </c>
      <c r="AQ100" s="187">
        <f t="shared" si="122"/>
        <v>0</v>
      </c>
      <c r="AT100" s="188">
        <f t="shared" si="100"/>
        <v>0</v>
      </c>
      <c r="AU100" s="187">
        <f t="shared" si="101"/>
        <v>0</v>
      </c>
    </row>
    <row r="101" spans="1:47" x14ac:dyDescent="0.2">
      <c r="A101" s="136"/>
      <c r="B101" s="29">
        <v>3745</v>
      </c>
      <c r="C101" s="29">
        <v>246</v>
      </c>
      <c r="D101" s="207" t="s">
        <v>277</v>
      </c>
      <c r="E101" s="46">
        <v>300</v>
      </c>
      <c r="F101" s="16"/>
      <c r="G101" s="57">
        <f>E101+F101</f>
        <v>300</v>
      </c>
      <c r="H101" s="192">
        <f>-130+90</f>
        <v>-40</v>
      </c>
      <c r="I101" s="187"/>
      <c r="J101" s="46">
        <f t="shared" si="116"/>
        <v>260</v>
      </c>
      <c r="K101" s="16">
        <f>F101+I101</f>
        <v>0</v>
      </c>
      <c r="L101" s="57">
        <f t="shared" si="117"/>
        <v>260</v>
      </c>
      <c r="M101" s="46">
        <v>17</v>
      </c>
      <c r="N101" s="16"/>
      <c r="O101" s="57">
        <f>M101+N101</f>
        <v>17</v>
      </c>
      <c r="P101" s="57">
        <f>O101/$L101*100</f>
        <v>6.5384615384615392</v>
      </c>
      <c r="Q101" s="46">
        <v>17</v>
      </c>
      <c r="R101" s="16"/>
      <c r="S101" s="57">
        <f>Q101+R101</f>
        <v>17</v>
      </c>
      <c r="T101" s="57">
        <f>S101/$L101*100</f>
        <v>6.5384615384615392</v>
      </c>
      <c r="U101" s="46">
        <v>55.23574</v>
      </c>
      <c r="V101" s="16"/>
      <c r="W101" s="57">
        <f t="shared" si="123"/>
        <v>55.23574</v>
      </c>
      <c r="X101" s="57">
        <f>W101/$L101*100</f>
        <v>21.244515384615383</v>
      </c>
      <c r="Y101" s="46">
        <v>255.33465000000001</v>
      </c>
      <c r="Z101" s="16"/>
      <c r="AA101" s="57">
        <f t="shared" si="118"/>
        <v>255.33465000000001</v>
      </c>
      <c r="AB101" s="57">
        <f>AA101/$L101*100</f>
        <v>98.205634615384625</v>
      </c>
      <c r="AC101" s="394">
        <f t="shared" si="119"/>
        <v>4.6653499999999894</v>
      </c>
      <c r="AD101" s="46">
        <f>650+140</f>
        <v>790</v>
      </c>
      <c r="AE101" s="16"/>
      <c r="AF101" s="57">
        <f t="shared" si="120"/>
        <v>790</v>
      </c>
      <c r="AG101" s="57">
        <f t="shared" si="115"/>
        <v>263.33333333333331</v>
      </c>
      <c r="AH101" s="16">
        <v>4000</v>
      </c>
      <c r="AI101" s="358">
        <f>AH101/G101</f>
        <v>13.333333333333334</v>
      </c>
      <c r="AJ101" s="57" t="s">
        <v>316</v>
      </c>
      <c r="AK101" s="187"/>
      <c r="AL101" s="427">
        <f>L101-AK101</f>
        <v>260</v>
      </c>
      <c r="AM101" s="322" t="s">
        <v>354</v>
      </c>
      <c r="AN101" s="307" t="s">
        <v>118</v>
      </c>
      <c r="AP101" s="188">
        <f t="shared" si="121"/>
        <v>260</v>
      </c>
      <c r="AQ101" s="187">
        <f t="shared" si="122"/>
        <v>0</v>
      </c>
      <c r="AT101" s="188">
        <f t="shared" si="100"/>
        <v>0</v>
      </c>
      <c r="AU101" s="187">
        <f t="shared" si="101"/>
        <v>0</v>
      </c>
    </row>
    <row r="102" spans="1:47" x14ac:dyDescent="0.2">
      <c r="A102" s="136"/>
      <c r="B102" s="29">
        <v>3745</v>
      </c>
      <c r="C102" s="29">
        <v>251</v>
      </c>
      <c r="D102" s="419" t="s">
        <v>345</v>
      </c>
      <c r="E102" s="46">
        <v>30</v>
      </c>
      <c r="F102" s="16"/>
      <c r="G102" s="57">
        <f>E102+F102</f>
        <v>30</v>
      </c>
      <c r="H102" s="192"/>
      <c r="I102" s="187"/>
      <c r="J102" s="46">
        <f t="shared" si="116"/>
        <v>30</v>
      </c>
      <c r="K102" s="16"/>
      <c r="L102" s="57">
        <f t="shared" si="117"/>
        <v>30</v>
      </c>
      <c r="M102" s="46"/>
      <c r="N102" s="16"/>
      <c r="O102" s="57">
        <f>M102+N102</f>
        <v>0</v>
      </c>
      <c r="P102" s="57">
        <f>O102/$L102*100</f>
        <v>0</v>
      </c>
      <c r="Q102" s="46">
        <v>0</v>
      </c>
      <c r="R102" s="16"/>
      <c r="S102" s="57">
        <f>Q102+R102</f>
        <v>0</v>
      </c>
      <c r="T102" s="57">
        <f>S102/$L102*100</f>
        <v>0</v>
      </c>
      <c r="U102" s="46">
        <v>0</v>
      </c>
      <c r="V102" s="16"/>
      <c r="W102" s="57">
        <f t="shared" si="123"/>
        <v>0</v>
      </c>
      <c r="X102" s="57">
        <f>W102/$L102*100</f>
        <v>0</v>
      </c>
      <c r="Y102" s="46">
        <v>25.900659999999998</v>
      </c>
      <c r="Z102" s="16"/>
      <c r="AA102" s="57">
        <f t="shared" si="118"/>
        <v>25.900659999999998</v>
      </c>
      <c r="AB102" s="57">
        <f>AA102/$L102*100</f>
        <v>86.335533333333331</v>
      </c>
      <c r="AC102" s="394">
        <f t="shared" si="119"/>
        <v>4.0993400000000015</v>
      </c>
      <c r="AD102" s="46"/>
      <c r="AE102" s="16"/>
      <c r="AF102" s="57">
        <f t="shared" si="120"/>
        <v>0</v>
      </c>
      <c r="AG102" s="57"/>
      <c r="AH102" s="16"/>
      <c r="AI102" s="358"/>
      <c r="AJ102" s="405" t="s">
        <v>434</v>
      </c>
      <c r="AK102" s="187"/>
      <c r="AL102" s="427"/>
      <c r="AM102" s="320" t="s">
        <v>280</v>
      </c>
      <c r="AN102" s="307" t="s">
        <v>118</v>
      </c>
      <c r="AP102" s="188">
        <f t="shared" si="121"/>
        <v>30</v>
      </c>
      <c r="AQ102" s="187">
        <f t="shared" si="122"/>
        <v>0</v>
      </c>
      <c r="AT102" s="188">
        <f t="shared" si="100"/>
        <v>0</v>
      </c>
      <c r="AU102" s="187">
        <f t="shared" si="101"/>
        <v>0</v>
      </c>
    </row>
    <row r="103" spans="1:47" x14ac:dyDescent="0.2">
      <c r="A103" s="138"/>
      <c r="B103" s="35">
        <v>3745</v>
      </c>
      <c r="C103" s="35">
        <v>1544</v>
      </c>
      <c r="D103" s="418" t="s">
        <v>283</v>
      </c>
      <c r="E103" s="61"/>
      <c r="F103" s="64"/>
      <c r="G103" s="63">
        <f>E103+F103</f>
        <v>0</v>
      </c>
      <c r="H103" s="197"/>
      <c r="I103" s="194"/>
      <c r="J103" s="61">
        <f t="shared" si="116"/>
        <v>0</v>
      </c>
      <c r="K103" s="64"/>
      <c r="L103" s="63">
        <f t="shared" si="117"/>
        <v>0</v>
      </c>
      <c r="M103" s="61">
        <v>2.129E-2</v>
      </c>
      <c r="N103" s="64"/>
      <c r="O103" s="63">
        <f>M103+N103</f>
        <v>2.129E-2</v>
      </c>
      <c r="P103" s="479"/>
      <c r="Q103" s="61">
        <v>8.9410000000000003E-2</v>
      </c>
      <c r="R103" s="64"/>
      <c r="S103" s="63">
        <f>Q103+R103</f>
        <v>8.9410000000000003E-2</v>
      </c>
      <c r="T103" s="479"/>
      <c r="U103" s="61">
        <v>0.10271</v>
      </c>
      <c r="V103" s="64"/>
      <c r="W103" s="63">
        <f t="shared" si="123"/>
        <v>0.10271</v>
      </c>
      <c r="X103" s="63"/>
      <c r="Y103" s="61">
        <v>0.15725</v>
      </c>
      <c r="Z103" s="64"/>
      <c r="AA103" s="63">
        <f t="shared" si="118"/>
        <v>0.15725</v>
      </c>
      <c r="AB103" s="63"/>
      <c r="AC103" s="394">
        <f t="shared" si="119"/>
        <v>-0.15725</v>
      </c>
      <c r="AD103" s="61"/>
      <c r="AE103" s="64"/>
      <c r="AF103" s="63">
        <f t="shared" si="120"/>
        <v>0</v>
      </c>
      <c r="AG103" s="63"/>
      <c r="AH103" s="64"/>
      <c r="AI103" s="360"/>
      <c r="AJ103" s="479"/>
      <c r="AK103" s="187"/>
      <c r="AL103" s="427">
        <f>L103-AK103</f>
        <v>0</v>
      </c>
      <c r="AM103" s="62"/>
      <c r="AN103" s="57"/>
      <c r="AP103" s="406">
        <f t="shared" si="121"/>
        <v>0</v>
      </c>
      <c r="AQ103" s="194">
        <f t="shared" si="122"/>
        <v>0</v>
      </c>
      <c r="AT103" s="406">
        <f t="shared" si="100"/>
        <v>0</v>
      </c>
      <c r="AU103" s="194">
        <f t="shared" si="101"/>
        <v>0</v>
      </c>
    </row>
    <row r="104" spans="1:47" x14ac:dyDescent="0.2">
      <c r="A104" s="90">
        <v>43</v>
      </c>
      <c r="B104" s="32">
        <v>4300</v>
      </c>
      <c r="C104" s="32"/>
      <c r="D104" s="410" t="s">
        <v>80</v>
      </c>
      <c r="E104" s="55">
        <f t="shared" ref="E104:O104" si="124">SUM(E105:E110)</f>
        <v>7297</v>
      </c>
      <c r="F104" s="18">
        <f t="shared" si="124"/>
        <v>6200</v>
      </c>
      <c r="G104" s="56">
        <f t="shared" si="124"/>
        <v>13497</v>
      </c>
      <c r="H104" s="195">
        <f t="shared" si="124"/>
        <v>8778.4259999999995</v>
      </c>
      <c r="I104" s="196">
        <f t="shared" si="124"/>
        <v>0</v>
      </c>
      <c r="J104" s="55">
        <f t="shared" si="124"/>
        <v>16075.425999999999</v>
      </c>
      <c r="K104" s="18">
        <f t="shared" si="124"/>
        <v>6200</v>
      </c>
      <c r="L104" s="56">
        <f t="shared" si="124"/>
        <v>22275.425999999999</v>
      </c>
      <c r="M104" s="55">
        <f t="shared" si="124"/>
        <v>1927.8906299999999</v>
      </c>
      <c r="N104" s="18">
        <f t="shared" si="124"/>
        <v>397.31076000000002</v>
      </c>
      <c r="O104" s="56">
        <f t="shared" si="124"/>
        <v>2325.2013900000002</v>
      </c>
      <c r="P104" s="56">
        <f t="shared" si="114"/>
        <v>10.438414915162566</v>
      </c>
      <c r="Q104" s="55">
        <f>SUM(Q105:Q110)</f>
        <v>7554.3331500000004</v>
      </c>
      <c r="R104" s="18">
        <f>SUM(R105:R110)</f>
        <v>1999.3047300000001</v>
      </c>
      <c r="S104" s="56">
        <f>SUM(S105:S110)</f>
        <v>9553.6378800000002</v>
      </c>
      <c r="T104" s="56">
        <f t="shared" ref="T104:T112" si="125">S104/$L104*100</f>
        <v>42.888687650687359</v>
      </c>
      <c r="U104" s="55">
        <f>SUM(U105:U110)</f>
        <v>12429.20737</v>
      </c>
      <c r="V104" s="18">
        <f>SUM(V105:V110)</f>
        <v>3998.56113</v>
      </c>
      <c r="W104" s="56">
        <f>SUM(W105:W110)</f>
        <v>16427.768499999998</v>
      </c>
      <c r="X104" s="56">
        <f t="shared" ref="X104:X112" si="126">W104/$L104*100</f>
        <v>73.748392062176492</v>
      </c>
      <c r="Y104" s="55">
        <f>SUM(Y105:Y110)</f>
        <v>15264.498869999999</v>
      </c>
      <c r="Z104" s="18">
        <f>SUM(Z105:Z110)</f>
        <v>6604.6017400000001</v>
      </c>
      <c r="AA104" s="56">
        <f>SUM(AA105:AA110)</f>
        <v>21869.100610000001</v>
      </c>
      <c r="AB104" s="56">
        <f t="shared" ref="AB104:AB112" si="127">AA104/$L104*100</f>
        <v>98.175902943449884</v>
      </c>
      <c r="AC104" s="395">
        <f>SUM(AC105:AC110)</f>
        <v>406.32538999999929</v>
      </c>
      <c r="AD104" s="55">
        <f>SUM(AD105:AD110)</f>
        <v>9434</v>
      </c>
      <c r="AE104" s="18">
        <f>SUM(AE105:AE110)</f>
        <v>0</v>
      </c>
      <c r="AF104" s="56">
        <f>SUM(AF105:AF110)</f>
        <v>9434</v>
      </c>
      <c r="AG104" s="56">
        <f t="shared" ref="AG104:AG112" si="128">AF104/$G104*100</f>
        <v>69.897014151292879</v>
      </c>
      <c r="AH104" s="18">
        <f>SUM(AH105:AH110)</f>
        <v>9533</v>
      </c>
      <c r="AI104" s="361">
        <f>AH104/G104</f>
        <v>0.70630510483811215</v>
      </c>
      <c r="AJ104" s="56"/>
      <c r="AK104" s="196">
        <f>SUM(AK105:AK110)</f>
        <v>0</v>
      </c>
      <c r="AL104" s="430">
        <f>SUM(AL105:AL110)</f>
        <v>15275.425999999999</v>
      </c>
      <c r="AM104" s="58"/>
      <c r="AN104" s="312"/>
      <c r="AP104" s="195">
        <f>SUM(AP105:AP110)</f>
        <v>15830.425999999999</v>
      </c>
      <c r="AQ104" s="196">
        <f>SUM(AQ105:AQ110)</f>
        <v>6200</v>
      </c>
      <c r="AT104" s="195">
        <f t="shared" si="100"/>
        <v>-245</v>
      </c>
      <c r="AU104" s="196">
        <f t="shared" si="101"/>
        <v>0</v>
      </c>
    </row>
    <row r="105" spans="1:47" x14ac:dyDescent="0.2">
      <c r="A105" s="136"/>
      <c r="B105" s="29">
        <v>4349</v>
      </c>
      <c r="C105" s="29">
        <v>228</v>
      </c>
      <c r="D105" s="207" t="s">
        <v>204</v>
      </c>
      <c r="E105" s="46">
        <v>370</v>
      </c>
      <c r="F105" s="16"/>
      <c r="G105" s="57">
        <f>E105+F105</f>
        <v>370</v>
      </c>
      <c r="H105" s="378"/>
      <c r="I105" s="187"/>
      <c r="J105" s="46">
        <f>E105+H105</f>
        <v>370</v>
      </c>
      <c r="K105" s="16"/>
      <c r="L105" s="57">
        <f>SUM(J105:K105)</f>
        <v>370</v>
      </c>
      <c r="M105" s="46">
        <v>0.39</v>
      </c>
      <c r="N105" s="16"/>
      <c r="O105" s="57">
        <f>M105+N105</f>
        <v>0.39</v>
      </c>
      <c r="P105" s="57">
        <f>O105/$L105*100</f>
        <v>0.1054054054054054</v>
      </c>
      <c r="Q105" s="46">
        <v>22.184000000000001</v>
      </c>
      <c r="R105" s="16"/>
      <c r="S105" s="57">
        <f>Q105+R105</f>
        <v>22.184000000000001</v>
      </c>
      <c r="T105" s="57">
        <f t="shared" si="125"/>
        <v>5.9956756756756757</v>
      </c>
      <c r="U105" s="46">
        <v>67.471000000000004</v>
      </c>
      <c r="V105" s="16"/>
      <c r="W105" s="57">
        <f>U105+V105</f>
        <v>67.471000000000004</v>
      </c>
      <c r="X105" s="57">
        <f t="shared" si="126"/>
        <v>18.235405405405405</v>
      </c>
      <c r="Y105" s="46">
        <v>119.52955</v>
      </c>
      <c r="Z105" s="16"/>
      <c r="AA105" s="57">
        <f>Y105+Z105</f>
        <v>119.52955</v>
      </c>
      <c r="AB105" s="57">
        <f t="shared" si="127"/>
        <v>32.305283783783786</v>
      </c>
      <c r="AC105" s="394">
        <f t="shared" ref="AC105:AC110" si="129">L105-AA105</f>
        <v>250.47045</v>
      </c>
      <c r="AD105" s="46">
        <v>58</v>
      </c>
      <c r="AE105" s="16"/>
      <c r="AF105" s="57">
        <f t="shared" ref="AF105:AF110" si="130">AD105+AE105</f>
        <v>58</v>
      </c>
      <c r="AG105" s="57">
        <f t="shared" si="128"/>
        <v>15.675675675675677</v>
      </c>
      <c r="AH105" s="16">
        <v>58</v>
      </c>
      <c r="AI105" s="358">
        <f>AH105/G105</f>
        <v>0.15675675675675677</v>
      </c>
      <c r="AJ105" s="57" t="s">
        <v>344</v>
      </c>
      <c r="AK105" s="187"/>
      <c r="AL105" s="427">
        <f>L105-AK105</f>
        <v>370</v>
      </c>
      <c r="AM105" s="62" t="s">
        <v>278</v>
      </c>
      <c r="AN105" s="57" t="s">
        <v>295</v>
      </c>
      <c r="AP105" s="485">
        <v>125</v>
      </c>
      <c r="AQ105" s="187">
        <f t="shared" ref="AP105:AQ110" si="131">K105</f>
        <v>0</v>
      </c>
      <c r="AT105" s="188">
        <f t="shared" si="100"/>
        <v>-245</v>
      </c>
      <c r="AU105" s="187">
        <f t="shared" si="101"/>
        <v>0</v>
      </c>
    </row>
    <row r="106" spans="1:47" x14ac:dyDescent="0.2">
      <c r="A106" s="136"/>
      <c r="B106" s="29">
        <v>4349</v>
      </c>
      <c r="C106" s="29">
        <v>254</v>
      </c>
      <c r="D106" s="207" t="s">
        <v>479</v>
      </c>
      <c r="E106" s="46"/>
      <c r="F106" s="16"/>
      <c r="G106" s="57"/>
      <c r="H106" s="378"/>
      <c r="I106" s="187"/>
      <c r="J106" s="46"/>
      <c r="K106" s="16"/>
      <c r="L106" s="57"/>
      <c r="M106" s="46"/>
      <c r="N106" s="16"/>
      <c r="O106" s="57"/>
      <c r="P106" s="57"/>
      <c r="Q106" s="46"/>
      <c r="R106" s="16"/>
      <c r="S106" s="57"/>
      <c r="T106" s="57"/>
      <c r="U106" s="46"/>
      <c r="V106" s="16"/>
      <c r="W106" s="57"/>
      <c r="X106" s="57"/>
      <c r="Y106" s="46"/>
      <c r="Z106" s="16"/>
      <c r="AA106" s="57"/>
      <c r="AB106" s="57"/>
      <c r="AC106" s="394">
        <f t="shared" si="129"/>
        <v>0</v>
      </c>
      <c r="AD106" s="46">
        <v>100</v>
      </c>
      <c r="AE106" s="16"/>
      <c r="AF106" s="57">
        <f t="shared" si="130"/>
        <v>100</v>
      </c>
      <c r="AG106" s="57"/>
      <c r="AH106" s="16"/>
      <c r="AI106" s="358"/>
      <c r="AJ106" s="57" t="s">
        <v>507</v>
      </c>
      <c r="AK106" s="187"/>
      <c r="AL106" s="427"/>
      <c r="AM106" s="62" t="s">
        <v>278</v>
      </c>
      <c r="AN106" s="57" t="s">
        <v>295</v>
      </c>
      <c r="AP106" s="485"/>
      <c r="AQ106" s="187"/>
      <c r="AT106" s="188"/>
      <c r="AU106" s="187"/>
    </row>
    <row r="107" spans="1:47" x14ac:dyDescent="0.2">
      <c r="A107" s="136"/>
      <c r="B107" s="29">
        <v>4349</v>
      </c>
      <c r="C107" s="29">
        <v>225</v>
      </c>
      <c r="D107" s="419" t="s">
        <v>439</v>
      </c>
      <c r="E107" s="46"/>
      <c r="F107" s="16"/>
      <c r="G107" s="57"/>
      <c r="H107" s="378"/>
      <c r="I107" s="187"/>
      <c r="J107" s="46"/>
      <c r="K107" s="16"/>
      <c r="L107" s="57"/>
      <c r="M107" s="46"/>
      <c r="N107" s="16"/>
      <c r="O107" s="57"/>
      <c r="P107" s="57"/>
      <c r="Q107" s="46"/>
      <c r="R107" s="16"/>
      <c r="S107" s="57"/>
      <c r="T107" s="57"/>
      <c r="U107" s="46"/>
      <c r="V107" s="16"/>
      <c r="W107" s="57"/>
      <c r="X107" s="57"/>
      <c r="Y107" s="46"/>
      <c r="Z107" s="16"/>
      <c r="AA107" s="57"/>
      <c r="AB107" s="57"/>
      <c r="AC107" s="394">
        <f t="shared" si="129"/>
        <v>0</v>
      </c>
      <c r="AD107" s="46">
        <v>1967</v>
      </c>
      <c r="AE107" s="16"/>
      <c r="AF107" s="57">
        <f t="shared" si="130"/>
        <v>1967</v>
      </c>
      <c r="AG107" s="57"/>
      <c r="AH107" s="16">
        <v>1971</v>
      </c>
      <c r="AI107" s="358"/>
      <c r="AJ107" s="57" t="s">
        <v>469</v>
      </c>
      <c r="AK107" s="187"/>
      <c r="AL107" s="427"/>
      <c r="AM107" s="62" t="s">
        <v>278</v>
      </c>
      <c r="AN107" s="57" t="s">
        <v>295</v>
      </c>
      <c r="AP107" s="485"/>
      <c r="AQ107" s="187"/>
      <c r="AT107" s="188"/>
      <c r="AU107" s="187"/>
    </row>
    <row r="108" spans="1:47" x14ac:dyDescent="0.2">
      <c r="A108" s="136"/>
      <c r="B108" s="29">
        <v>4351</v>
      </c>
      <c r="C108" s="29">
        <v>227</v>
      </c>
      <c r="D108" s="207" t="s">
        <v>39</v>
      </c>
      <c r="E108" s="46">
        <f>512+4128</f>
        <v>4640</v>
      </c>
      <c r="F108" s="16"/>
      <c r="G108" s="57">
        <f>E108+F108</f>
        <v>4640</v>
      </c>
      <c r="H108" s="378">
        <f>10+25+25</f>
        <v>60</v>
      </c>
      <c r="I108" s="187"/>
      <c r="J108" s="46">
        <f t="shared" ref="J108:K110" si="132">E108+H108</f>
        <v>4700</v>
      </c>
      <c r="K108" s="16">
        <f t="shared" si="132"/>
        <v>0</v>
      </c>
      <c r="L108" s="57">
        <f>SUM(J108:K108)</f>
        <v>4700</v>
      </c>
      <c r="M108" s="46">
        <f>723.21863+297.997</f>
        <v>1021.2156299999999</v>
      </c>
      <c r="N108" s="16"/>
      <c r="O108" s="57">
        <f>M108+N108</f>
        <v>1021.2156299999999</v>
      </c>
      <c r="P108" s="57">
        <f>O108/$L108*100</f>
        <v>21.727992127659572</v>
      </c>
      <c r="Q108" s="46">
        <f>1800.62615+370.538</f>
        <v>2171.1641500000001</v>
      </c>
      <c r="R108" s="16"/>
      <c r="S108" s="57">
        <f>Q108+R108</f>
        <v>2171.1641500000001</v>
      </c>
      <c r="T108" s="57">
        <f t="shared" si="125"/>
        <v>46.194981914893617</v>
      </c>
      <c r="U108" s="46">
        <f>2869.41637+284.359</f>
        <v>3153.7753699999998</v>
      </c>
      <c r="V108" s="16"/>
      <c r="W108" s="57">
        <f>U108+V108</f>
        <v>3153.7753699999998</v>
      </c>
      <c r="X108" s="57">
        <f t="shared" si="126"/>
        <v>67.101603617021283</v>
      </c>
      <c r="Y108" s="46">
        <v>4534.7073200000004</v>
      </c>
      <c r="Z108" s="16"/>
      <c r="AA108" s="57">
        <f>Y108+Z108</f>
        <v>4534.7073200000004</v>
      </c>
      <c r="AB108" s="57">
        <f t="shared" si="127"/>
        <v>96.483134468085126</v>
      </c>
      <c r="AC108" s="394">
        <f t="shared" si="129"/>
        <v>165.29267999999956</v>
      </c>
      <c r="AD108" s="16">
        <f>574+5447</f>
        <v>6021</v>
      </c>
      <c r="AE108" s="16"/>
      <c r="AF108" s="57">
        <f t="shared" si="130"/>
        <v>6021</v>
      </c>
      <c r="AG108" s="57">
        <f t="shared" si="128"/>
        <v>129.76293103448276</v>
      </c>
      <c r="AH108" s="16">
        <f>574+5455</f>
        <v>6029</v>
      </c>
      <c r="AI108" s="358">
        <f>AH108/G108</f>
        <v>1.299353448275862</v>
      </c>
      <c r="AJ108" s="57"/>
      <c r="AK108" s="187"/>
      <c r="AL108" s="427">
        <f>L108-AK108</f>
        <v>4700</v>
      </c>
      <c r="AM108" s="324" t="s">
        <v>513</v>
      </c>
      <c r="AN108" s="189" t="s">
        <v>508</v>
      </c>
      <c r="AP108" s="188">
        <f t="shared" si="131"/>
        <v>4700</v>
      </c>
      <c r="AQ108" s="187">
        <f t="shared" si="131"/>
        <v>0</v>
      </c>
      <c r="AT108" s="188">
        <f t="shared" si="100"/>
        <v>0</v>
      </c>
      <c r="AU108" s="187">
        <f t="shared" si="101"/>
        <v>0</v>
      </c>
    </row>
    <row r="109" spans="1:47" x14ac:dyDescent="0.2">
      <c r="A109" s="136"/>
      <c r="B109" s="29">
        <v>4355</v>
      </c>
      <c r="C109" s="29">
        <v>307</v>
      </c>
      <c r="D109" s="207" t="s">
        <v>241</v>
      </c>
      <c r="E109" s="46">
        <f>775+712</f>
        <v>1487</v>
      </c>
      <c r="F109" s="16"/>
      <c r="G109" s="57">
        <f>E109+F109</f>
        <v>1487</v>
      </c>
      <c r="H109" s="378">
        <f>4261.2+2840.8+812.426+804</f>
        <v>8718.4259999999995</v>
      </c>
      <c r="I109" s="187"/>
      <c r="J109" s="46">
        <f t="shared" si="132"/>
        <v>10205.425999999999</v>
      </c>
      <c r="K109" s="16">
        <f t="shared" si="132"/>
        <v>0</v>
      </c>
      <c r="L109" s="57">
        <f>SUM(J109:K109)</f>
        <v>10205.425999999999</v>
      </c>
      <c r="M109" s="46">
        <v>906</v>
      </c>
      <c r="N109" s="16"/>
      <c r="O109" s="57">
        <f>M109+N109</f>
        <v>906</v>
      </c>
      <c r="P109" s="57">
        <f>O109/$L109*100</f>
        <v>8.8776303899513849</v>
      </c>
      <c r="Q109" s="46">
        <f>1099.5+4261.2</f>
        <v>5360.7</v>
      </c>
      <c r="R109" s="16"/>
      <c r="S109" s="57">
        <f>Q109+R109</f>
        <v>5360.7</v>
      </c>
      <c r="T109" s="57">
        <f t="shared" si="125"/>
        <v>52.527939549020296</v>
      </c>
      <c r="U109" s="46">
        <f>9919.676-712</f>
        <v>9207.6759999999995</v>
      </c>
      <c r="V109" s="16"/>
      <c r="W109" s="57">
        <f>U109+V109</f>
        <v>9207.6759999999995</v>
      </c>
      <c r="X109" s="57">
        <f t="shared" si="126"/>
        <v>90.223338055657848</v>
      </c>
      <c r="Y109" s="46">
        <f>775+712+804+7914.426</f>
        <v>10205.425999999999</v>
      </c>
      <c r="Z109" s="16"/>
      <c r="AA109" s="57">
        <f>Y109+Z109</f>
        <v>10205.425999999999</v>
      </c>
      <c r="AB109" s="57">
        <f t="shared" si="127"/>
        <v>100</v>
      </c>
      <c r="AC109" s="394">
        <f t="shared" si="129"/>
        <v>0</v>
      </c>
      <c r="AD109" s="46">
        <f>382+906</f>
        <v>1288</v>
      </c>
      <c r="AE109" s="16"/>
      <c r="AF109" s="57">
        <f t="shared" si="130"/>
        <v>1288</v>
      </c>
      <c r="AG109" s="57">
        <f t="shared" si="128"/>
        <v>86.617350369872227</v>
      </c>
      <c r="AH109" s="46">
        <f>763+712</f>
        <v>1475</v>
      </c>
      <c r="AI109" s="358">
        <f>AH109/G109</f>
        <v>0.99193006052454602</v>
      </c>
      <c r="AJ109" s="57" t="s">
        <v>474</v>
      </c>
      <c r="AK109" s="187"/>
      <c r="AL109" s="427">
        <f>L109-AK109</f>
        <v>10205.425999999999</v>
      </c>
      <c r="AM109" s="319" t="s">
        <v>198</v>
      </c>
      <c r="AN109" s="306" t="s">
        <v>71</v>
      </c>
      <c r="AP109" s="188">
        <f t="shared" si="131"/>
        <v>10205.425999999999</v>
      </c>
      <c r="AQ109" s="187">
        <f t="shared" si="131"/>
        <v>0</v>
      </c>
      <c r="AT109" s="188">
        <f t="shared" si="100"/>
        <v>0</v>
      </c>
      <c r="AU109" s="187">
        <f t="shared" si="101"/>
        <v>0</v>
      </c>
    </row>
    <row r="110" spans="1:47" ht="12.75" customHeight="1" x14ac:dyDescent="0.2">
      <c r="A110" s="136"/>
      <c r="B110" s="29">
        <v>4359</v>
      </c>
      <c r="C110" s="29">
        <v>226</v>
      </c>
      <c r="D110" s="419" t="s">
        <v>318</v>
      </c>
      <c r="E110" s="46">
        <v>800</v>
      </c>
      <c r="F110" s="16">
        <v>6200</v>
      </c>
      <c r="G110" s="57">
        <f>E110+F110</f>
        <v>7000</v>
      </c>
      <c r="H110" s="378"/>
      <c r="I110" s="187"/>
      <c r="J110" s="46">
        <f t="shared" si="132"/>
        <v>800</v>
      </c>
      <c r="K110" s="16">
        <f t="shared" si="132"/>
        <v>6200</v>
      </c>
      <c r="L110" s="57">
        <f>SUM(J110:K110)</f>
        <v>7000</v>
      </c>
      <c r="M110" s="46">
        <f>397.59576-N110</f>
        <v>0.28499999999996817</v>
      </c>
      <c r="N110" s="16">
        <v>397.31076000000002</v>
      </c>
      <c r="O110" s="57">
        <f>M110+N110</f>
        <v>397.59575999999998</v>
      </c>
      <c r="P110" s="57">
        <f>O110/$L110*100</f>
        <v>5.6799394285714282</v>
      </c>
      <c r="Q110" s="46">
        <v>0.28499999999999998</v>
      </c>
      <c r="R110" s="16">
        <v>1999.3047300000001</v>
      </c>
      <c r="S110" s="57">
        <f>Q110+R110</f>
        <v>1999.5897300000001</v>
      </c>
      <c r="T110" s="57">
        <f t="shared" si="125"/>
        <v>28.565567571428574</v>
      </c>
      <c r="U110" s="46">
        <v>0.28499999999999998</v>
      </c>
      <c r="V110" s="16">
        <v>3998.56113</v>
      </c>
      <c r="W110" s="57">
        <f>U110+V110</f>
        <v>3998.8461299999999</v>
      </c>
      <c r="X110" s="57">
        <f t="shared" si="126"/>
        <v>57.12637328571428</v>
      </c>
      <c r="Y110" s="46">
        <f>404.551+0.285</f>
        <v>404.83600000000001</v>
      </c>
      <c r="Z110" s="16">
        <v>6604.6017400000001</v>
      </c>
      <c r="AA110" s="57">
        <f>Y110+Z110</f>
        <v>7009.4377400000003</v>
      </c>
      <c r="AB110" s="57">
        <f t="shared" si="127"/>
        <v>100.13482485714287</v>
      </c>
      <c r="AC110" s="394">
        <f t="shared" si="129"/>
        <v>-9.4377400000003036</v>
      </c>
      <c r="AD110" s="46"/>
      <c r="AE110" s="16"/>
      <c r="AF110" s="57">
        <f t="shared" si="130"/>
        <v>0</v>
      </c>
      <c r="AG110" s="57">
        <f t="shared" si="128"/>
        <v>0</v>
      </c>
      <c r="AH110" s="16"/>
      <c r="AI110" s="358"/>
      <c r="AJ110" s="405" t="s">
        <v>375</v>
      </c>
      <c r="AK110" s="187"/>
      <c r="AL110" s="427"/>
      <c r="AM110" s="320" t="s">
        <v>505</v>
      </c>
      <c r="AN110" s="309" t="s">
        <v>118</v>
      </c>
      <c r="AP110" s="406">
        <f t="shared" si="131"/>
        <v>800</v>
      </c>
      <c r="AQ110" s="194">
        <f t="shared" si="131"/>
        <v>6200</v>
      </c>
      <c r="AT110" s="406">
        <f t="shared" si="100"/>
        <v>0</v>
      </c>
      <c r="AU110" s="194">
        <f t="shared" si="101"/>
        <v>0</v>
      </c>
    </row>
    <row r="111" spans="1:47" x14ac:dyDescent="0.2">
      <c r="A111" s="137">
        <v>53</v>
      </c>
      <c r="B111" s="24">
        <v>5300</v>
      </c>
      <c r="C111" s="24"/>
      <c r="D111" s="417" t="s">
        <v>104</v>
      </c>
      <c r="E111" s="58">
        <f t="shared" ref="E111:O111" si="133">SUM(E112:E114)</f>
        <v>3055</v>
      </c>
      <c r="F111" s="59">
        <f t="shared" si="133"/>
        <v>0</v>
      </c>
      <c r="G111" s="60">
        <f t="shared" si="133"/>
        <v>3055</v>
      </c>
      <c r="H111" s="193">
        <f t="shared" si="133"/>
        <v>279.56200000000001</v>
      </c>
      <c r="I111" s="191">
        <f t="shared" si="133"/>
        <v>160</v>
      </c>
      <c r="J111" s="58">
        <f t="shared" si="133"/>
        <v>3334.5619999999999</v>
      </c>
      <c r="K111" s="59">
        <f t="shared" si="133"/>
        <v>160</v>
      </c>
      <c r="L111" s="60">
        <f t="shared" si="133"/>
        <v>3494.5619999999999</v>
      </c>
      <c r="M111" s="58">
        <f t="shared" si="133"/>
        <v>617.38279999999997</v>
      </c>
      <c r="N111" s="59">
        <f t="shared" si="133"/>
        <v>0</v>
      </c>
      <c r="O111" s="60">
        <f t="shared" si="133"/>
        <v>617.38279999999997</v>
      </c>
      <c r="P111" s="60">
        <f t="shared" si="114"/>
        <v>17.666957976421653</v>
      </c>
      <c r="Q111" s="58">
        <f>SUM(Q112:Q114)</f>
        <v>1077.9695999999999</v>
      </c>
      <c r="R111" s="59">
        <f>SUM(R112:R114)</f>
        <v>0</v>
      </c>
      <c r="S111" s="60">
        <f>SUM(S112:S114)</f>
        <v>1077.9695999999999</v>
      </c>
      <c r="T111" s="60">
        <f t="shared" si="125"/>
        <v>30.847058944726118</v>
      </c>
      <c r="U111" s="58">
        <f>SUM(U112:U114)</f>
        <v>1714.21298</v>
      </c>
      <c r="V111" s="59">
        <f>SUM(V112:V114)</f>
        <v>162.13999999999999</v>
      </c>
      <c r="W111" s="60">
        <f>SUM(W112:W114)</f>
        <v>1876.3529799999999</v>
      </c>
      <c r="X111" s="60">
        <f t="shared" si="126"/>
        <v>53.693509515641736</v>
      </c>
      <c r="Y111" s="58">
        <f>SUM(Y112:Y114)</f>
        <v>2761.4157299999997</v>
      </c>
      <c r="Z111" s="59">
        <f>SUM(Z112:Z114)</f>
        <v>162.13999999999999</v>
      </c>
      <c r="AA111" s="60">
        <f>SUM(AA112:AA114)</f>
        <v>2923.55573</v>
      </c>
      <c r="AB111" s="60">
        <f t="shared" si="127"/>
        <v>83.660147680882474</v>
      </c>
      <c r="AC111" s="395">
        <f>SUM(AC112:AC114)</f>
        <v>571.00627000000009</v>
      </c>
      <c r="AD111" s="58">
        <f>SUM(AD112:AD114)</f>
        <v>3128</v>
      </c>
      <c r="AE111" s="59">
        <f>SUM(AE112:AE114)</f>
        <v>350</v>
      </c>
      <c r="AF111" s="60">
        <f>SUM(AF112:AF114)</f>
        <v>3478</v>
      </c>
      <c r="AG111" s="60">
        <f t="shared" si="128"/>
        <v>113.84615384615384</v>
      </c>
      <c r="AH111" s="59">
        <f>SUM(AH112:AH114)</f>
        <v>3496</v>
      </c>
      <c r="AI111" s="359">
        <f t="shared" ref="AI111:AI116" si="134">AH111/G111</f>
        <v>1.1443535188216039</v>
      </c>
      <c r="AJ111" s="60"/>
      <c r="AK111" s="191">
        <f>SUM(AK112:AK114)</f>
        <v>0</v>
      </c>
      <c r="AL111" s="428">
        <f>SUM(AL112:AL114)</f>
        <v>3494.5619999999999</v>
      </c>
      <c r="AM111" s="58"/>
      <c r="AN111" s="74"/>
      <c r="AP111" s="195">
        <f>SUM(AP112:AP114)</f>
        <v>3141.5619999999999</v>
      </c>
      <c r="AQ111" s="196">
        <f>SUM(AQ112:AQ114)</f>
        <v>162</v>
      </c>
      <c r="AT111" s="195">
        <f t="shared" si="100"/>
        <v>-193</v>
      </c>
      <c r="AU111" s="196">
        <f t="shared" si="101"/>
        <v>2</v>
      </c>
    </row>
    <row r="112" spans="1:47" x14ac:dyDescent="0.2">
      <c r="A112" s="90"/>
      <c r="B112" s="29">
        <v>5272</v>
      </c>
      <c r="C112" s="33">
        <v>320</v>
      </c>
      <c r="D112" s="207" t="s">
        <v>141</v>
      </c>
      <c r="E112" s="46">
        <v>243</v>
      </c>
      <c r="F112" s="16"/>
      <c r="G112" s="57">
        <f>E112+F112</f>
        <v>243</v>
      </c>
      <c r="H112" s="188"/>
      <c r="I112" s="196"/>
      <c r="J112" s="46">
        <f t="shared" ref="J112:K114" si="135">E112+H112</f>
        <v>243</v>
      </c>
      <c r="K112" s="16">
        <f t="shared" si="135"/>
        <v>0</v>
      </c>
      <c r="L112" s="57">
        <f>SUM(J112:K112)</f>
        <v>243</v>
      </c>
      <c r="M112" s="46"/>
      <c r="N112" s="16"/>
      <c r="O112" s="57">
        <f>M112+N112</f>
        <v>0</v>
      </c>
      <c r="P112" s="57">
        <f>O112/$L112*100</f>
        <v>0</v>
      </c>
      <c r="Q112" s="46">
        <v>0</v>
      </c>
      <c r="R112" s="16"/>
      <c r="S112" s="57">
        <f>Q112+R112</f>
        <v>0</v>
      </c>
      <c r="T112" s="57">
        <f t="shared" si="125"/>
        <v>0</v>
      </c>
      <c r="U112" s="46">
        <v>29.231000000000002</v>
      </c>
      <c r="V112" s="16"/>
      <c r="W112" s="57">
        <f>U112+V112</f>
        <v>29.231000000000002</v>
      </c>
      <c r="X112" s="57">
        <f t="shared" si="126"/>
        <v>12.029218106995886</v>
      </c>
      <c r="Y112" s="46">
        <v>39.652999999999999</v>
      </c>
      <c r="Z112" s="16"/>
      <c r="AA112" s="57">
        <f>Y112+Z112</f>
        <v>39.652999999999999</v>
      </c>
      <c r="AB112" s="57">
        <f t="shared" si="127"/>
        <v>16.318106995884772</v>
      </c>
      <c r="AC112" s="394">
        <f>L112-AA112</f>
        <v>203.34700000000001</v>
      </c>
      <c r="AD112" s="46">
        <v>238</v>
      </c>
      <c r="AE112" s="16"/>
      <c r="AF112" s="57">
        <f>AD112+AE112</f>
        <v>238</v>
      </c>
      <c r="AG112" s="57">
        <f t="shared" si="128"/>
        <v>97.942386831275712</v>
      </c>
      <c r="AH112" s="16">
        <v>238</v>
      </c>
      <c r="AI112" s="358">
        <f t="shared" si="134"/>
        <v>0.97942386831275718</v>
      </c>
      <c r="AJ112" s="57"/>
      <c r="AK112" s="196"/>
      <c r="AL112" s="427">
        <f>L112-AK112</f>
        <v>243</v>
      </c>
      <c r="AM112" s="533" t="s">
        <v>488</v>
      </c>
      <c r="AN112" s="308" t="s">
        <v>383</v>
      </c>
      <c r="AP112" s="485">
        <v>50</v>
      </c>
      <c r="AQ112" s="187">
        <f>K112</f>
        <v>0</v>
      </c>
      <c r="AT112" s="188">
        <f t="shared" si="100"/>
        <v>-193</v>
      </c>
      <c r="AU112" s="187">
        <f t="shared" si="101"/>
        <v>0</v>
      </c>
    </row>
    <row r="113" spans="1:48" ht="13.5" customHeight="1" x14ac:dyDescent="0.2">
      <c r="A113" s="136"/>
      <c r="B113" s="29">
        <v>5311</v>
      </c>
      <c r="C113" s="29">
        <v>321</v>
      </c>
      <c r="D113" s="207" t="s">
        <v>81</v>
      </c>
      <c r="E113" s="46">
        <f>450+1932</f>
        <v>2382</v>
      </c>
      <c r="F113" s="16"/>
      <c r="G113" s="57">
        <f>E113+F113</f>
        <v>2382</v>
      </c>
      <c r="H113" s="192"/>
      <c r="I113" s="187"/>
      <c r="J113" s="46">
        <f t="shared" si="135"/>
        <v>2382</v>
      </c>
      <c r="K113" s="16">
        <f t="shared" si="135"/>
        <v>0</v>
      </c>
      <c r="L113" s="57">
        <f>SUM(J113:K113)</f>
        <v>2382</v>
      </c>
      <c r="M113" s="46">
        <f>418.57891+134.17</f>
        <v>552.74891000000002</v>
      </c>
      <c r="N113" s="16"/>
      <c r="O113" s="57">
        <f>M113+N113</f>
        <v>552.74891000000002</v>
      </c>
      <c r="P113" s="57">
        <f t="shared" si="114"/>
        <v>23.205243912678423</v>
      </c>
      <c r="Q113" s="46">
        <f>814.81454+137.541</f>
        <v>952.35554000000002</v>
      </c>
      <c r="R113" s="16"/>
      <c r="S113" s="57">
        <f>Q113+R113</f>
        <v>952.35554000000002</v>
      </c>
      <c r="T113" s="57">
        <f t="shared" ref="T113:T131" si="136">S113/$L113*100</f>
        <v>39.981340890008397</v>
      </c>
      <c r="U113" s="46">
        <f>1320.60021+123.331</f>
        <v>1443.93121</v>
      </c>
      <c r="V113" s="16"/>
      <c r="W113" s="57">
        <f>U113+V113</f>
        <v>1443.93121</v>
      </c>
      <c r="X113" s="57">
        <f t="shared" ref="X113:X131" si="137">W113/$L113*100</f>
        <v>60.618438706968938</v>
      </c>
      <c r="Y113" s="46">
        <v>2013.08557</v>
      </c>
      <c r="Z113" s="16"/>
      <c r="AA113" s="57">
        <f>Y113+Z113</f>
        <v>2013.08557</v>
      </c>
      <c r="AB113" s="57">
        <f t="shared" ref="AB113:AB131" si="138">AA113/$L113*100</f>
        <v>84.512408480268675</v>
      </c>
      <c r="AC113" s="394">
        <f>L113-AA113</f>
        <v>368.91443000000004</v>
      </c>
      <c r="AD113" s="46">
        <f>448+2011</f>
        <v>2459</v>
      </c>
      <c r="AE113" s="16">
        <v>200</v>
      </c>
      <c r="AF113" s="57">
        <f>AD113+AE113</f>
        <v>2659</v>
      </c>
      <c r="AG113" s="57">
        <f t="shared" ref="AG113:AG120" si="139">AF113/$G113*100</f>
        <v>111.62888329135181</v>
      </c>
      <c r="AH113" s="16">
        <f>665+2012</f>
        <v>2677</v>
      </c>
      <c r="AI113" s="358">
        <f t="shared" si="134"/>
        <v>1.1238455079764904</v>
      </c>
      <c r="AJ113" s="57"/>
      <c r="AK113" s="187"/>
      <c r="AL113" s="427">
        <f>L113-AK113</f>
        <v>2382</v>
      </c>
      <c r="AM113" s="325" t="s">
        <v>157</v>
      </c>
      <c r="AN113" s="308" t="s">
        <v>287</v>
      </c>
      <c r="AP113" s="188">
        <f>J113</f>
        <v>2382</v>
      </c>
      <c r="AQ113" s="187">
        <f>K113</f>
        <v>0</v>
      </c>
      <c r="AT113" s="188">
        <f t="shared" si="100"/>
        <v>0</v>
      </c>
      <c r="AU113" s="187">
        <f t="shared" si="101"/>
        <v>0</v>
      </c>
    </row>
    <row r="114" spans="1:48" x14ac:dyDescent="0.2">
      <c r="A114" s="136"/>
      <c r="B114" s="29">
        <v>5512</v>
      </c>
      <c r="C114" s="29">
        <v>223</v>
      </c>
      <c r="D114" s="207" t="s">
        <v>190</v>
      </c>
      <c r="E114" s="46">
        <v>430</v>
      </c>
      <c r="F114" s="16"/>
      <c r="G114" s="57">
        <f>E114+F114</f>
        <v>430</v>
      </c>
      <c r="H114" s="192">
        <f>150+33.725+95.837</f>
        <v>279.56200000000001</v>
      </c>
      <c r="I114" s="187">
        <v>160</v>
      </c>
      <c r="J114" s="46">
        <f t="shared" si="135"/>
        <v>709.56200000000001</v>
      </c>
      <c r="K114" s="16">
        <f t="shared" si="135"/>
        <v>160</v>
      </c>
      <c r="L114" s="57">
        <f>SUM(J114:K114)</f>
        <v>869.56200000000001</v>
      </c>
      <c r="M114" s="46">
        <v>64.633889999999994</v>
      </c>
      <c r="N114" s="16"/>
      <c r="O114" s="57">
        <f>M114+N114</f>
        <v>64.633889999999994</v>
      </c>
      <c r="P114" s="57">
        <f t="shared" si="114"/>
        <v>7.4329248518219506</v>
      </c>
      <c r="Q114" s="46">
        <v>125.61405999999999</v>
      </c>
      <c r="R114" s="16"/>
      <c r="S114" s="57">
        <f>Q114+R114</f>
        <v>125.61405999999999</v>
      </c>
      <c r="T114" s="57">
        <f t="shared" si="136"/>
        <v>14.445670348980292</v>
      </c>
      <c r="U114" s="46">
        <f>393.19077-V114+10</f>
        <v>241.05077</v>
      </c>
      <c r="V114" s="16">
        <v>162.13999999999999</v>
      </c>
      <c r="W114" s="57">
        <f>U114+V114</f>
        <v>403.19076999999999</v>
      </c>
      <c r="X114" s="57">
        <f t="shared" si="137"/>
        <v>46.367110108307394</v>
      </c>
      <c r="Y114" s="46">
        <f>870.81716-Z114</f>
        <v>708.67715999999996</v>
      </c>
      <c r="Z114" s="16">
        <v>162.13999999999999</v>
      </c>
      <c r="AA114" s="57">
        <f>Y114+Z114</f>
        <v>870.81715999999994</v>
      </c>
      <c r="AB114" s="57">
        <f t="shared" si="138"/>
        <v>100.14434393407254</v>
      </c>
      <c r="AC114" s="394">
        <f>L114-AA114</f>
        <v>-1.2551599999999326</v>
      </c>
      <c r="AD114" s="46">
        <f>381+50</f>
        <v>431</v>
      </c>
      <c r="AE114" s="16">
        <v>150</v>
      </c>
      <c r="AF114" s="57">
        <f>AD114+AE114</f>
        <v>581</v>
      </c>
      <c r="AG114" s="57">
        <f t="shared" si="139"/>
        <v>135.11627906976744</v>
      </c>
      <c r="AH114" s="16">
        <f>150+381+50</f>
        <v>581</v>
      </c>
      <c r="AI114" s="358">
        <f t="shared" si="134"/>
        <v>1.3511627906976744</v>
      </c>
      <c r="AJ114" s="57"/>
      <c r="AK114" s="187"/>
      <c r="AL114" s="427">
        <f>L114-AK114</f>
        <v>869.56200000000001</v>
      </c>
      <c r="AM114" s="65" t="s">
        <v>159</v>
      </c>
      <c r="AN114" s="422" t="s">
        <v>287</v>
      </c>
      <c r="AP114" s="188">
        <f>J114</f>
        <v>709.56200000000001</v>
      </c>
      <c r="AQ114" s="486">
        <v>162</v>
      </c>
      <c r="AT114" s="188">
        <f t="shared" si="100"/>
        <v>0</v>
      </c>
      <c r="AU114" s="187">
        <f t="shared" si="101"/>
        <v>2</v>
      </c>
    </row>
    <row r="115" spans="1:48" x14ac:dyDescent="0.2">
      <c r="A115" s="137">
        <v>61</v>
      </c>
      <c r="B115" s="24">
        <v>6100</v>
      </c>
      <c r="C115" s="24"/>
      <c r="D115" s="417" t="s">
        <v>82</v>
      </c>
      <c r="E115" s="58">
        <f t="shared" ref="E115:O115" si="140">SUM(E116:E122)</f>
        <v>59596</v>
      </c>
      <c r="F115" s="59">
        <f t="shared" si="140"/>
        <v>1145</v>
      </c>
      <c r="G115" s="60">
        <f t="shared" si="140"/>
        <v>60741</v>
      </c>
      <c r="H115" s="190">
        <f t="shared" si="140"/>
        <v>1388.2760099999998</v>
      </c>
      <c r="I115" s="191">
        <f t="shared" si="140"/>
        <v>0</v>
      </c>
      <c r="J115" s="58">
        <f t="shared" si="140"/>
        <v>60984.276009999994</v>
      </c>
      <c r="K115" s="59">
        <f t="shared" si="140"/>
        <v>1145</v>
      </c>
      <c r="L115" s="60">
        <f t="shared" si="140"/>
        <v>62129.276009999994</v>
      </c>
      <c r="M115" s="58">
        <f t="shared" si="140"/>
        <v>13762.295080000002</v>
      </c>
      <c r="N115" s="59">
        <f t="shared" si="140"/>
        <v>40</v>
      </c>
      <c r="O115" s="60">
        <f t="shared" si="140"/>
        <v>13802.295080000002</v>
      </c>
      <c r="P115" s="60">
        <f t="shared" si="114"/>
        <v>22.215444901978994</v>
      </c>
      <c r="Q115" s="58">
        <f>SUM(Q116:Q122)</f>
        <v>27756.857070000002</v>
      </c>
      <c r="R115" s="59">
        <f>SUM(R116:R122)</f>
        <v>841.27620000000002</v>
      </c>
      <c r="S115" s="60">
        <f>SUM(S116:S122)</f>
        <v>28598.133270000002</v>
      </c>
      <c r="T115" s="60">
        <f t="shared" si="136"/>
        <v>46.030044298917957</v>
      </c>
      <c r="U115" s="58">
        <f>SUM(U116:U122)</f>
        <v>41172.256350000003</v>
      </c>
      <c r="V115" s="59">
        <f>SUM(V116:V122)</f>
        <v>841.27620000000002</v>
      </c>
      <c r="W115" s="60">
        <f>SUM(W116:W122)</f>
        <v>42013.532550000004</v>
      </c>
      <c r="X115" s="60">
        <f t="shared" si="137"/>
        <v>67.622762163263801</v>
      </c>
      <c r="Y115" s="58">
        <f>SUM(Y116:Y122)</f>
        <v>58464.980250000001</v>
      </c>
      <c r="Z115" s="59">
        <f>SUM(Z116:Z122)</f>
        <v>1140.1461999999999</v>
      </c>
      <c r="AA115" s="60">
        <f>SUM(AA116:AA122)</f>
        <v>59605.126450000003</v>
      </c>
      <c r="AB115" s="60">
        <f t="shared" si="138"/>
        <v>95.937262234322958</v>
      </c>
      <c r="AC115" s="395">
        <f>SUM(AC116:AC122)</f>
        <v>2524.1495599999948</v>
      </c>
      <c r="AD115" s="58">
        <f>SUM(AD116:AD122)</f>
        <v>62271</v>
      </c>
      <c r="AE115" s="59">
        <f>SUM(AE116:AE122)</f>
        <v>1412</v>
      </c>
      <c r="AF115" s="60">
        <f>SUM(AF116:AF122)</f>
        <v>63683</v>
      </c>
      <c r="AG115" s="60">
        <f t="shared" si="139"/>
        <v>104.84351591182232</v>
      </c>
      <c r="AH115" s="59">
        <f>SUM(AH116:AH122)</f>
        <v>64527</v>
      </c>
      <c r="AI115" s="359">
        <f t="shared" si="134"/>
        <v>1.0623302217612485</v>
      </c>
      <c r="AJ115" s="60"/>
      <c r="AK115" s="191">
        <f>SUM(AK116:AK122)</f>
        <v>0</v>
      </c>
      <c r="AL115" s="428">
        <f>SUM(AL116:AL122)</f>
        <v>60786.273999999998</v>
      </c>
      <c r="AM115" s="321"/>
      <c r="AN115" s="74"/>
      <c r="AP115" s="190">
        <f>SUM(AP116:AP122)</f>
        <v>59413.26816</v>
      </c>
      <c r="AQ115" s="191">
        <f>SUM(AQ116:AQ122)</f>
        <v>1145</v>
      </c>
      <c r="AT115" s="190">
        <f t="shared" si="100"/>
        <v>-1571.0078499999945</v>
      </c>
      <c r="AU115" s="191">
        <f t="shared" si="101"/>
        <v>0</v>
      </c>
    </row>
    <row r="116" spans="1:48" x14ac:dyDescent="0.2">
      <c r="A116" s="136"/>
      <c r="B116" s="29">
        <v>6112</v>
      </c>
      <c r="C116" s="29">
        <v>314</v>
      </c>
      <c r="D116" s="207" t="s">
        <v>83</v>
      </c>
      <c r="E116" s="46">
        <f>60+2923</f>
        <v>2983</v>
      </c>
      <c r="F116" s="16"/>
      <c r="G116" s="57">
        <f>E116+F116</f>
        <v>2983</v>
      </c>
      <c r="H116" s="192"/>
      <c r="I116" s="187"/>
      <c r="J116" s="46">
        <f>E116+H116</f>
        <v>2983</v>
      </c>
      <c r="K116" s="16"/>
      <c r="L116" s="57">
        <f t="shared" ref="L116:L122" si="141">SUM(J116:K116)</f>
        <v>2983</v>
      </c>
      <c r="M116" s="46">
        <f>484.222+241.904</f>
        <v>726.12599999999998</v>
      </c>
      <c r="N116" s="16"/>
      <c r="O116" s="57">
        <f>M116+N116</f>
        <v>726.12599999999998</v>
      </c>
      <c r="P116" s="57">
        <f t="shared" si="114"/>
        <v>24.342138786456584</v>
      </c>
      <c r="Q116" s="46">
        <f>1211.699+242.378</f>
        <v>1454.077</v>
      </c>
      <c r="R116" s="16"/>
      <c r="S116" s="57">
        <f t="shared" ref="S116:S122" si="142">Q116+R116</f>
        <v>1454.077</v>
      </c>
      <c r="T116" s="57">
        <f t="shared" si="136"/>
        <v>48.745457593027155</v>
      </c>
      <c r="U116" s="46">
        <f>1937.544+240.841</f>
        <v>2178.3850000000002</v>
      </c>
      <c r="V116" s="16"/>
      <c r="W116" s="57">
        <f t="shared" ref="W116:W122" si="143">U116+V116</f>
        <v>2178.3850000000002</v>
      </c>
      <c r="X116" s="57">
        <f t="shared" si="137"/>
        <v>73.026651022460626</v>
      </c>
      <c r="Y116" s="46">
        <v>2913.9674599999998</v>
      </c>
      <c r="Z116" s="16"/>
      <c r="AA116" s="57">
        <f>Y116+Z116</f>
        <v>2913.9674599999998</v>
      </c>
      <c r="AB116" s="57">
        <f t="shared" si="138"/>
        <v>97.685801542071744</v>
      </c>
      <c r="AC116" s="394">
        <f t="shared" ref="AC116:AC122" si="144">L116-AA116</f>
        <v>69.032540000000154</v>
      </c>
      <c r="AD116" s="46">
        <f>3225+60</f>
        <v>3285</v>
      </c>
      <c r="AE116" s="16"/>
      <c r="AF116" s="57">
        <f t="shared" ref="AF116:AF122" si="145">AD116+AE116</f>
        <v>3285</v>
      </c>
      <c r="AG116" s="57">
        <f t="shared" si="139"/>
        <v>110.12403620516258</v>
      </c>
      <c r="AH116" s="527">
        <v>3205</v>
      </c>
      <c r="AI116" s="358">
        <f t="shared" si="134"/>
        <v>1.0744217230975528</v>
      </c>
      <c r="AJ116" s="57"/>
      <c r="AK116" s="187"/>
      <c r="AL116" s="427">
        <f>L116-AK116</f>
        <v>2983</v>
      </c>
      <c r="AM116" s="317" t="s">
        <v>287</v>
      </c>
      <c r="AN116" s="308" t="s">
        <v>383</v>
      </c>
      <c r="AP116" s="188">
        <f>J116</f>
        <v>2983</v>
      </c>
      <c r="AQ116" s="187">
        <f>K116</f>
        <v>0</v>
      </c>
      <c r="AT116" s="188">
        <f t="shared" si="100"/>
        <v>0</v>
      </c>
      <c r="AU116" s="187">
        <f t="shared" si="101"/>
        <v>0</v>
      </c>
    </row>
    <row r="117" spans="1:48" x14ac:dyDescent="0.2">
      <c r="A117" s="136"/>
      <c r="B117" s="29">
        <v>6117</v>
      </c>
      <c r="C117" s="29">
        <v>110</v>
      </c>
      <c r="D117" s="207" t="s">
        <v>417</v>
      </c>
      <c r="E117" s="46"/>
      <c r="F117" s="16"/>
      <c r="G117" s="57"/>
      <c r="H117" s="192">
        <v>180</v>
      </c>
      <c r="I117" s="187"/>
      <c r="J117" s="46">
        <f>E117+H117</f>
        <v>180</v>
      </c>
      <c r="K117" s="16"/>
      <c r="L117" s="57">
        <f t="shared" si="141"/>
        <v>180</v>
      </c>
      <c r="M117" s="46"/>
      <c r="N117" s="16"/>
      <c r="O117" s="57"/>
      <c r="P117" s="57"/>
      <c r="Q117" s="46">
        <f>7.647+151.438</f>
        <v>159.08499999999998</v>
      </c>
      <c r="R117" s="16"/>
      <c r="S117" s="57">
        <f t="shared" si="142"/>
        <v>159.08499999999998</v>
      </c>
      <c r="T117" s="57">
        <f t="shared" si="136"/>
        <v>88.380555555555546</v>
      </c>
      <c r="U117" s="46">
        <v>179.98500000000001</v>
      </c>
      <c r="V117" s="16"/>
      <c r="W117" s="57">
        <f t="shared" si="143"/>
        <v>179.98500000000001</v>
      </c>
      <c r="X117" s="57">
        <f t="shared" si="137"/>
        <v>99.991666666666674</v>
      </c>
      <c r="Y117" s="46">
        <v>179.98500000000001</v>
      </c>
      <c r="Z117" s="16"/>
      <c r="AA117" s="57">
        <f>Y117+Z117</f>
        <v>179.98500000000001</v>
      </c>
      <c r="AB117" s="57">
        <f>AA117/$L117*100</f>
        <v>99.991666666666674</v>
      </c>
      <c r="AC117" s="394">
        <f t="shared" si="144"/>
        <v>1.4999999999986358E-2</v>
      </c>
      <c r="AD117" s="46"/>
      <c r="AE117" s="16"/>
      <c r="AF117" s="57">
        <f t="shared" si="145"/>
        <v>0</v>
      </c>
      <c r="AG117" s="57"/>
      <c r="AH117" s="16"/>
      <c r="AI117" s="358"/>
      <c r="AJ117" s="57"/>
      <c r="AK117" s="187"/>
      <c r="AL117" s="427"/>
      <c r="AM117" s="46"/>
      <c r="AN117" s="57"/>
      <c r="AP117" s="188">
        <f>J117</f>
        <v>180</v>
      </c>
      <c r="AQ117" s="187">
        <f t="shared" ref="AQ117:AQ122" si="146">K117</f>
        <v>0</v>
      </c>
      <c r="AT117" s="188">
        <f t="shared" si="100"/>
        <v>0</v>
      </c>
      <c r="AU117" s="187">
        <f t="shared" si="101"/>
        <v>0</v>
      </c>
    </row>
    <row r="118" spans="1:48" x14ac:dyDescent="0.2">
      <c r="A118" s="136"/>
      <c r="B118" s="29">
        <v>6171</v>
      </c>
      <c r="C118" s="29">
        <v>314</v>
      </c>
      <c r="D118" s="207" t="s">
        <v>97</v>
      </c>
      <c r="E118" s="46">
        <v>55000</v>
      </c>
      <c r="F118" s="16">
        <v>1145</v>
      </c>
      <c r="G118" s="57">
        <f>E118+F118</f>
        <v>56145</v>
      </c>
      <c r="H118" s="188">
        <f>733.2+14.894+40.18+70</f>
        <v>858.274</v>
      </c>
      <c r="I118" s="189"/>
      <c r="J118" s="46">
        <f>E118+H118</f>
        <v>55858.273999999998</v>
      </c>
      <c r="K118" s="16">
        <f>F118+I118</f>
        <v>1145</v>
      </c>
      <c r="L118" s="57">
        <f t="shared" si="141"/>
        <v>57003.273999999998</v>
      </c>
      <c r="M118" s="46">
        <f>9042.01108-N118+3909.181</f>
        <v>12911.192080000001</v>
      </c>
      <c r="N118" s="16">
        <v>40</v>
      </c>
      <c r="O118" s="57">
        <f>M118+N118</f>
        <v>12951.192080000001</v>
      </c>
      <c r="P118" s="57">
        <f>O118/$L118*100</f>
        <v>22.72008460426326</v>
      </c>
      <c r="Q118" s="46">
        <f>23261.54227-R118+3491.457</f>
        <v>25911.72307</v>
      </c>
      <c r="R118" s="16">
        <f>290.4+395.851+155.0252</f>
        <v>841.27620000000002</v>
      </c>
      <c r="S118" s="57">
        <f t="shared" si="142"/>
        <v>26752.99927</v>
      </c>
      <c r="T118" s="57">
        <f t="shared" si="136"/>
        <v>46.932390707944251</v>
      </c>
      <c r="U118" s="46">
        <f>35350.18839-V118+3715.079</f>
        <v>38223.991190000001</v>
      </c>
      <c r="V118" s="16">
        <f>290.4+395.851+155.0252</f>
        <v>841.27620000000002</v>
      </c>
      <c r="W118" s="57">
        <f t="shared" si="143"/>
        <v>39065.267390000001</v>
      </c>
      <c r="X118" s="57">
        <f t="shared" si="137"/>
        <v>68.531620464466656</v>
      </c>
      <c r="Y118" s="46">
        <f>55405.57347-Z118</f>
        <v>54265.42727</v>
      </c>
      <c r="Z118" s="16">
        <f>290.4+298.87+395.851+155.0252</f>
        <v>1140.1461999999999</v>
      </c>
      <c r="AA118" s="57">
        <f>Y118+Z118</f>
        <v>55405.573470000003</v>
      </c>
      <c r="AB118" s="57">
        <f>AA118/$L118*100</f>
        <v>97.197177604219718</v>
      </c>
      <c r="AC118" s="394">
        <f t="shared" si="144"/>
        <v>1597.7005299999946</v>
      </c>
      <c r="AD118" s="46">
        <v>57481</v>
      </c>
      <c r="AE118" s="16">
        <v>1412</v>
      </c>
      <c r="AF118" s="57">
        <f t="shared" si="145"/>
        <v>58893</v>
      </c>
      <c r="AG118" s="57">
        <f t="shared" si="139"/>
        <v>104.89446967672991</v>
      </c>
      <c r="AH118" s="16">
        <f>AF118</f>
        <v>58893</v>
      </c>
      <c r="AI118" s="358">
        <f>AH118/G118</f>
        <v>1.0489446967672991</v>
      </c>
      <c r="AJ118" s="57"/>
      <c r="AK118" s="189"/>
      <c r="AL118" s="427">
        <f>L118-AK118</f>
        <v>57003.273999999998</v>
      </c>
      <c r="AM118" s="326" t="s">
        <v>182</v>
      </c>
      <c r="AN118" s="74"/>
      <c r="AP118" s="485">
        <f>J118-400</f>
        <v>55458.273999999998</v>
      </c>
      <c r="AQ118" s="187">
        <f t="shared" si="146"/>
        <v>1145</v>
      </c>
      <c r="AT118" s="485">
        <f t="shared" si="100"/>
        <v>-400</v>
      </c>
      <c r="AU118" s="187">
        <f t="shared" si="101"/>
        <v>0</v>
      </c>
    </row>
    <row r="119" spans="1:48" x14ac:dyDescent="0.2">
      <c r="A119" s="136"/>
      <c r="B119" s="29">
        <v>6171</v>
      </c>
      <c r="C119" s="29">
        <v>3005</v>
      </c>
      <c r="D119" s="419" t="s">
        <v>322</v>
      </c>
      <c r="E119" s="46">
        <v>13</v>
      </c>
      <c r="F119" s="16"/>
      <c r="G119" s="57">
        <f>E119+F119</f>
        <v>13</v>
      </c>
      <c r="H119" s="188"/>
      <c r="I119" s="189"/>
      <c r="J119" s="46">
        <f>E119+H119</f>
        <v>13</v>
      </c>
      <c r="K119" s="16"/>
      <c r="L119" s="57">
        <f t="shared" si="141"/>
        <v>13</v>
      </c>
      <c r="M119" s="46">
        <v>12.484999999999999</v>
      </c>
      <c r="N119" s="16"/>
      <c r="O119" s="57">
        <f>M119+N119</f>
        <v>12.484999999999999</v>
      </c>
      <c r="P119" s="57">
        <f>O119/$L119*100</f>
        <v>96.038461538461533</v>
      </c>
      <c r="Q119" s="46">
        <v>12.484999999999999</v>
      </c>
      <c r="R119" s="16"/>
      <c r="S119" s="57">
        <f t="shared" si="142"/>
        <v>12.484999999999999</v>
      </c>
      <c r="T119" s="57">
        <f t="shared" si="136"/>
        <v>96.038461538461533</v>
      </c>
      <c r="U119" s="46">
        <v>12.484999999999999</v>
      </c>
      <c r="V119" s="16"/>
      <c r="W119" s="57">
        <f t="shared" si="143"/>
        <v>12.484999999999999</v>
      </c>
      <c r="X119" s="57">
        <f t="shared" si="137"/>
        <v>96.038461538461533</v>
      </c>
      <c r="Y119" s="46">
        <v>12.484999999999999</v>
      </c>
      <c r="Z119" s="16"/>
      <c r="AA119" s="57">
        <f>Y119+Z119</f>
        <v>12.484999999999999</v>
      </c>
      <c r="AB119" s="57">
        <f t="shared" si="138"/>
        <v>96.038461538461533</v>
      </c>
      <c r="AC119" s="394">
        <f t="shared" si="144"/>
        <v>0.51500000000000057</v>
      </c>
      <c r="AD119" s="46"/>
      <c r="AE119" s="16"/>
      <c r="AF119" s="57">
        <f t="shared" si="145"/>
        <v>0</v>
      </c>
      <c r="AG119" s="57">
        <f t="shared" si="139"/>
        <v>0</v>
      </c>
      <c r="AH119" s="16"/>
      <c r="AI119" s="358"/>
      <c r="AJ119" s="405" t="s">
        <v>380</v>
      </c>
      <c r="AK119" s="189"/>
      <c r="AL119" s="427"/>
      <c r="AM119" s="62" t="s">
        <v>278</v>
      </c>
      <c r="AN119" s="307" t="s">
        <v>118</v>
      </c>
      <c r="AP119" s="188">
        <f>J119</f>
        <v>13</v>
      </c>
      <c r="AQ119" s="187">
        <f t="shared" si="146"/>
        <v>0</v>
      </c>
      <c r="AT119" s="188">
        <f t="shared" si="100"/>
        <v>0</v>
      </c>
      <c r="AU119" s="187">
        <f t="shared" si="101"/>
        <v>0</v>
      </c>
    </row>
    <row r="120" spans="1:48" x14ac:dyDescent="0.2">
      <c r="A120" s="136"/>
      <c r="B120" s="29">
        <v>6171</v>
      </c>
      <c r="C120" s="29">
        <v>6206</v>
      </c>
      <c r="D120" s="419" t="s">
        <v>323</v>
      </c>
      <c r="E120" s="46">
        <v>800</v>
      </c>
      <c r="F120" s="16"/>
      <c r="G120" s="57">
        <f>E120+F120</f>
        <v>800</v>
      </c>
      <c r="H120" s="188">
        <v>350.00200999999998</v>
      </c>
      <c r="I120" s="189"/>
      <c r="J120" s="46">
        <f>E120+H120</f>
        <v>1150.0020099999999</v>
      </c>
      <c r="K120" s="16"/>
      <c r="L120" s="57">
        <f t="shared" si="141"/>
        <v>1150.0020099999999</v>
      </c>
      <c r="M120" s="46">
        <f>52.026+26.917</f>
        <v>78.943000000000012</v>
      </c>
      <c r="N120" s="16"/>
      <c r="O120" s="57">
        <f>M120+N120</f>
        <v>78.943000000000012</v>
      </c>
      <c r="P120" s="57">
        <f>O120/$L120*100</f>
        <v>6.8645966975309909</v>
      </c>
      <c r="Q120" s="46">
        <f>141.801+32.037</f>
        <v>173.83799999999999</v>
      </c>
      <c r="R120" s="16"/>
      <c r="S120" s="57">
        <f t="shared" si="142"/>
        <v>173.83799999999999</v>
      </c>
      <c r="T120" s="57">
        <f t="shared" si="136"/>
        <v>15.116321405386065</v>
      </c>
      <c r="U120" s="46">
        <f>289.845+58.571</f>
        <v>348.41600000000005</v>
      </c>
      <c r="V120" s="16"/>
      <c r="W120" s="57">
        <f t="shared" si="143"/>
        <v>348.41600000000005</v>
      </c>
      <c r="X120" s="57">
        <f t="shared" si="137"/>
        <v>30.296990524390484</v>
      </c>
      <c r="Y120" s="46">
        <v>366.72300000000001</v>
      </c>
      <c r="Z120" s="16"/>
      <c r="AA120" s="57">
        <f>Y120+Z120</f>
        <v>366.72300000000001</v>
      </c>
      <c r="AB120" s="57">
        <f t="shared" si="138"/>
        <v>31.888900785486456</v>
      </c>
      <c r="AC120" s="394">
        <f t="shared" si="144"/>
        <v>783.27900999999997</v>
      </c>
      <c r="AD120" s="46"/>
      <c r="AE120" s="16"/>
      <c r="AF120" s="57">
        <f t="shared" si="145"/>
        <v>0</v>
      </c>
      <c r="AG120" s="57">
        <f t="shared" si="139"/>
        <v>0</v>
      </c>
      <c r="AH120" s="16">
        <v>1024</v>
      </c>
      <c r="AI120" s="358"/>
      <c r="AJ120" s="405" t="s">
        <v>441</v>
      </c>
      <c r="AK120" s="189"/>
      <c r="AL120" s="427"/>
      <c r="AM120" s="62" t="s">
        <v>278</v>
      </c>
      <c r="AN120" s="57" t="s">
        <v>295</v>
      </c>
      <c r="AP120" s="485">
        <v>350</v>
      </c>
      <c r="AQ120" s="187">
        <f t="shared" si="146"/>
        <v>0</v>
      </c>
      <c r="AT120" s="485">
        <f t="shared" si="100"/>
        <v>-800.00200999999993</v>
      </c>
      <c r="AU120" s="187">
        <f t="shared" si="101"/>
        <v>0</v>
      </c>
    </row>
    <row r="121" spans="1:48" x14ac:dyDescent="0.2">
      <c r="A121" s="136"/>
      <c r="B121" s="29">
        <v>6171</v>
      </c>
      <c r="C121" s="29">
        <v>15479</v>
      </c>
      <c r="D121" s="419" t="s">
        <v>440</v>
      </c>
      <c r="E121" s="46"/>
      <c r="F121" s="16"/>
      <c r="G121" s="57"/>
      <c r="H121" s="188"/>
      <c r="I121" s="189"/>
      <c r="J121" s="46"/>
      <c r="K121" s="16"/>
      <c r="L121" s="57"/>
      <c r="M121" s="46"/>
      <c r="N121" s="16"/>
      <c r="O121" s="57"/>
      <c r="P121" s="57"/>
      <c r="Q121" s="46"/>
      <c r="R121" s="16"/>
      <c r="S121" s="57"/>
      <c r="T121" s="57"/>
      <c r="U121" s="46"/>
      <c r="V121" s="16"/>
      <c r="W121" s="57"/>
      <c r="X121" s="57"/>
      <c r="Y121" s="46"/>
      <c r="Z121" s="16"/>
      <c r="AA121" s="57"/>
      <c r="AB121" s="57"/>
      <c r="AC121" s="394">
        <f t="shared" si="144"/>
        <v>0</v>
      </c>
      <c r="AD121" s="46">
        <v>621</v>
      </c>
      <c r="AE121" s="16"/>
      <c r="AF121" s="57">
        <f t="shared" si="145"/>
        <v>621</v>
      </c>
      <c r="AG121" s="57"/>
      <c r="AH121" s="16">
        <v>621</v>
      </c>
      <c r="AI121" s="358"/>
      <c r="AJ121" s="405" t="s">
        <v>455</v>
      </c>
      <c r="AK121" s="189"/>
      <c r="AL121" s="427"/>
      <c r="AM121" s="62" t="s">
        <v>278</v>
      </c>
      <c r="AN121" s="57" t="s">
        <v>295</v>
      </c>
      <c r="AP121" s="485"/>
      <c r="AQ121" s="187"/>
      <c r="AT121" s="485"/>
      <c r="AU121" s="187"/>
    </row>
    <row r="122" spans="1:48" x14ac:dyDescent="0.2">
      <c r="A122" s="136"/>
      <c r="B122" s="29">
        <v>6171</v>
      </c>
      <c r="C122" s="29">
        <v>318</v>
      </c>
      <c r="D122" s="207" t="s">
        <v>237</v>
      </c>
      <c r="E122" s="46">
        <v>800</v>
      </c>
      <c r="F122" s="16"/>
      <c r="G122" s="57">
        <f>E122+F122</f>
        <v>800</v>
      </c>
      <c r="H122" s="188"/>
      <c r="I122" s="189"/>
      <c r="J122" s="46">
        <f>E122+H122</f>
        <v>800</v>
      </c>
      <c r="K122" s="16">
        <f>F122+I122</f>
        <v>0</v>
      </c>
      <c r="L122" s="57">
        <f t="shared" si="141"/>
        <v>800</v>
      </c>
      <c r="M122" s="46">
        <v>33.548999999999999</v>
      </c>
      <c r="N122" s="16"/>
      <c r="O122" s="57">
        <f>M122+N122</f>
        <v>33.548999999999999</v>
      </c>
      <c r="P122" s="57">
        <f t="shared" si="114"/>
        <v>4.1936249999999999</v>
      </c>
      <c r="Q122" s="46">
        <v>45.649000000000001</v>
      </c>
      <c r="R122" s="16"/>
      <c r="S122" s="57">
        <f t="shared" si="142"/>
        <v>45.649000000000001</v>
      </c>
      <c r="T122" s="57">
        <f t="shared" si="136"/>
        <v>5.7061250000000001</v>
      </c>
      <c r="U122" s="46">
        <v>228.99415999999999</v>
      </c>
      <c r="V122" s="16"/>
      <c r="W122" s="57">
        <f t="shared" si="143"/>
        <v>228.99415999999999</v>
      </c>
      <c r="X122" s="57">
        <f t="shared" si="137"/>
        <v>28.624270000000003</v>
      </c>
      <c r="Y122" s="46">
        <v>726.39251999999999</v>
      </c>
      <c r="Z122" s="16"/>
      <c r="AA122" s="57">
        <f>Y122+Z122</f>
        <v>726.39251999999999</v>
      </c>
      <c r="AB122" s="57">
        <f t="shared" si="138"/>
        <v>90.799064999999999</v>
      </c>
      <c r="AC122" s="394">
        <f t="shared" si="144"/>
        <v>73.60748000000001</v>
      </c>
      <c r="AD122" s="46">
        <v>884</v>
      </c>
      <c r="AE122" s="16"/>
      <c r="AF122" s="57">
        <f t="shared" si="145"/>
        <v>884</v>
      </c>
      <c r="AG122" s="57">
        <f t="shared" ref="AG122:AG131" si="147">AF122/$G122*100</f>
        <v>110.5</v>
      </c>
      <c r="AH122" s="16">
        <v>784</v>
      </c>
      <c r="AI122" s="358">
        <f t="shared" ref="AI122:AI130" si="148">AH122/G122</f>
        <v>0.98</v>
      </c>
      <c r="AJ122" s="57"/>
      <c r="AK122" s="189"/>
      <c r="AL122" s="427">
        <f>L122-AK122</f>
        <v>800</v>
      </c>
      <c r="AM122" s="318" t="s">
        <v>158</v>
      </c>
      <c r="AN122" s="309" t="s">
        <v>118</v>
      </c>
      <c r="AP122" s="485">
        <f>U122+200</f>
        <v>428.99415999999997</v>
      </c>
      <c r="AQ122" s="187">
        <f t="shared" si="146"/>
        <v>0</v>
      </c>
      <c r="AT122" s="485">
        <f t="shared" si="100"/>
        <v>-371.00584000000003</v>
      </c>
      <c r="AU122" s="187">
        <f t="shared" si="101"/>
        <v>0</v>
      </c>
      <c r="AV122" s="117"/>
    </row>
    <row r="123" spans="1:48" x14ac:dyDescent="0.2">
      <c r="A123" s="137" t="s">
        <v>84</v>
      </c>
      <c r="B123" s="24">
        <v>6300</v>
      </c>
      <c r="C123" s="24"/>
      <c r="D123" s="417" t="s">
        <v>85</v>
      </c>
      <c r="E123" s="58">
        <f t="shared" ref="E123:O123" si="149">SUM(E124:E130)</f>
        <v>5693</v>
      </c>
      <c r="F123" s="59">
        <f t="shared" si="149"/>
        <v>0</v>
      </c>
      <c r="G123" s="60">
        <f t="shared" si="149"/>
        <v>5693</v>
      </c>
      <c r="H123" s="190">
        <f t="shared" si="149"/>
        <v>2106.7178000000004</v>
      </c>
      <c r="I123" s="191">
        <f t="shared" si="149"/>
        <v>0</v>
      </c>
      <c r="J123" s="58">
        <f t="shared" si="149"/>
        <v>7799.7178000000004</v>
      </c>
      <c r="K123" s="59">
        <f t="shared" si="149"/>
        <v>0</v>
      </c>
      <c r="L123" s="60">
        <f t="shared" si="149"/>
        <v>7799.7178000000004</v>
      </c>
      <c r="M123" s="58">
        <f t="shared" si="149"/>
        <v>4052.4635100000005</v>
      </c>
      <c r="N123" s="59">
        <f t="shared" si="149"/>
        <v>0</v>
      </c>
      <c r="O123" s="60">
        <f t="shared" si="149"/>
        <v>4052.4635100000005</v>
      </c>
      <c r="P123" s="60">
        <f t="shared" si="114"/>
        <v>51.956540145593479</v>
      </c>
      <c r="Q123" s="58">
        <f>SUM(Q124:Q130)</f>
        <v>5328.6828599999999</v>
      </c>
      <c r="R123" s="59">
        <f>SUM(R124:R130)</f>
        <v>0</v>
      </c>
      <c r="S123" s="60">
        <f>SUM(S124:S130)</f>
        <v>5328.6828599999999</v>
      </c>
      <c r="T123" s="60">
        <f t="shared" si="136"/>
        <v>68.31891866651894</v>
      </c>
      <c r="U123" s="58">
        <f>SUM(U124:U130)</f>
        <v>5717.1389499999996</v>
      </c>
      <c r="V123" s="59">
        <f>SUM(V124:V130)</f>
        <v>0</v>
      </c>
      <c r="W123" s="60">
        <f>SUM(W124:W130)</f>
        <v>5717.1389499999996</v>
      </c>
      <c r="X123" s="60">
        <f t="shared" si="137"/>
        <v>73.299305136398644</v>
      </c>
      <c r="Y123" s="58">
        <f>SUM(Y124:Y130)</f>
        <v>6827.6858799999991</v>
      </c>
      <c r="Z123" s="59">
        <f>SUM(Z124:Z130)</f>
        <v>0</v>
      </c>
      <c r="AA123" s="60">
        <f>SUM(AA124:AA130)</f>
        <v>6827.6858799999991</v>
      </c>
      <c r="AB123" s="60">
        <f t="shared" si="138"/>
        <v>87.53760142450281</v>
      </c>
      <c r="AC123" s="395">
        <f>SUM(AC124:AC130)</f>
        <v>972.03192000000013</v>
      </c>
      <c r="AD123" s="58">
        <f>SUM(AD124:AD130)</f>
        <v>10358</v>
      </c>
      <c r="AE123" s="59">
        <f>SUM(AE124:AE130)</f>
        <v>1000</v>
      </c>
      <c r="AF123" s="60">
        <f>SUM(AF124:AF130)</f>
        <v>11358</v>
      </c>
      <c r="AG123" s="60">
        <f t="shared" si="147"/>
        <v>199.50816792552257</v>
      </c>
      <c r="AH123" s="59">
        <f>SUM(AH124:AH130)</f>
        <v>1662</v>
      </c>
      <c r="AI123" s="359">
        <f t="shared" si="148"/>
        <v>0.29193746706481644</v>
      </c>
      <c r="AJ123" s="60"/>
      <c r="AK123" s="191">
        <f>SUM(AK124:AK130)</f>
        <v>0</v>
      </c>
      <c r="AL123" s="428">
        <f>SUM(AL124:AL130)</f>
        <v>6711.9490000000005</v>
      </c>
      <c r="AM123" s="321"/>
      <c r="AN123" s="74"/>
      <c r="AP123" s="190">
        <f>SUM(AP124:AP130)</f>
        <v>7113.7687999999998</v>
      </c>
      <c r="AQ123" s="191">
        <f>SUM(AQ124:AQ130)</f>
        <v>0</v>
      </c>
      <c r="AT123" s="190">
        <f t="shared" si="100"/>
        <v>-685.94900000000052</v>
      </c>
      <c r="AU123" s="191">
        <f t="shared" si="101"/>
        <v>0</v>
      </c>
    </row>
    <row r="124" spans="1:48" x14ac:dyDescent="0.2">
      <c r="A124" s="136"/>
      <c r="B124" s="29">
        <v>6320</v>
      </c>
      <c r="C124" s="29">
        <v>314</v>
      </c>
      <c r="D124" s="207" t="s">
        <v>191</v>
      </c>
      <c r="E124" s="46">
        <v>200</v>
      </c>
      <c r="F124" s="16"/>
      <c r="G124" s="57">
        <f t="shared" ref="G124:G130" si="150">E124+F124</f>
        <v>200</v>
      </c>
      <c r="H124" s="188"/>
      <c r="I124" s="187"/>
      <c r="J124" s="46">
        <f t="shared" ref="J124:J130" si="151">E124+H124</f>
        <v>200</v>
      </c>
      <c r="K124" s="16"/>
      <c r="L124" s="57">
        <f t="shared" ref="L124:L130" si="152">SUM(J124:K124)</f>
        <v>200</v>
      </c>
      <c r="M124" s="46">
        <v>154.56800000000001</v>
      </c>
      <c r="N124" s="16"/>
      <c r="O124" s="57">
        <f t="shared" ref="O124:O130" si="153">M124+N124</f>
        <v>154.56800000000001</v>
      </c>
      <c r="P124" s="57">
        <f t="shared" si="114"/>
        <v>77.284000000000006</v>
      </c>
      <c r="Q124" s="46">
        <v>154.56800000000001</v>
      </c>
      <c r="R124" s="16"/>
      <c r="S124" s="57">
        <f t="shared" ref="S124:S130" si="154">Q124+R124</f>
        <v>154.56800000000001</v>
      </c>
      <c r="T124" s="57">
        <f t="shared" si="136"/>
        <v>77.284000000000006</v>
      </c>
      <c r="U124" s="46">
        <v>154.56800000000001</v>
      </c>
      <c r="V124" s="16"/>
      <c r="W124" s="57">
        <f t="shared" ref="W124:W130" si="155">U124+V124</f>
        <v>154.56800000000001</v>
      </c>
      <c r="X124" s="57">
        <f t="shared" si="137"/>
        <v>77.284000000000006</v>
      </c>
      <c r="Y124" s="46">
        <v>154.56800000000001</v>
      </c>
      <c r="Z124" s="16"/>
      <c r="AA124" s="57">
        <f t="shared" ref="AA124:AA130" si="156">Y124+Z124</f>
        <v>154.56800000000001</v>
      </c>
      <c r="AB124" s="57">
        <f t="shared" si="138"/>
        <v>77.284000000000006</v>
      </c>
      <c r="AC124" s="394">
        <f t="shared" ref="AC124:AC130" si="157">L124-AA124</f>
        <v>45.431999999999988</v>
      </c>
      <c r="AD124" s="46">
        <v>190</v>
      </c>
      <c r="AE124" s="16"/>
      <c r="AF124" s="57">
        <f t="shared" ref="AF124:AF130" si="158">AD124+AE124</f>
        <v>190</v>
      </c>
      <c r="AG124" s="57">
        <f t="shared" si="147"/>
        <v>95</v>
      </c>
      <c r="AH124" s="16">
        <v>196</v>
      </c>
      <c r="AI124" s="358">
        <f t="shared" si="148"/>
        <v>0.98</v>
      </c>
      <c r="AJ124" s="57"/>
      <c r="AK124" s="187"/>
      <c r="AL124" s="427">
        <f t="shared" ref="AL124:AL130" si="159">L124-AK124</f>
        <v>200</v>
      </c>
      <c r="AM124" s="322" t="s">
        <v>314</v>
      </c>
      <c r="AN124" s="307" t="s">
        <v>68</v>
      </c>
      <c r="AP124" s="188">
        <f>J124</f>
        <v>200</v>
      </c>
      <c r="AQ124" s="187">
        <f>K124</f>
        <v>0</v>
      </c>
      <c r="AT124" s="188">
        <f t="shared" si="100"/>
        <v>0</v>
      </c>
      <c r="AU124" s="187">
        <f t="shared" si="101"/>
        <v>0</v>
      </c>
    </row>
    <row r="125" spans="1:48" x14ac:dyDescent="0.2">
      <c r="A125" s="136"/>
      <c r="B125" s="29">
        <v>6399</v>
      </c>
      <c r="C125" s="29">
        <v>314</v>
      </c>
      <c r="D125" s="207" t="s">
        <v>238</v>
      </c>
      <c r="E125" s="46">
        <v>70</v>
      </c>
      <c r="F125" s="16"/>
      <c r="G125" s="57">
        <f t="shared" si="150"/>
        <v>70</v>
      </c>
      <c r="H125" s="188"/>
      <c r="I125" s="187"/>
      <c r="J125" s="46">
        <f t="shared" si="151"/>
        <v>70</v>
      </c>
      <c r="K125" s="16"/>
      <c r="L125" s="57">
        <f t="shared" si="152"/>
        <v>70</v>
      </c>
      <c r="M125" s="46"/>
      <c r="N125" s="16"/>
      <c r="O125" s="57">
        <f t="shared" si="153"/>
        <v>0</v>
      </c>
      <c r="P125" s="57">
        <f t="shared" si="114"/>
        <v>0</v>
      </c>
      <c r="Q125" s="46">
        <v>5.25</v>
      </c>
      <c r="R125" s="16"/>
      <c r="S125" s="57">
        <f t="shared" si="154"/>
        <v>5.25</v>
      </c>
      <c r="T125" s="57">
        <f t="shared" si="136"/>
        <v>7.5</v>
      </c>
      <c r="U125" s="46">
        <v>5.25</v>
      </c>
      <c r="V125" s="16"/>
      <c r="W125" s="57">
        <f t="shared" si="155"/>
        <v>5.25</v>
      </c>
      <c r="X125" s="57">
        <f t="shared" si="137"/>
        <v>7.5</v>
      </c>
      <c r="Y125" s="46">
        <v>17.591999999999999</v>
      </c>
      <c r="Z125" s="16"/>
      <c r="AA125" s="57">
        <f t="shared" si="156"/>
        <v>17.591999999999999</v>
      </c>
      <c r="AB125" s="57">
        <f t="shared" si="138"/>
        <v>25.131428571428572</v>
      </c>
      <c r="AC125" s="394">
        <f t="shared" si="157"/>
        <v>52.408000000000001</v>
      </c>
      <c r="AD125" s="46">
        <v>68</v>
      </c>
      <c r="AE125" s="16"/>
      <c r="AF125" s="57">
        <f t="shared" si="158"/>
        <v>68</v>
      </c>
      <c r="AG125" s="57">
        <f t="shared" si="147"/>
        <v>97.142857142857139</v>
      </c>
      <c r="AH125" s="527">
        <v>70</v>
      </c>
      <c r="AI125" s="358">
        <f t="shared" si="148"/>
        <v>1</v>
      </c>
      <c r="AJ125" s="57"/>
      <c r="AK125" s="187"/>
      <c r="AL125" s="427">
        <f t="shared" si="159"/>
        <v>70</v>
      </c>
      <c r="AM125" s="327" t="s">
        <v>71</v>
      </c>
      <c r="AN125" s="308" t="s">
        <v>383</v>
      </c>
      <c r="AP125" s="188">
        <f>J125</f>
        <v>70</v>
      </c>
      <c r="AQ125" s="187">
        <f t="shared" ref="AQ125:AQ130" si="160">K125</f>
        <v>0</v>
      </c>
      <c r="AT125" s="188">
        <f t="shared" si="100"/>
        <v>0</v>
      </c>
      <c r="AU125" s="187">
        <f t="shared" si="101"/>
        <v>0</v>
      </c>
    </row>
    <row r="126" spans="1:48" x14ac:dyDescent="0.2">
      <c r="A126" s="136"/>
      <c r="B126" s="29">
        <v>6399</v>
      </c>
      <c r="C126" s="29">
        <v>315</v>
      </c>
      <c r="D126" s="207" t="s">
        <v>86</v>
      </c>
      <c r="E126" s="46">
        <v>2594</v>
      </c>
      <c r="F126" s="16"/>
      <c r="G126" s="57">
        <f t="shared" si="150"/>
        <v>2594</v>
      </c>
      <c r="H126" s="188"/>
      <c r="I126" s="187"/>
      <c r="J126" s="46">
        <f t="shared" si="151"/>
        <v>2594</v>
      </c>
      <c r="K126" s="16"/>
      <c r="L126" s="57">
        <f t="shared" si="152"/>
        <v>2594</v>
      </c>
      <c r="M126" s="46">
        <v>2593.69</v>
      </c>
      <c r="N126" s="16"/>
      <c r="O126" s="57">
        <f t="shared" si="153"/>
        <v>2593.69</v>
      </c>
      <c r="P126" s="57">
        <f t="shared" si="114"/>
        <v>99.988049344641482</v>
      </c>
      <c r="Q126" s="46">
        <v>2593.69</v>
      </c>
      <c r="R126" s="16"/>
      <c r="S126" s="57">
        <f t="shared" si="154"/>
        <v>2593.69</v>
      </c>
      <c r="T126" s="57">
        <f t="shared" si="136"/>
        <v>99.988049344641482</v>
      </c>
      <c r="U126" s="46">
        <v>2593.69</v>
      </c>
      <c r="V126" s="16"/>
      <c r="W126" s="57">
        <f t="shared" si="155"/>
        <v>2593.69</v>
      </c>
      <c r="X126" s="57">
        <f t="shared" si="137"/>
        <v>99.988049344641482</v>
      </c>
      <c r="Y126" s="46">
        <v>2593.69</v>
      </c>
      <c r="Z126" s="16"/>
      <c r="AA126" s="57">
        <f t="shared" si="156"/>
        <v>2593.69</v>
      </c>
      <c r="AB126" s="57">
        <f t="shared" si="138"/>
        <v>99.988049344641482</v>
      </c>
      <c r="AC126" s="394">
        <f t="shared" si="157"/>
        <v>0.30999999999994543</v>
      </c>
      <c r="AD126" s="46">
        <v>6525</v>
      </c>
      <c r="AE126" s="16"/>
      <c r="AF126" s="57">
        <f t="shared" si="158"/>
        <v>6525</v>
      </c>
      <c r="AG126" s="57">
        <f t="shared" si="147"/>
        <v>251.54202004626057</v>
      </c>
      <c r="AH126" s="16"/>
      <c r="AI126" s="358">
        <f t="shared" si="148"/>
        <v>0</v>
      </c>
      <c r="AJ126" s="57" t="s">
        <v>192</v>
      </c>
      <c r="AK126" s="187"/>
      <c r="AL126" s="427">
        <f t="shared" si="159"/>
        <v>2594</v>
      </c>
      <c r="AM126" s="319" t="s">
        <v>198</v>
      </c>
      <c r="AN126" s="306" t="s">
        <v>71</v>
      </c>
      <c r="AP126" s="188">
        <f>J126</f>
        <v>2594</v>
      </c>
      <c r="AQ126" s="187">
        <f t="shared" si="160"/>
        <v>0</v>
      </c>
      <c r="AT126" s="188">
        <f t="shared" si="100"/>
        <v>0</v>
      </c>
      <c r="AU126" s="187">
        <f t="shared" si="101"/>
        <v>0</v>
      </c>
    </row>
    <row r="127" spans="1:48" x14ac:dyDescent="0.2">
      <c r="A127" s="136"/>
      <c r="B127" s="29">
        <v>6399</v>
      </c>
      <c r="C127" s="29">
        <v>665</v>
      </c>
      <c r="D127" s="207" t="s">
        <v>242</v>
      </c>
      <c r="E127" s="46">
        <v>2271</v>
      </c>
      <c r="F127" s="16"/>
      <c r="G127" s="57">
        <f t="shared" si="150"/>
        <v>2271</v>
      </c>
      <c r="H127" s="188">
        <f>2+360</f>
        <v>362</v>
      </c>
      <c r="I127" s="187"/>
      <c r="J127" s="46">
        <f t="shared" si="151"/>
        <v>2633</v>
      </c>
      <c r="K127" s="16"/>
      <c r="L127" s="57">
        <f t="shared" si="152"/>
        <v>2633</v>
      </c>
      <c r="M127" s="46">
        <v>115.87723</v>
      </c>
      <c r="N127" s="16"/>
      <c r="O127" s="57">
        <f t="shared" si="153"/>
        <v>115.87723</v>
      </c>
      <c r="P127" s="57">
        <f t="shared" si="114"/>
        <v>4.4009582225598178</v>
      </c>
      <c r="Q127" s="46">
        <v>1385.8465799999999</v>
      </c>
      <c r="R127" s="16"/>
      <c r="S127" s="57">
        <f t="shared" si="154"/>
        <v>1385.8465799999999</v>
      </c>
      <c r="T127" s="57">
        <f t="shared" si="136"/>
        <v>52.633747816179252</v>
      </c>
      <c r="U127" s="46">
        <v>1557.9026699999999</v>
      </c>
      <c r="V127" s="16"/>
      <c r="W127" s="57">
        <f t="shared" si="155"/>
        <v>1557.9026699999999</v>
      </c>
      <c r="X127" s="57">
        <f t="shared" si="137"/>
        <v>59.16835055070262</v>
      </c>
      <c r="Y127" s="46">
        <v>2596.3458000000001</v>
      </c>
      <c r="Z127" s="16"/>
      <c r="AA127" s="57">
        <f t="shared" si="156"/>
        <v>2596.3458000000001</v>
      </c>
      <c r="AB127" s="57">
        <f t="shared" si="138"/>
        <v>98.607892138245347</v>
      </c>
      <c r="AC127" s="394">
        <f t="shared" si="157"/>
        <v>36.654199999999946</v>
      </c>
      <c r="AD127" s="46">
        <v>1050</v>
      </c>
      <c r="AE127" s="16"/>
      <c r="AF127" s="57">
        <f t="shared" si="158"/>
        <v>1050</v>
      </c>
      <c r="AG127" s="57">
        <f t="shared" si="147"/>
        <v>46.235138705416119</v>
      </c>
      <c r="AH127" s="16">
        <v>1050</v>
      </c>
      <c r="AI127" s="358">
        <f t="shared" si="148"/>
        <v>0.46235138705416118</v>
      </c>
      <c r="AJ127" s="57"/>
      <c r="AK127" s="187"/>
      <c r="AL127" s="427">
        <f t="shared" si="159"/>
        <v>2633</v>
      </c>
      <c r="AM127" s="319" t="s">
        <v>198</v>
      </c>
      <c r="AN127" s="306" t="s">
        <v>71</v>
      </c>
      <c r="AO127" s="146">
        <f>L127-2538</f>
        <v>95</v>
      </c>
      <c r="AP127" s="188">
        <f>J127</f>
        <v>2633</v>
      </c>
      <c r="AQ127" s="187">
        <f t="shared" si="160"/>
        <v>0</v>
      </c>
      <c r="AT127" s="188">
        <f t="shared" si="100"/>
        <v>0</v>
      </c>
      <c r="AU127" s="187">
        <f t="shared" si="101"/>
        <v>0</v>
      </c>
    </row>
    <row r="128" spans="1:48" x14ac:dyDescent="0.2">
      <c r="A128" s="136"/>
      <c r="B128" s="29">
        <v>6402</v>
      </c>
      <c r="C128" s="29">
        <v>2018</v>
      </c>
      <c r="D128" s="207" t="s">
        <v>330</v>
      </c>
      <c r="E128" s="46"/>
      <c r="F128" s="16"/>
      <c r="G128" s="57">
        <f t="shared" si="150"/>
        <v>0</v>
      </c>
      <c r="H128" s="188">
        <f>1028.007+59.7618</f>
        <v>1087.7688000000001</v>
      </c>
      <c r="I128" s="187"/>
      <c r="J128" s="46">
        <f>E128+H128</f>
        <v>1087.7688000000001</v>
      </c>
      <c r="K128" s="16"/>
      <c r="L128" s="57">
        <f>SUM(J128:K128)</f>
        <v>1087.7688000000001</v>
      </c>
      <c r="M128" s="46">
        <v>1028.9181799999999</v>
      </c>
      <c r="N128" s="16"/>
      <c r="O128" s="57">
        <f t="shared" si="153"/>
        <v>1028.9181799999999</v>
      </c>
      <c r="P128" s="57"/>
      <c r="Q128" s="46">
        <v>1028.9181799999999</v>
      </c>
      <c r="R128" s="16"/>
      <c r="S128" s="57">
        <f t="shared" si="154"/>
        <v>1028.9181799999999</v>
      </c>
      <c r="T128" s="57">
        <f t="shared" si="136"/>
        <v>94.58978599128784</v>
      </c>
      <c r="U128" s="46">
        <v>1028.9181799999999</v>
      </c>
      <c r="V128" s="16"/>
      <c r="W128" s="57">
        <f t="shared" si="155"/>
        <v>1028.9181799999999</v>
      </c>
      <c r="X128" s="57">
        <f t="shared" si="137"/>
        <v>94.58978599128784</v>
      </c>
      <c r="Y128" s="46">
        <f>59.7618+1028.007+0.292+0.61918</f>
        <v>1088.6799799999999</v>
      </c>
      <c r="Z128" s="16"/>
      <c r="AA128" s="57">
        <f t="shared" si="156"/>
        <v>1088.6799799999999</v>
      </c>
      <c r="AB128" s="57">
        <f t="shared" si="138"/>
        <v>100.08376596203161</v>
      </c>
      <c r="AC128" s="394">
        <f t="shared" si="157"/>
        <v>-0.91117999999983113</v>
      </c>
      <c r="AD128" s="46">
        <f>1025+769</f>
        <v>1794</v>
      </c>
      <c r="AE128" s="16"/>
      <c r="AF128" s="57">
        <f t="shared" si="158"/>
        <v>1794</v>
      </c>
      <c r="AG128" s="57"/>
      <c r="AH128" s="16"/>
      <c r="AI128" s="358"/>
      <c r="AJ128" s="57" t="s">
        <v>487</v>
      </c>
      <c r="AK128" s="187"/>
      <c r="AL128" s="427"/>
      <c r="AM128" s="319" t="s">
        <v>198</v>
      </c>
      <c r="AN128" s="306" t="s">
        <v>71</v>
      </c>
      <c r="AP128" s="188">
        <f>J128</f>
        <v>1087.7688000000001</v>
      </c>
      <c r="AQ128" s="187">
        <f t="shared" si="160"/>
        <v>0</v>
      </c>
      <c r="AT128" s="188">
        <f t="shared" si="100"/>
        <v>0</v>
      </c>
      <c r="AU128" s="187">
        <f t="shared" si="101"/>
        <v>0</v>
      </c>
    </row>
    <row r="129" spans="1:47" x14ac:dyDescent="0.2">
      <c r="A129" s="136"/>
      <c r="B129" s="29">
        <v>6409</v>
      </c>
      <c r="C129" s="29">
        <v>100</v>
      </c>
      <c r="D129" s="207" t="s">
        <v>160</v>
      </c>
      <c r="E129" s="46">
        <v>379</v>
      </c>
      <c r="F129" s="16"/>
      <c r="G129" s="57">
        <f t="shared" si="150"/>
        <v>379</v>
      </c>
      <c r="H129" s="188">
        <f>-160+160</f>
        <v>0</v>
      </c>
      <c r="I129" s="187"/>
      <c r="J129" s="46">
        <f t="shared" si="151"/>
        <v>379</v>
      </c>
      <c r="K129" s="16"/>
      <c r="L129" s="57">
        <f t="shared" si="152"/>
        <v>379</v>
      </c>
      <c r="M129" s="46">
        <v>159.4101</v>
      </c>
      <c r="N129" s="16"/>
      <c r="O129" s="57">
        <f t="shared" si="153"/>
        <v>159.4101</v>
      </c>
      <c r="P129" s="57">
        <f t="shared" si="114"/>
        <v>42.060712401055412</v>
      </c>
      <c r="Q129" s="46">
        <v>160.4101</v>
      </c>
      <c r="R129" s="16"/>
      <c r="S129" s="57">
        <f t="shared" si="154"/>
        <v>160.4101</v>
      </c>
      <c r="T129" s="57">
        <f t="shared" si="136"/>
        <v>42.324564643799469</v>
      </c>
      <c r="U129" s="46">
        <v>376.81009999999998</v>
      </c>
      <c r="V129" s="16"/>
      <c r="W129" s="57">
        <f t="shared" si="155"/>
        <v>376.81009999999998</v>
      </c>
      <c r="X129" s="57">
        <f t="shared" si="137"/>
        <v>99.422189973614778</v>
      </c>
      <c r="Y129" s="46">
        <v>376.81009999999998</v>
      </c>
      <c r="Z129" s="16"/>
      <c r="AA129" s="57">
        <f t="shared" si="156"/>
        <v>376.81009999999998</v>
      </c>
      <c r="AB129" s="57">
        <f t="shared" si="138"/>
        <v>99.422189973614778</v>
      </c>
      <c r="AC129" s="394">
        <f t="shared" si="157"/>
        <v>2.1899000000000228</v>
      </c>
      <c r="AD129" s="46">
        <v>493</v>
      </c>
      <c r="AE129" s="16"/>
      <c r="AF129" s="57">
        <f t="shared" si="158"/>
        <v>493</v>
      </c>
      <c r="AG129" s="57">
        <f t="shared" si="147"/>
        <v>130.07915567282322</v>
      </c>
      <c r="AH129" s="16">
        <v>346</v>
      </c>
      <c r="AI129" s="358">
        <f t="shared" si="148"/>
        <v>0.9129287598944591</v>
      </c>
      <c r="AJ129" s="57"/>
      <c r="AK129" s="187"/>
      <c r="AL129" s="427">
        <f t="shared" si="159"/>
        <v>379</v>
      </c>
      <c r="AM129" s="319" t="s">
        <v>198</v>
      </c>
      <c r="AN129" s="308" t="s">
        <v>287</v>
      </c>
      <c r="AP129" s="188">
        <f>J129</f>
        <v>379</v>
      </c>
      <c r="AQ129" s="187">
        <f t="shared" si="160"/>
        <v>0</v>
      </c>
      <c r="AT129" s="188">
        <f t="shared" si="100"/>
        <v>0</v>
      </c>
      <c r="AU129" s="187">
        <f t="shared" si="101"/>
        <v>0</v>
      </c>
    </row>
    <row r="130" spans="1:47" ht="13.5" thickBot="1" x14ac:dyDescent="0.25">
      <c r="A130" s="136"/>
      <c r="B130" s="29">
        <v>6409</v>
      </c>
      <c r="C130" s="29"/>
      <c r="D130" s="420" t="s">
        <v>144</v>
      </c>
      <c r="E130" s="46">
        <v>179</v>
      </c>
      <c r="F130" s="16"/>
      <c r="G130" s="57">
        <f t="shared" si="150"/>
        <v>179</v>
      </c>
      <c r="H130" s="188">
        <f>36.949+1119.6-120.6-160-70-149</f>
        <v>656.94900000000007</v>
      </c>
      <c r="I130" s="189"/>
      <c r="J130" s="46">
        <f t="shared" si="151"/>
        <v>835.94900000000007</v>
      </c>
      <c r="K130" s="16">
        <f>F130+I130</f>
        <v>0</v>
      </c>
      <c r="L130" s="57">
        <f t="shared" si="152"/>
        <v>835.94900000000007</v>
      </c>
      <c r="M130" s="46"/>
      <c r="N130" s="16"/>
      <c r="O130" s="57">
        <f t="shared" si="153"/>
        <v>0</v>
      </c>
      <c r="P130" s="57">
        <f t="shared" si="114"/>
        <v>0</v>
      </c>
      <c r="Q130" s="46"/>
      <c r="R130" s="16"/>
      <c r="S130" s="57">
        <f t="shared" si="154"/>
        <v>0</v>
      </c>
      <c r="T130" s="57">
        <f t="shared" si="136"/>
        <v>0</v>
      </c>
      <c r="U130" s="46"/>
      <c r="V130" s="16"/>
      <c r="W130" s="57">
        <f t="shared" si="155"/>
        <v>0</v>
      </c>
      <c r="X130" s="57">
        <f t="shared" si="137"/>
        <v>0</v>
      </c>
      <c r="Y130" s="46"/>
      <c r="Z130" s="16"/>
      <c r="AA130" s="57">
        <f t="shared" si="156"/>
        <v>0</v>
      </c>
      <c r="AB130" s="57">
        <f t="shared" si="138"/>
        <v>0</v>
      </c>
      <c r="AC130" s="394">
        <f t="shared" si="157"/>
        <v>835.94900000000007</v>
      </c>
      <c r="AD130" s="46">
        <v>238</v>
      </c>
      <c r="AE130" s="16">
        <v>1000</v>
      </c>
      <c r="AF130" s="57">
        <f t="shared" si="158"/>
        <v>1238</v>
      </c>
      <c r="AG130" s="57">
        <f t="shared" si="147"/>
        <v>691.62011173184362</v>
      </c>
      <c r="AH130" s="16"/>
      <c r="AI130" s="358">
        <f t="shared" si="148"/>
        <v>0</v>
      </c>
      <c r="AJ130" s="57"/>
      <c r="AK130" s="189"/>
      <c r="AL130" s="427">
        <f t="shared" si="159"/>
        <v>835.94900000000007</v>
      </c>
      <c r="AM130" s="328" t="s">
        <v>71</v>
      </c>
      <c r="AN130" s="306" t="s">
        <v>296</v>
      </c>
      <c r="AP130" s="485">
        <v>150</v>
      </c>
      <c r="AQ130" s="187">
        <f t="shared" si="160"/>
        <v>0</v>
      </c>
      <c r="AT130" s="188">
        <f t="shared" si="100"/>
        <v>-685.94900000000007</v>
      </c>
      <c r="AU130" s="187">
        <f t="shared" si="101"/>
        <v>0</v>
      </c>
    </row>
    <row r="131" spans="1:47" ht="13.5" thickBot="1" x14ac:dyDescent="0.25">
      <c r="A131" s="139"/>
      <c r="B131" s="100"/>
      <c r="C131" s="100"/>
      <c r="D131" s="101" t="s">
        <v>87</v>
      </c>
      <c r="E131" s="180">
        <f t="shared" ref="E131:O131" si="161">SUM(E5+E8+E14+E31+E48+E61+E69+E71+E95+E104+E111+E115+E123)</f>
        <v>139399</v>
      </c>
      <c r="F131" s="344">
        <f t="shared" si="161"/>
        <v>59432</v>
      </c>
      <c r="G131" s="344">
        <f t="shared" si="161"/>
        <v>198831</v>
      </c>
      <c r="H131" s="198">
        <f t="shared" si="161"/>
        <v>19678.246290000003</v>
      </c>
      <c r="I131" s="198">
        <f t="shared" si="161"/>
        <v>7007.27387</v>
      </c>
      <c r="J131" s="180">
        <f t="shared" si="161"/>
        <v>159077.24629000001</v>
      </c>
      <c r="K131" s="344">
        <f t="shared" si="161"/>
        <v>66439.273870000005</v>
      </c>
      <c r="L131" s="344">
        <f t="shared" si="161"/>
        <v>225516.52016000001</v>
      </c>
      <c r="M131" s="180">
        <f t="shared" si="161"/>
        <v>30915.824510000006</v>
      </c>
      <c r="N131" s="344">
        <f t="shared" si="161"/>
        <v>3319.3806500000001</v>
      </c>
      <c r="O131" s="344">
        <f t="shared" si="161"/>
        <v>34235.205160000005</v>
      </c>
      <c r="P131" s="344">
        <f t="shared" si="114"/>
        <v>15.180797014653615</v>
      </c>
      <c r="Q131" s="180">
        <f>SUM(Q5+Q8+Q14+Q31+Q48+Q61+Q69+Q71+Q95+Q104+Q111+Q115+Q123)</f>
        <v>62714.898110000002</v>
      </c>
      <c r="R131" s="344">
        <f>SUM(R5+R8+R14+R31+R48+R61+R69+R71+R95+R104+R111+R115+R123)</f>
        <v>10865.954</v>
      </c>
      <c r="S131" s="344">
        <f>SUM(S5+S8+S14+S31+S48+S61+S69+S71+S95+S104+S111+S115+S123)</f>
        <v>73580.852110000007</v>
      </c>
      <c r="T131" s="344">
        <f t="shared" si="136"/>
        <v>32.627699317901715</v>
      </c>
      <c r="U131" s="180">
        <f>SUM(U5+U8+U14+U31+U48+U61+U69+U71+U95+U104+U111+U115+U123)</f>
        <v>103258.99515999999</v>
      </c>
      <c r="V131" s="344">
        <f>SUM(V5+V8+V14+V31+V48+V61+V69+V71+V95+V104+V111+V115+V123)</f>
        <v>40491.914379999995</v>
      </c>
      <c r="W131" s="344">
        <f>SUM(W5+W8+W14+W31+W48+W61+W69+W71+W95+W104+W111+W115+W123)</f>
        <v>143750.90953999999</v>
      </c>
      <c r="X131" s="344">
        <f t="shared" si="137"/>
        <v>63.742961907185894</v>
      </c>
      <c r="Y131" s="180">
        <f>SUM(Y5+Y8+Y14+Y31+Y48+Y61+Y69+Y71+Y95+Y104+Y111+Y115+Y123)</f>
        <v>144311.52682</v>
      </c>
      <c r="Z131" s="344">
        <f>SUM(Z5+Z8+Z14+Z31+Z48+Z61+Z69+Z71+Z95+Z104+Z111+Z115+Z123)</f>
        <v>59077.904270000006</v>
      </c>
      <c r="AA131" s="344">
        <f>SUM(AA5+AA8+AA14+AA31+AA48+AA61+AA69+AA71+AA95+AA104+AA111+AA115+AA123)</f>
        <v>203389.43109</v>
      </c>
      <c r="AB131" s="344">
        <f t="shared" si="138"/>
        <v>90.188262458864997</v>
      </c>
      <c r="AC131" s="504">
        <f>SUM(AC5+AC8+AC14+AC31+AC48+AC61+AC69+AC71+AC95+AC104+AC111+AC115+AC123)</f>
        <v>22127.089070000002</v>
      </c>
      <c r="AD131" s="180">
        <f>SUM(AD5+AD8+AD14+AD31+AD48+AD61+AD69+AD71+AD95+AD104+AD111+AD115+AD123)</f>
        <v>160389</v>
      </c>
      <c r="AE131" s="344">
        <f>SUM(AE5+AE8+AE14+AE31+AE48+AE61+AE69+AE71+AE95+AE104+AE111+AE115+AE123)</f>
        <v>63661</v>
      </c>
      <c r="AF131" s="344">
        <f>SUM(AF5+AF8+AF14+AF31+AF48+AF61+AF69+AF71+AF95+AF104+AF111+AF115+AF123)</f>
        <v>224050</v>
      </c>
      <c r="AG131" s="344">
        <f t="shared" si="147"/>
        <v>112.68363585155232</v>
      </c>
      <c r="AH131" s="344">
        <f>SUM(AH5+AH8+AH14+AH31+AH48+AH61+AH69+AH71+AH95+AH104+AH111+AH115+AH123)</f>
        <v>226115</v>
      </c>
      <c r="AI131" s="362"/>
      <c r="AJ131" s="344"/>
      <c r="AK131" s="198">
        <f>SUM(AK5+AK8+AK14+AK31+AK48+AK61+AK69+AK71+AK95+AK104+AK111+AK115+AK123)</f>
        <v>0</v>
      </c>
      <c r="AL131" s="431" t="e">
        <f>SUM(AL5+AL8+AL14+AL31+AL48+AL61+AL69+AL71+AL95+AL104+AL111+AL115+AL123)</f>
        <v>#REF!</v>
      </c>
      <c r="AM131" s="180"/>
      <c r="AN131" s="315"/>
      <c r="AP131" s="520">
        <f>SUM(AP5+AP8+AP14+AP31+AP48+AP61+AP69+AP71+AP95+AP104+AP111+AP115+AP123)</f>
        <v>147710.63308</v>
      </c>
      <c r="AQ131" s="521">
        <f>SUM(AQ5+AQ8+AQ14+AQ31+AQ48+AQ61+AQ69+AQ71+AQ95+AQ104+AQ111+AQ115+AQ123)</f>
        <v>61005.114999999998</v>
      </c>
      <c r="AT131" s="520">
        <f>SUM(AT5+AT8+AT14+AT31+AT48+AT61+AT69+AT71+AT95+AT104+AT111+AT115+AT123)</f>
        <v>-11366.613209999989</v>
      </c>
      <c r="AU131" s="521">
        <f>SUM(AU5+AU8+AU14+AU31+AU48+AU61+AU69+AU71+AU95+AU104+AU111+AU115+AU123)</f>
        <v>-5434.1588700000029</v>
      </c>
    </row>
    <row r="132" spans="1:47" ht="13.5" thickBot="1" x14ac:dyDescent="0.25">
      <c r="A132" s="99"/>
      <c r="B132" s="498"/>
      <c r="C132" s="498"/>
      <c r="D132" s="498"/>
      <c r="E132" s="499" t="s">
        <v>88</v>
      </c>
      <c r="F132" s="35"/>
      <c r="G132" s="63">
        <f>SUM(E131:F131)</f>
        <v>198831</v>
      </c>
      <c r="H132" s="501"/>
      <c r="I132" s="502"/>
      <c r="J132" s="499"/>
      <c r="K132" s="498"/>
      <c r="L132" s="500">
        <f>+G131+H131+I131</f>
        <v>225516.52016000001</v>
      </c>
      <c r="M132" s="499" t="s">
        <v>88</v>
      </c>
      <c r="N132" s="498"/>
      <c r="O132" s="500">
        <f>SUM(M131:N131)</f>
        <v>34235.205160000005</v>
      </c>
      <c r="P132" s="500"/>
      <c r="Q132" s="499" t="s">
        <v>88</v>
      </c>
      <c r="R132" s="498"/>
      <c r="S132" s="500">
        <f>SUM(Q131:R131)</f>
        <v>73580.852110000007</v>
      </c>
      <c r="T132" s="500"/>
      <c r="U132" s="499" t="s">
        <v>88</v>
      </c>
      <c r="V132" s="498"/>
      <c r="W132" s="500">
        <f>SUM(U131:V131)</f>
        <v>143750.90953999999</v>
      </c>
      <c r="X132" s="500"/>
      <c r="Y132" s="499" t="s">
        <v>88</v>
      </c>
      <c r="Z132" s="498"/>
      <c r="AA132" s="500">
        <f>SUM(Y131:Z131)</f>
        <v>203389.43109</v>
      </c>
      <c r="AB132" s="500"/>
      <c r="AC132" s="503"/>
      <c r="AD132" s="499" t="s">
        <v>88</v>
      </c>
      <c r="AE132" s="35"/>
      <c r="AF132" s="63">
        <f>SUM(AD131:AE131)</f>
        <v>224050</v>
      </c>
      <c r="AG132" s="63"/>
      <c r="AH132" s="35"/>
      <c r="AI132" s="360"/>
      <c r="AJ132" s="63"/>
      <c r="AK132" s="194"/>
      <c r="AL132" s="429"/>
      <c r="AM132" s="437"/>
      <c r="AN132" s="88"/>
      <c r="AP132" s="406">
        <f>J131-AP131</f>
        <v>11366.61321000001</v>
      </c>
      <c r="AQ132" s="458">
        <f>K131-AQ131</f>
        <v>5434.1588700000066</v>
      </c>
    </row>
    <row r="133" spans="1:47" x14ac:dyDescent="0.2">
      <c r="A133" s="44"/>
      <c r="B133" s="23"/>
      <c r="C133" s="23"/>
      <c r="D133" s="477"/>
      <c r="E133" s="23"/>
      <c r="F133" s="23"/>
      <c r="G133" s="140"/>
      <c r="H133" s="23"/>
      <c r="I133" s="23"/>
      <c r="J133" s="23"/>
      <c r="K133" s="23"/>
      <c r="L133" s="140"/>
      <c r="M133" s="23"/>
      <c r="N133" s="23"/>
      <c r="O133" s="140"/>
      <c r="P133" s="140"/>
      <c r="Q133" s="23"/>
      <c r="R133" s="23"/>
      <c r="S133" s="140"/>
      <c r="T133" s="140"/>
      <c r="U133" s="23"/>
      <c r="V133" s="23"/>
      <c r="W133" s="140"/>
      <c r="X133" s="140"/>
      <c r="Y133" s="23"/>
      <c r="Z133" s="23"/>
      <c r="AA133" s="140"/>
      <c r="AB133" s="140"/>
      <c r="AC133" s="23"/>
      <c r="AD133" s="23"/>
      <c r="AE133" s="23"/>
      <c r="AF133" s="140"/>
      <c r="AG133" s="140"/>
      <c r="AH133" s="23"/>
      <c r="AI133" s="363"/>
      <c r="AJ133" s="140"/>
      <c r="AK133" s="199"/>
      <c r="AL133" s="351"/>
      <c r="AM133" s="23"/>
      <c r="AP133" s="199"/>
      <c r="AQ133" s="199"/>
    </row>
    <row r="134" spans="1:47" x14ac:dyDescent="0.2">
      <c r="A134" s="44"/>
      <c r="B134" s="23"/>
      <c r="C134" s="23"/>
      <c r="D134" s="477"/>
      <c r="E134" s="23"/>
      <c r="F134" s="23"/>
      <c r="G134" s="140"/>
      <c r="H134" s="23"/>
      <c r="I134" s="23"/>
      <c r="J134" s="23"/>
      <c r="K134" s="23"/>
      <c r="L134" s="140"/>
      <c r="M134" s="23"/>
      <c r="N134" s="23"/>
      <c r="O134" s="140"/>
      <c r="P134" s="140"/>
      <c r="Q134" s="23"/>
      <c r="R134" s="23"/>
      <c r="S134" s="140"/>
      <c r="T134" s="140"/>
      <c r="U134" s="23"/>
      <c r="V134" s="23"/>
      <c r="W134" s="140"/>
      <c r="X134" s="140"/>
      <c r="Y134" s="23"/>
      <c r="Z134" s="23"/>
      <c r="AA134" s="140"/>
      <c r="AB134" s="140"/>
      <c r="AC134" s="23"/>
      <c r="AD134" s="23"/>
      <c r="AE134" s="23"/>
      <c r="AF134" s="140"/>
      <c r="AG134" s="140"/>
      <c r="AH134" s="23"/>
      <c r="AI134" s="363"/>
      <c r="AJ134" s="140"/>
      <c r="AK134" s="199"/>
      <c r="AL134" s="351"/>
      <c r="AM134" s="23"/>
      <c r="AP134" s="199"/>
      <c r="AQ134" s="199"/>
    </row>
    <row r="135" spans="1:47" x14ac:dyDescent="0.2">
      <c r="A135" s="44"/>
      <c r="B135" s="23"/>
      <c r="C135" s="23"/>
      <c r="D135" s="517"/>
      <c r="E135" s="23"/>
      <c r="F135" s="23"/>
      <c r="G135" s="140"/>
      <c r="H135" s="23"/>
      <c r="I135" s="23"/>
      <c r="J135" s="23"/>
      <c r="K135" s="23"/>
      <c r="L135" s="140"/>
      <c r="M135" s="23"/>
      <c r="N135" s="23"/>
      <c r="O135" s="140"/>
      <c r="P135" s="140"/>
      <c r="Q135" s="23"/>
      <c r="R135" s="23"/>
      <c r="S135" s="140"/>
      <c r="T135" s="140"/>
      <c r="U135" s="23"/>
      <c r="V135" s="23"/>
      <c r="W135" s="140"/>
      <c r="X135" s="140"/>
      <c r="Y135" s="23"/>
      <c r="Z135" s="23"/>
      <c r="AA135" s="140"/>
      <c r="AB135" s="140"/>
      <c r="AC135" s="23"/>
      <c r="AD135" s="23"/>
      <c r="AE135" s="23"/>
      <c r="AF135" s="140"/>
      <c r="AG135" s="140"/>
      <c r="AH135" s="23"/>
      <c r="AI135" s="363"/>
      <c r="AJ135" s="140"/>
      <c r="AK135" s="199"/>
      <c r="AL135" s="351"/>
      <c r="AM135" s="23"/>
      <c r="AP135" s="199"/>
      <c r="AQ135" s="199"/>
    </row>
    <row r="136" spans="1:47" x14ac:dyDescent="0.2">
      <c r="A136" s="44"/>
      <c r="B136" s="23"/>
      <c r="C136" s="23"/>
      <c r="D136" s="477"/>
      <c r="E136" s="23"/>
      <c r="F136" s="23"/>
      <c r="G136" s="140"/>
      <c r="H136" s="23"/>
      <c r="I136" s="23"/>
      <c r="J136" s="23"/>
      <c r="K136" s="23"/>
      <c r="L136" s="140"/>
      <c r="M136" s="23"/>
      <c r="N136" s="23"/>
      <c r="O136" s="140"/>
      <c r="P136" s="140"/>
      <c r="Q136" s="23"/>
      <c r="R136" s="23"/>
      <c r="S136" s="140"/>
      <c r="T136" s="140"/>
      <c r="U136" s="23"/>
      <c r="V136" s="23"/>
      <c r="W136" s="140"/>
      <c r="X136" s="140"/>
      <c r="Y136" s="23"/>
      <c r="Z136" s="23"/>
      <c r="AA136" s="107"/>
      <c r="AB136" s="140"/>
      <c r="AC136" s="23"/>
      <c r="AD136" s="23"/>
      <c r="AE136" s="23"/>
      <c r="AF136" s="140"/>
      <c r="AG136" s="140"/>
      <c r="AH136" s="23"/>
      <c r="AI136" s="363"/>
      <c r="AJ136" s="140"/>
      <c r="AK136" s="199"/>
      <c r="AL136" s="351"/>
      <c r="AM136" s="23"/>
      <c r="AP136" s="199"/>
      <c r="AQ136" s="199"/>
    </row>
    <row r="137" spans="1:47" x14ac:dyDescent="0.2">
      <c r="B137" s="494"/>
      <c r="C137" s="494"/>
      <c r="D137" s="495"/>
      <c r="E137" s="98"/>
      <c r="F137" s="117"/>
      <c r="H137" s="23"/>
      <c r="I137" s="23"/>
      <c r="J137" s="330"/>
      <c r="K137" s="330"/>
      <c r="M137" s="117"/>
      <c r="N137" s="117"/>
      <c r="Q137" s="117"/>
      <c r="R137" s="117"/>
      <c r="U137" s="117"/>
      <c r="V137" s="117"/>
      <c r="Z137" s="117"/>
      <c r="AC137" s="23"/>
      <c r="AD137" s="117"/>
      <c r="AE137" s="117"/>
      <c r="AH137" s="117"/>
      <c r="AJ137" s="125"/>
      <c r="AK137" s="199"/>
      <c r="AM137" s="67"/>
      <c r="AP137" s="199"/>
      <c r="AQ137" s="199"/>
    </row>
    <row r="138" spans="1:47" x14ac:dyDescent="0.2">
      <c r="B138" s="494"/>
      <c r="C138" s="494"/>
      <c r="D138" s="495"/>
      <c r="E138" s="117"/>
      <c r="F138" s="117"/>
      <c r="H138" s="23"/>
      <c r="I138" s="23"/>
      <c r="J138" s="330"/>
      <c r="K138" s="330"/>
      <c r="M138" s="117"/>
      <c r="N138" s="117"/>
      <c r="Q138" s="117"/>
      <c r="R138" s="117"/>
      <c r="U138" s="117"/>
      <c r="V138" s="117"/>
      <c r="Z138" s="117"/>
      <c r="AC138" s="23"/>
      <c r="AD138" s="117"/>
      <c r="AE138" s="117"/>
      <c r="AH138" s="117"/>
      <c r="AJ138" s="443"/>
      <c r="AK138" s="199"/>
      <c r="AP138" s="199"/>
      <c r="AQ138" s="199"/>
    </row>
    <row r="139" spans="1:47" x14ac:dyDescent="0.2">
      <c r="B139" s="494"/>
      <c r="C139" s="494"/>
      <c r="D139" s="496"/>
      <c r="E139" s="117"/>
      <c r="F139" s="117"/>
      <c r="H139" s="23"/>
      <c r="I139" s="23"/>
      <c r="J139" s="330"/>
      <c r="K139" s="330"/>
      <c r="M139" s="117"/>
      <c r="N139" s="117"/>
      <c r="Q139" s="117"/>
      <c r="R139" s="117"/>
      <c r="U139" s="117"/>
      <c r="V139" s="117"/>
      <c r="Z139" s="117"/>
      <c r="AC139" s="23"/>
      <c r="AD139" s="117"/>
      <c r="AE139" s="117"/>
      <c r="AH139" s="117"/>
      <c r="AK139" s="199"/>
      <c r="AP139" s="199"/>
      <c r="AQ139" s="199"/>
    </row>
    <row r="140" spans="1:47" x14ac:dyDescent="0.2">
      <c r="B140" s="494"/>
      <c r="C140" s="494"/>
      <c r="D140" s="497"/>
      <c r="E140" s="117"/>
      <c r="F140" s="117"/>
      <c r="H140" s="23"/>
      <c r="I140" s="23"/>
      <c r="J140" s="330"/>
      <c r="K140" s="330"/>
      <c r="M140" s="117"/>
      <c r="N140" s="117"/>
      <c r="Q140" s="117"/>
      <c r="R140" s="117"/>
      <c r="U140" s="117"/>
      <c r="V140" s="117"/>
      <c r="Z140" s="117"/>
      <c r="AC140" s="23"/>
      <c r="AD140" s="117"/>
      <c r="AE140" s="117"/>
      <c r="AH140" s="117"/>
      <c r="AK140" s="199"/>
      <c r="AP140" s="199"/>
      <c r="AQ140" s="199"/>
    </row>
    <row r="141" spans="1:47" x14ac:dyDescent="0.2">
      <c r="B141" s="494"/>
      <c r="C141" s="494"/>
      <c r="D141" s="496"/>
      <c r="E141" s="117"/>
      <c r="F141" s="117"/>
      <c r="H141" s="23"/>
      <c r="I141" s="23"/>
      <c r="J141" s="330"/>
      <c r="K141" s="330"/>
      <c r="M141" s="117"/>
      <c r="N141" s="117"/>
      <c r="Q141" s="117"/>
      <c r="R141" s="117"/>
      <c r="U141" s="117"/>
      <c r="V141" s="117"/>
      <c r="Z141" s="117"/>
      <c r="AC141" s="23"/>
      <c r="AD141" s="117"/>
      <c r="AE141" s="117"/>
      <c r="AH141" s="117"/>
      <c r="AK141" s="199"/>
      <c r="AP141" s="199"/>
      <c r="AQ141" s="199"/>
    </row>
    <row r="142" spans="1:47" x14ac:dyDescent="0.2">
      <c r="D142" s="221"/>
      <c r="E142" s="117"/>
      <c r="F142" s="117"/>
      <c r="H142" s="23"/>
      <c r="I142" s="23"/>
      <c r="M142" s="117"/>
      <c r="N142" s="117"/>
      <c r="Q142" s="117"/>
      <c r="R142" s="117"/>
      <c r="U142" s="117"/>
      <c r="V142" s="117"/>
      <c r="Z142" s="117"/>
      <c r="AC142" s="23"/>
      <c r="AD142" s="117"/>
      <c r="AE142" s="117"/>
      <c r="AH142" s="117"/>
      <c r="AK142" s="199"/>
      <c r="AP142" s="199"/>
      <c r="AQ142" s="199"/>
    </row>
    <row r="143" spans="1:47" x14ac:dyDescent="0.2">
      <c r="D143" s="222"/>
      <c r="E143" s="117"/>
      <c r="F143" s="117"/>
      <c r="H143" s="23"/>
      <c r="I143" s="23"/>
      <c r="M143" s="117"/>
      <c r="N143" s="117"/>
      <c r="Q143" s="117"/>
      <c r="R143" s="117"/>
      <c r="U143" s="117"/>
      <c r="V143" s="117"/>
      <c r="Z143" s="117"/>
      <c r="AC143" s="23"/>
      <c r="AD143" s="117"/>
      <c r="AE143" s="117"/>
      <c r="AH143" s="117"/>
      <c r="AK143" s="199"/>
      <c r="AP143" s="199"/>
      <c r="AQ143" s="199"/>
    </row>
    <row r="144" spans="1:47" x14ac:dyDescent="0.2">
      <c r="D144" s="221"/>
      <c r="E144" s="117"/>
      <c r="F144" s="117"/>
      <c r="H144" s="23"/>
      <c r="I144" s="23"/>
      <c r="M144" s="117"/>
      <c r="N144" s="117"/>
      <c r="Q144" s="117"/>
      <c r="R144" s="117"/>
      <c r="U144" s="117"/>
      <c r="V144" s="117"/>
      <c r="Z144" s="117"/>
      <c r="AC144" s="23"/>
      <c r="AD144" s="117"/>
      <c r="AE144" s="117"/>
      <c r="AH144" s="117"/>
      <c r="AK144" s="199"/>
      <c r="AP144" s="199"/>
      <c r="AQ144" s="199"/>
    </row>
    <row r="145" spans="4:43" x14ac:dyDescent="0.2">
      <c r="E145" s="117"/>
      <c r="F145" s="117"/>
      <c r="H145" s="23"/>
      <c r="I145" s="23"/>
      <c r="M145" s="117"/>
      <c r="N145" s="117"/>
      <c r="Q145" s="117"/>
      <c r="R145" s="117"/>
      <c r="U145" s="117"/>
      <c r="V145" s="117"/>
      <c r="Z145" s="117"/>
      <c r="AC145" s="23"/>
      <c r="AD145" s="117"/>
      <c r="AE145" s="117"/>
      <c r="AH145" s="117"/>
      <c r="AK145" s="199"/>
      <c r="AP145" s="199"/>
      <c r="AQ145" s="199"/>
    </row>
    <row r="146" spans="4:43" x14ac:dyDescent="0.2">
      <c r="E146" s="117"/>
      <c r="F146" s="117"/>
      <c r="H146" s="23"/>
      <c r="I146" s="23"/>
      <c r="M146" s="117"/>
      <c r="N146" s="117"/>
      <c r="Q146" s="117"/>
      <c r="R146" s="117"/>
      <c r="U146" s="117"/>
      <c r="V146" s="117"/>
      <c r="Z146" s="117"/>
      <c r="AC146" s="23"/>
      <c r="AD146" s="117"/>
      <c r="AE146" s="117"/>
      <c r="AH146" s="117"/>
      <c r="AK146" s="199"/>
      <c r="AP146" s="199"/>
      <c r="AQ146" s="199"/>
    </row>
    <row r="147" spans="4:43" x14ac:dyDescent="0.2">
      <c r="D147" s="221"/>
      <c r="E147" s="117"/>
      <c r="F147" s="117"/>
      <c r="H147" s="23"/>
      <c r="I147" s="23"/>
      <c r="M147" s="117"/>
      <c r="N147" s="117"/>
      <c r="Q147" s="117"/>
      <c r="R147" s="117"/>
      <c r="U147" s="117"/>
      <c r="V147" s="117"/>
      <c r="Z147" s="117"/>
      <c r="AC147" s="23"/>
      <c r="AD147" s="117"/>
      <c r="AE147" s="117"/>
      <c r="AH147" s="117"/>
      <c r="AK147" s="199"/>
      <c r="AP147" s="199"/>
      <c r="AQ147" s="199"/>
    </row>
    <row r="148" spans="4:43" x14ac:dyDescent="0.2">
      <c r="H148" s="23"/>
      <c r="I148" s="23"/>
      <c r="AC148" s="23"/>
      <c r="AK148" s="199"/>
      <c r="AP148" s="199"/>
      <c r="AQ148" s="199"/>
    </row>
    <row r="149" spans="4:43" x14ac:dyDescent="0.2">
      <c r="H149" s="23"/>
      <c r="I149" s="23"/>
      <c r="AC149" s="23"/>
      <c r="AK149" s="199"/>
      <c r="AP149" s="199"/>
      <c r="AQ149" s="199"/>
    </row>
    <row r="150" spans="4:43" x14ac:dyDescent="0.2">
      <c r="D150" s="222"/>
      <c r="H150" s="23"/>
      <c r="I150" s="23"/>
      <c r="AC150" s="23"/>
      <c r="AK150" s="199"/>
      <c r="AP150" s="199"/>
      <c r="AQ150" s="199"/>
    </row>
    <row r="151" spans="4:43" x14ac:dyDescent="0.2">
      <c r="D151" s="222"/>
      <c r="H151" s="117"/>
      <c r="I151" s="117"/>
    </row>
    <row r="152" spans="4:43" x14ac:dyDescent="0.2">
      <c r="D152" s="222"/>
      <c r="H152" s="117"/>
      <c r="I152" s="117"/>
    </row>
    <row r="153" spans="4:43" x14ac:dyDescent="0.2">
      <c r="D153" s="222"/>
      <c r="H153" s="117"/>
      <c r="I153" s="117"/>
    </row>
    <row r="154" spans="4:43" x14ac:dyDescent="0.2">
      <c r="H154" s="117"/>
      <c r="I154" s="117"/>
    </row>
    <row r="155" spans="4:43" x14ac:dyDescent="0.2">
      <c r="H155" s="117"/>
      <c r="I155" s="117"/>
    </row>
    <row r="156" spans="4:43" x14ac:dyDescent="0.2">
      <c r="H156" s="117"/>
      <c r="I156" s="117"/>
    </row>
    <row r="157" spans="4:43" x14ac:dyDescent="0.2">
      <c r="H157" s="117"/>
      <c r="I157" s="117"/>
    </row>
    <row r="158" spans="4:43" x14ac:dyDescent="0.2">
      <c r="H158" s="117"/>
      <c r="I158" s="117"/>
    </row>
    <row r="159" spans="4:43" x14ac:dyDescent="0.2">
      <c r="H159" s="117"/>
      <c r="I159" s="117"/>
    </row>
    <row r="160" spans="4:43" x14ac:dyDescent="0.2">
      <c r="H160" s="117"/>
      <c r="I160" s="117"/>
    </row>
    <row r="161" spans="8:9" x14ac:dyDescent="0.2">
      <c r="H161" s="117"/>
      <c r="I161" s="117"/>
    </row>
    <row r="162" spans="8:9" x14ac:dyDescent="0.2">
      <c r="H162" s="117"/>
      <c r="I162" s="117"/>
    </row>
    <row r="163" spans="8:9" x14ac:dyDescent="0.2">
      <c r="H163" s="117"/>
      <c r="I163" s="117"/>
    </row>
    <row r="164" spans="8:9" x14ac:dyDescent="0.2">
      <c r="H164" s="117"/>
      <c r="I164" s="117"/>
    </row>
    <row r="165" spans="8:9" x14ac:dyDescent="0.2">
      <c r="H165" s="117"/>
      <c r="I165" s="117"/>
    </row>
    <row r="166" spans="8:9" x14ac:dyDescent="0.2">
      <c r="H166" s="117"/>
      <c r="I166" s="117"/>
    </row>
    <row r="167" spans="8:9" x14ac:dyDescent="0.2">
      <c r="H167" s="117"/>
      <c r="I167" s="117"/>
    </row>
    <row r="168" spans="8:9" x14ac:dyDescent="0.2">
      <c r="H168" s="117"/>
      <c r="I168" s="117"/>
    </row>
    <row r="169" spans="8:9" x14ac:dyDescent="0.2">
      <c r="H169" s="117"/>
      <c r="I169" s="117"/>
    </row>
    <row r="170" spans="8:9" x14ac:dyDescent="0.2">
      <c r="H170" s="117"/>
      <c r="I170" s="117"/>
    </row>
    <row r="171" spans="8:9" x14ac:dyDescent="0.2">
      <c r="H171" s="117"/>
      <c r="I171" s="117"/>
    </row>
    <row r="172" spans="8:9" x14ac:dyDescent="0.2">
      <c r="H172" s="117"/>
      <c r="I172" s="117"/>
    </row>
    <row r="173" spans="8:9" x14ac:dyDescent="0.2">
      <c r="H173" s="117"/>
      <c r="I173" s="117"/>
    </row>
    <row r="174" spans="8:9" x14ac:dyDescent="0.2">
      <c r="H174" s="117"/>
      <c r="I174" s="117"/>
    </row>
    <row r="175" spans="8:9" x14ac:dyDescent="0.2">
      <c r="H175" s="117"/>
      <c r="I175" s="117"/>
    </row>
    <row r="176" spans="8:9" x14ac:dyDescent="0.2">
      <c r="H176" s="117"/>
      <c r="I176" s="117"/>
    </row>
    <row r="177" spans="8:9" x14ac:dyDescent="0.2">
      <c r="H177" s="117"/>
      <c r="I177" s="117"/>
    </row>
    <row r="178" spans="8:9" x14ac:dyDescent="0.2">
      <c r="H178" s="117"/>
      <c r="I178" s="117"/>
    </row>
    <row r="179" spans="8:9" x14ac:dyDescent="0.2">
      <c r="H179" s="117"/>
      <c r="I179" s="117"/>
    </row>
    <row r="180" spans="8:9" x14ac:dyDescent="0.2">
      <c r="H180" s="117"/>
      <c r="I180" s="117"/>
    </row>
    <row r="181" spans="8:9" x14ac:dyDescent="0.2">
      <c r="H181" s="117"/>
      <c r="I181" s="117"/>
    </row>
    <row r="182" spans="8:9" x14ac:dyDescent="0.2">
      <c r="H182" s="117"/>
      <c r="I182" s="117"/>
    </row>
    <row r="183" spans="8:9" x14ac:dyDescent="0.2">
      <c r="H183" s="117"/>
      <c r="I183" s="117"/>
    </row>
    <row r="184" spans="8:9" x14ac:dyDescent="0.2">
      <c r="H184" s="117"/>
      <c r="I184" s="117"/>
    </row>
    <row r="185" spans="8:9" x14ac:dyDescent="0.2">
      <c r="H185" s="117"/>
      <c r="I185" s="117"/>
    </row>
    <row r="186" spans="8:9" x14ac:dyDescent="0.2">
      <c r="H186" s="117"/>
      <c r="I186" s="117"/>
    </row>
    <row r="187" spans="8:9" x14ac:dyDescent="0.2">
      <c r="H187" s="117"/>
      <c r="I187" s="117"/>
    </row>
    <row r="188" spans="8:9" x14ac:dyDescent="0.2">
      <c r="H188" s="117"/>
      <c r="I188" s="117"/>
    </row>
    <row r="189" spans="8:9" x14ac:dyDescent="0.2">
      <c r="H189" s="117"/>
      <c r="I189" s="117"/>
    </row>
    <row r="190" spans="8:9" x14ac:dyDescent="0.2">
      <c r="H190" s="117"/>
      <c r="I190" s="117"/>
    </row>
    <row r="191" spans="8:9" x14ac:dyDescent="0.2">
      <c r="H191" s="117"/>
      <c r="I191" s="117"/>
    </row>
    <row r="192" spans="8:9" x14ac:dyDescent="0.2">
      <c r="H192" s="117"/>
      <c r="I192" s="117"/>
    </row>
    <row r="193" spans="8:9" x14ac:dyDescent="0.2">
      <c r="H193" s="117"/>
      <c r="I193" s="117"/>
    </row>
    <row r="194" spans="8:9" x14ac:dyDescent="0.2">
      <c r="H194" s="117"/>
      <c r="I194" s="117"/>
    </row>
    <row r="195" spans="8:9" x14ac:dyDescent="0.2">
      <c r="H195" s="117"/>
      <c r="I195" s="117"/>
    </row>
    <row r="196" spans="8:9" x14ac:dyDescent="0.2">
      <c r="H196" s="117"/>
      <c r="I196" s="117"/>
    </row>
    <row r="197" spans="8:9" x14ac:dyDescent="0.2">
      <c r="H197" s="117"/>
      <c r="I197" s="117"/>
    </row>
    <row r="198" spans="8:9" x14ac:dyDescent="0.2">
      <c r="H198" s="117"/>
      <c r="I198" s="117"/>
    </row>
    <row r="199" spans="8:9" x14ac:dyDescent="0.2">
      <c r="H199" s="117"/>
      <c r="I199" s="117"/>
    </row>
    <row r="200" spans="8:9" x14ac:dyDescent="0.2">
      <c r="H200" s="117"/>
      <c r="I200" s="117"/>
    </row>
    <row r="201" spans="8:9" x14ac:dyDescent="0.2">
      <c r="H201" s="117"/>
      <c r="I201" s="117"/>
    </row>
    <row r="202" spans="8:9" x14ac:dyDescent="0.2">
      <c r="H202" s="117"/>
      <c r="I202" s="117"/>
    </row>
    <row r="203" spans="8:9" x14ac:dyDescent="0.2">
      <c r="H203" s="117"/>
      <c r="I203" s="117"/>
    </row>
    <row r="204" spans="8:9" x14ac:dyDescent="0.2">
      <c r="H204" s="117"/>
      <c r="I204" s="117"/>
    </row>
    <row r="205" spans="8:9" x14ac:dyDescent="0.2">
      <c r="H205" s="117"/>
      <c r="I205" s="117"/>
    </row>
    <row r="206" spans="8:9" x14ac:dyDescent="0.2">
      <c r="H206" s="117"/>
      <c r="I206" s="117"/>
    </row>
    <row r="207" spans="8:9" x14ac:dyDescent="0.2">
      <c r="H207" s="117"/>
      <c r="I207" s="117"/>
    </row>
    <row r="208" spans="8:9" x14ac:dyDescent="0.2">
      <c r="H208" s="117"/>
      <c r="I208" s="117"/>
    </row>
    <row r="209" spans="8:9" x14ac:dyDescent="0.2">
      <c r="H209" s="117"/>
      <c r="I209" s="117"/>
    </row>
    <row r="210" spans="8:9" x14ac:dyDescent="0.2">
      <c r="H210" s="117"/>
      <c r="I210" s="117"/>
    </row>
    <row r="211" spans="8:9" x14ac:dyDescent="0.2">
      <c r="H211" s="117"/>
      <c r="I211" s="117"/>
    </row>
    <row r="212" spans="8:9" x14ac:dyDescent="0.2">
      <c r="H212" s="117"/>
      <c r="I212" s="117"/>
    </row>
    <row r="213" spans="8:9" x14ac:dyDescent="0.2">
      <c r="H213" s="117"/>
      <c r="I213" s="117"/>
    </row>
    <row r="214" spans="8:9" x14ac:dyDescent="0.2">
      <c r="H214" s="117"/>
      <c r="I214" s="117"/>
    </row>
    <row r="215" spans="8:9" x14ac:dyDescent="0.2">
      <c r="H215" s="117"/>
      <c r="I215" s="117"/>
    </row>
    <row r="216" spans="8:9" x14ac:dyDescent="0.2">
      <c r="H216" s="117"/>
      <c r="I216" s="117"/>
    </row>
    <row r="217" spans="8:9" x14ac:dyDescent="0.2">
      <c r="H217" s="117"/>
      <c r="I217" s="117"/>
    </row>
    <row r="218" spans="8:9" x14ac:dyDescent="0.2">
      <c r="H218" s="117"/>
      <c r="I218" s="117"/>
    </row>
    <row r="219" spans="8:9" x14ac:dyDescent="0.2">
      <c r="H219" s="117"/>
      <c r="I219" s="117"/>
    </row>
    <row r="220" spans="8:9" x14ac:dyDescent="0.2">
      <c r="H220" s="117"/>
      <c r="I220" s="117"/>
    </row>
    <row r="221" spans="8:9" x14ac:dyDescent="0.2">
      <c r="H221" s="117"/>
      <c r="I221" s="117"/>
    </row>
    <row r="222" spans="8:9" x14ac:dyDescent="0.2">
      <c r="H222" s="117"/>
      <c r="I222" s="117"/>
    </row>
    <row r="223" spans="8:9" x14ac:dyDescent="0.2">
      <c r="H223" s="117"/>
      <c r="I223" s="117"/>
    </row>
    <row r="224" spans="8:9" x14ac:dyDescent="0.2">
      <c r="H224" s="117"/>
      <c r="I224" s="117"/>
    </row>
    <row r="225" spans="8:9" x14ac:dyDescent="0.2">
      <c r="H225" s="117"/>
      <c r="I225" s="117"/>
    </row>
    <row r="226" spans="8:9" x14ac:dyDescent="0.2">
      <c r="H226" s="117"/>
      <c r="I226" s="117"/>
    </row>
    <row r="227" spans="8:9" x14ac:dyDescent="0.2">
      <c r="H227" s="117"/>
      <c r="I227" s="117"/>
    </row>
    <row r="228" spans="8:9" x14ac:dyDescent="0.2">
      <c r="H228" s="117"/>
      <c r="I228" s="117"/>
    </row>
    <row r="229" spans="8:9" x14ac:dyDescent="0.2">
      <c r="H229" s="117"/>
      <c r="I229" s="117"/>
    </row>
    <row r="230" spans="8:9" x14ac:dyDescent="0.2">
      <c r="H230" s="117"/>
      <c r="I230" s="117"/>
    </row>
    <row r="231" spans="8:9" x14ac:dyDescent="0.2">
      <c r="H231" s="117"/>
      <c r="I231" s="117"/>
    </row>
    <row r="232" spans="8:9" x14ac:dyDescent="0.2">
      <c r="H232" s="117"/>
      <c r="I232" s="117"/>
    </row>
    <row r="233" spans="8:9" x14ac:dyDescent="0.2">
      <c r="H233" s="117"/>
      <c r="I233" s="117"/>
    </row>
    <row r="234" spans="8:9" x14ac:dyDescent="0.2">
      <c r="H234" s="117"/>
      <c r="I234" s="117"/>
    </row>
    <row r="235" spans="8:9" x14ac:dyDescent="0.2">
      <c r="H235" s="117"/>
      <c r="I235" s="117"/>
    </row>
    <row r="236" spans="8:9" x14ac:dyDescent="0.2">
      <c r="H236" s="117"/>
      <c r="I236" s="117"/>
    </row>
    <row r="237" spans="8:9" x14ac:dyDescent="0.2">
      <c r="H237" s="117"/>
      <c r="I237" s="117"/>
    </row>
    <row r="238" spans="8:9" x14ac:dyDescent="0.2">
      <c r="H238" s="117"/>
      <c r="I238" s="117"/>
    </row>
    <row r="239" spans="8:9" x14ac:dyDescent="0.2">
      <c r="H239" s="117"/>
      <c r="I239" s="117"/>
    </row>
    <row r="240" spans="8:9" x14ac:dyDescent="0.2">
      <c r="H240" s="117"/>
      <c r="I240" s="117"/>
    </row>
    <row r="241" spans="8:9" x14ac:dyDescent="0.2">
      <c r="H241" s="117"/>
      <c r="I241" s="117"/>
    </row>
    <row r="242" spans="8:9" x14ac:dyDescent="0.2">
      <c r="H242" s="117"/>
      <c r="I242" s="117"/>
    </row>
    <row r="243" spans="8:9" x14ac:dyDescent="0.2">
      <c r="H243" s="117"/>
      <c r="I243" s="117"/>
    </row>
    <row r="244" spans="8:9" x14ac:dyDescent="0.2">
      <c r="H244" s="117"/>
      <c r="I244" s="117"/>
    </row>
    <row r="245" spans="8:9" x14ac:dyDescent="0.2">
      <c r="H245" s="117"/>
      <c r="I245" s="117"/>
    </row>
    <row r="246" spans="8:9" x14ac:dyDescent="0.2">
      <c r="H246" s="117"/>
      <c r="I246" s="117"/>
    </row>
    <row r="247" spans="8:9" x14ac:dyDescent="0.2">
      <c r="H247" s="117"/>
      <c r="I247" s="117"/>
    </row>
    <row r="248" spans="8:9" x14ac:dyDescent="0.2">
      <c r="H248" s="117"/>
      <c r="I248" s="117"/>
    </row>
    <row r="249" spans="8:9" x14ac:dyDescent="0.2">
      <c r="H249" s="117"/>
      <c r="I249" s="117"/>
    </row>
    <row r="250" spans="8:9" x14ac:dyDescent="0.2">
      <c r="H250" s="117"/>
      <c r="I250" s="117"/>
    </row>
    <row r="251" spans="8:9" x14ac:dyDescent="0.2">
      <c r="H251" s="117"/>
      <c r="I251" s="117"/>
    </row>
    <row r="252" spans="8:9" x14ac:dyDescent="0.2">
      <c r="H252" s="117"/>
      <c r="I252" s="117"/>
    </row>
    <row r="253" spans="8:9" x14ac:dyDescent="0.2">
      <c r="H253" s="117"/>
      <c r="I253" s="117"/>
    </row>
    <row r="254" spans="8:9" x14ac:dyDescent="0.2">
      <c r="H254" s="117"/>
      <c r="I254" s="117"/>
    </row>
    <row r="255" spans="8:9" x14ac:dyDescent="0.2">
      <c r="H255" s="117"/>
      <c r="I255" s="117"/>
    </row>
    <row r="256" spans="8:9" x14ac:dyDescent="0.2">
      <c r="H256" s="117"/>
      <c r="I256" s="117"/>
    </row>
    <row r="257" spans="8:9" x14ac:dyDescent="0.2">
      <c r="H257" s="117"/>
      <c r="I257" s="117"/>
    </row>
    <row r="258" spans="8:9" x14ac:dyDescent="0.2">
      <c r="H258" s="117"/>
      <c r="I258" s="117"/>
    </row>
    <row r="259" spans="8:9" x14ac:dyDescent="0.2">
      <c r="H259" s="117"/>
      <c r="I259" s="117"/>
    </row>
    <row r="260" spans="8:9" x14ac:dyDescent="0.2">
      <c r="H260" s="117"/>
      <c r="I260" s="117"/>
    </row>
    <row r="261" spans="8:9" x14ac:dyDescent="0.2">
      <c r="H261" s="117"/>
      <c r="I261" s="117"/>
    </row>
    <row r="262" spans="8:9" x14ac:dyDescent="0.2">
      <c r="H262" s="117"/>
      <c r="I262" s="117"/>
    </row>
    <row r="263" spans="8:9" x14ac:dyDescent="0.2">
      <c r="H263" s="117"/>
      <c r="I263" s="117"/>
    </row>
    <row r="264" spans="8:9" x14ac:dyDescent="0.2">
      <c r="H264" s="117"/>
      <c r="I264" s="117"/>
    </row>
    <row r="265" spans="8:9" x14ac:dyDescent="0.2">
      <c r="H265" s="117"/>
      <c r="I265" s="117"/>
    </row>
    <row r="266" spans="8:9" x14ac:dyDescent="0.2">
      <c r="H266" s="117"/>
      <c r="I266" s="117"/>
    </row>
    <row r="267" spans="8:9" x14ac:dyDescent="0.2">
      <c r="H267" s="117"/>
      <c r="I267" s="117"/>
    </row>
    <row r="268" spans="8:9" x14ac:dyDescent="0.2">
      <c r="H268" s="117"/>
      <c r="I268" s="117"/>
    </row>
    <row r="269" spans="8:9" x14ac:dyDescent="0.2">
      <c r="H269" s="117"/>
      <c r="I269" s="117"/>
    </row>
    <row r="270" spans="8:9" x14ac:dyDescent="0.2">
      <c r="H270" s="117"/>
      <c r="I270" s="117"/>
    </row>
    <row r="271" spans="8:9" x14ac:dyDescent="0.2">
      <c r="H271" s="117"/>
      <c r="I271" s="117"/>
    </row>
    <row r="272" spans="8:9" x14ac:dyDescent="0.2">
      <c r="H272" s="117"/>
      <c r="I272" s="117"/>
    </row>
    <row r="273" spans="8:9" x14ac:dyDescent="0.2">
      <c r="H273" s="117"/>
      <c r="I273" s="117"/>
    </row>
    <row r="274" spans="8:9" x14ac:dyDescent="0.2">
      <c r="H274" s="117"/>
      <c r="I274" s="117"/>
    </row>
    <row r="275" spans="8:9" x14ac:dyDescent="0.2">
      <c r="H275" s="117"/>
      <c r="I275" s="117"/>
    </row>
    <row r="276" spans="8:9" x14ac:dyDescent="0.2">
      <c r="H276" s="117"/>
      <c r="I276" s="117"/>
    </row>
    <row r="277" spans="8:9" x14ac:dyDescent="0.2">
      <c r="H277" s="117"/>
      <c r="I277" s="117"/>
    </row>
    <row r="278" spans="8:9" x14ac:dyDescent="0.2">
      <c r="H278" s="117"/>
      <c r="I278" s="117"/>
    </row>
    <row r="279" spans="8:9" x14ac:dyDescent="0.2">
      <c r="H279" s="117"/>
      <c r="I279" s="117"/>
    </row>
    <row r="280" spans="8:9" x14ac:dyDescent="0.2">
      <c r="H280" s="117"/>
      <c r="I280" s="117"/>
    </row>
    <row r="281" spans="8:9" x14ac:dyDescent="0.2">
      <c r="H281" s="117"/>
      <c r="I281" s="117"/>
    </row>
    <row r="282" spans="8:9" x14ac:dyDescent="0.2">
      <c r="H282" s="117"/>
      <c r="I282" s="117"/>
    </row>
    <row r="283" spans="8:9" x14ac:dyDescent="0.2">
      <c r="H283" s="117"/>
      <c r="I283" s="117"/>
    </row>
    <row r="284" spans="8:9" x14ac:dyDescent="0.2">
      <c r="H284" s="117"/>
      <c r="I284" s="117"/>
    </row>
    <row r="285" spans="8:9" x14ac:dyDescent="0.2">
      <c r="H285" s="117"/>
      <c r="I285" s="117"/>
    </row>
    <row r="286" spans="8:9" x14ac:dyDescent="0.2">
      <c r="H286" s="117"/>
      <c r="I286" s="117"/>
    </row>
    <row r="287" spans="8:9" x14ac:dyDescent="0.2">
      <c r="H287" s="117"/>
      <c r="I287" s="117"/>
    </row>
    <row r="288" spans="8:9" x14ac:dyDescent="0.2">
      <c r="H288" s="117"/>
      <c r="I288" s="117"/>
    </row>
    <row r="289" spans="8:9" x14ac:dyDescent="0.2">
      <c r="H289" s="117"/>
      <c r="I289" s="117"/>
    </row>
    <row r="290" spans="8:9" x14ac:dyDescent="0.2">
      <c r="H290" s="117"/>
      <c r="I290" s="117"/>
    </row>
    <row r="291" spans="8:9" x14ac:dyDescent="0.2">
      <c r="H291" s="117"/>
      <c r="I291" s="117"/>
    </row>
    <row r="292" spans="8:9" x14ac:dyDescent="0.2">
      <c r="H292" s="117"/>
      <c r="I292" s="117"/>
    </row>
    <row r="293" spans="8:9" x14ac:dyDescent="0.2">
      <c r="H293" s="117"/>
      <c r="I293" s="117"/>
    </row>
    <row r="294" spans="8:9" x14ac:dyDescent="0.2">
      <c r="H294" s="117"/>
      <c r="I294" s="117"/>
    </row>
    <row r="295" spans="8:9" x14ac:dyDescent="0.2">
      <c r="H295" s="117"/>
      <c r="I295" s="117"/>
    </row>
    <row r="296" spans="8:9" x14ac:dyDescent="0.2">
      <c r="H296" s="117"/>
      <c r="I296" s="117"/>
    </row>
    <row r="297" spans="8:9" x14ac:dyDescent="0.2">
      <c r="H297" s="117"/>
      <c r="I297" s="117"/>
    </row>
    <row r="298" spans="8:9" x14ac:dyDescent="0.2">
      <c r="H298" s="117"/>
      <c r="I298" s="117"/>
    </row>
    <row r="299" spans="8:9" x14ac:dyDescent="0.2">
      <c r="H299" s="117"/>
      <c r="I299" s="117"/>
    </row>
    <row r="300" spans="8:9" x14ac:dyDescent="0.2">
      <c r="H300" s="117"/>
      <c r="I300" s="117"/>
    </row>
    <row r="301" spans="8:9" x14ac:dyDescent="0.2">
      <c r="H301" s="117"/>
      <c r="I301" s="117"/>
    </row>
    <row r="302" spans="8:9" x14ac:dyDescent="0.2">
      <c r="H302" s="117"/>
      <c r="I302" s="117"/>
    </row>
    <row r="303" spans="8:9" x14ac:dyDescent="0.2">
      <c r="H303" s="117"/>
      <c r="I303" s="117"/>
    </row>
    <row r="304" spans="8:9" x14ac:dyDescent="0.2">
      <c r="H304" s="117"/>
      <c r="I304" s="117"/>
    </row>
    <row r="305" spans="8:9" x14ac:dyDescent="0.2">
      <c r="H305" s="117"/>
      <c r="I305" s="117"/>
    </row>
    <row r="306" spans="8:9" x14ac:dyDescent="0.2">
      <c r="H306" s="117"/>
      <c r="I306" s="117"/>
    </row>
    <row r="307" spans="8:9" x14ac:dyDescent="0.2">
      <c r="H307" s="117"/>
      <c r="I307" s="117"/>
    </row>
    <row r="308" spans="8:9" x14ac:dyDescent="0.2">
      <c r="H308" s="117"/>
      <c r="I308" s="117"/>
    </row>
    <row r="309" spans="8:9" x14ac:dyDescent="0.2">
      <c r="H309" s="117"/>
      <c r="I309" s="117"/>
    </row>
    <row r="310" spans="8:9" x14ac:dyDescent="0.2">
      <c r="H310" s="117"/>
      <c r="I310" s="117"/>
    </row>
    <row r="311" spans="8:9" x14ac:dyDescent="0.2">
      <c r="H311" s="117"/>
      <c r="I311" s="117"/>
    </row>
    <row r="312" spans="8:9" x14ac:dyDescent="0.2">
      <c r="H312" s="117"/>
      <c r="I312" s="117"/>
    </row>
    <row r="313" spans="8:9" x14ac:dyDescent="0.2">
      <c r="H313" s="117"/>
      <c r="I313" s="117"/>
    </row>
    <row r="314" spans="8:9" x14ac:dyDescent="0.2">
      <c r="H314" s="117"/>
      <c r="I314" s="117"/>
    </row>
    <row r="315" spans="8:9" x14ac:dyDescent="0.2">
      <c r="H315" s="117"/>
      <c r="I315" s="117"/>
    </row>
    <row r="316" spans="8:9" x14ac:dyDescent="0.2">
      <c r="H316" s="117"/>
      <c r="I316" s="117"/>
    </row>
    <row r="317" spans="8:9" x14ac:dyDescent="0.2">
      <c r="H317" s="117"/>
      <c r="I317" s="117"/>
    </row>
    <row r="318" spans="8:9" x14ac:dyDescent="0.2">
      <c r="H318" s="117"/>
      <c r="I318" s="117"/>
    </row>
    <row r="319" spans="8:9" x14ac:dyDescent="0.2">
      <c r="H319" s="117"/>
      <c r="I319" s="117"/>
    </row>
    <row r="320" spans="8:9" x14ac:dyDescent="0.2">
      <c r="H320" s="117"/>
      <c r="I320" s="117"/>
    </row>
    <row r="321" spans="8:9" x14ac:dyDescent="0.2">
      <c r="H321" s="117"/>
      <c r="I321" s="117"/>
    </row>
    <row r="322" spans="8:9" x14ac:dyDescent="0.2">
      <c r="H322" s="117"/>
      <c r="I322" s="117"/>
    </row>
    <row r="323" spans="8:9" x14ac:dyDescent="0.2">
      <c r="H323" s="117"/>
      <c r="I323" s="117"/>
    </row>
    <row r="324" spans="8:9" x14ac:dyDescent="0.2">
      <c r="H324" s="117"/>
      <c r="I324" s="117"/>
    </row>
    <row r="325" spans="8:9" x14ac:dyDescent="0.2">
      <c r="H325" s="117"/>
      <c r="I325" s="117"/>
    </row>
    <row r="326" spans="8:9" x14ac:dyDescent="0.2">
      <c r="H326" s="117"/>
      <c r="I326" s="117"/>
    </row>
    <row r="327" spans="8:9" x14ac:dyDescent="0.2">
      <c r="H327" s="117"/>
      <c r="I327" s="117"/>
    </row>
    <row r="328" spans="8:9" x14ac:dyDescent="0.2">
      <c r="H328" s="117"/>
      <c r="I328" s="117"/>
    </row>
    <row r="329" spans="8:9" x14ac:dyDescent="0.2">
      <c r="H329" s="117"/>
      <c r="I329" s="117"/>
    </row>
    <row r="330" spans="8:9" x14ac:dyDescent="0.2">
      <c r="H330" s="117"/>
      <c r="I330" s="117"/>
    </row>
    <row r="331" spans="8:9" x14ac:dyDescent="0.2">
      <c r="H331" s="117"/>
      <c r="I331" s="117"/>
    </row>
    <row r="332" spans="8:9" x14ac:dyDescent="0.2">
      <c r="H332" s="117"/>
      <c r="I332" s="117"/>
    </row>
    <row r="333" spans="8:9" x14ac:dyDescent="0.2">
      <c r="H333" s="117"/>
      <c r="I333" s="117"/>
    </row>
    <row r="334" spans="8:9" x14ac:dyDescent="0.2">
      <c r="H334" s="117"/>
      <c r="I334" s="117"/>
    </row>
    <row r="335" spans="8:9" x14ac:dyDescent="0.2">
      <c r="H335" s="117"/>
      <c r="I335" s="117"/>
    </row>
    <row r="336" spans="8:9" x14ac:dyDescent="0.2">
      <c r="H336" s="117"/>
      <c r="I336" s="117"/>
    </row>
    <row r="337" spans="8:9" x14ac:dyDescent="0.2">
      <c r="H337" s="117"/>
      <c r="I337" s="117"/>
    </row>
    <row r="338" spans="8:9" x14ac:dyDescent="0.2">
      <c r="H338" s="117"/>
      <c r="I338" s="117"/>
    </row>
    <row r="339" spans="8:9" x14ac:dyDescent="0.2">
      <c r="H339" s="117"/>
      <c r="I339" s="117"/>
    </row>
    <row r="340" spans="8:9" x14ac:dyDescent="0.2">
      <c r="H340" s="117"/>
      <c r="I340" s="117"/>
    </row>
    <row r="341" spans="8:9" x14ac:dyDescent="0.2">
      <c r="H341" s="117"/>
      <c r="I341" s="117"/>
    </row>
    <row r="342" spans="8:9" x14ac:dyDescent="0.2">
      <c r="H342" s="117"/>
      <c r="I342" s="117"/>
    </row>
    <row r="343" spans="8:9" x14ac:dyDescent="0.2">
      <c r="H343" s="117"/>
      <c r="I343" s="117"/>
    </row>
    <row r="344" spans="8:9" x14ac:dyDescent="0.2">
      <c r="H344" s="117"/>
      <c r="I344" s="117"/>
    </row>
    <row r="345" spans="8:9" x14ac:dyDescent="0.2">
      <c r="H345" s="117"/>
      <c r="I345" s="117"/>
    </row>
    <row r="346" spans="8:9" x14ac:dyDescent="0.2">
      <c r="H346" s="117"/>
      <c r="I346" s="117"/>
    </row>
    <row r="347" spans="8:9" x14ac:dyDescent="0.2">
      <c r="H347" s="117"/>
      <c r="I347" s="117"/>
    </row>
    <row r="348" spans="8:9" x14ac:dyDescent="0.2">
      <c r="H348" s="117"/>
      <c r="I348" s="117"/>
    </row>
    <row r="349" spans="8:9" x14ac:dyDescent="0.2">
      <c r="H349" s="117"/>
      <c r="I349" s="117"/>
    </row>
    <row r="350" spans="8:9" x14ac:dyDescent="0.2">
      <c r="H350" s="117"/>
      <c r="I350" s="117"/>
    </row>
    <row r="351" spans="8:9" x14ac:dyDescent="0.2">
      <c r="H351" s="117"/>
      <c r="I351" s="117"/>
    </row>
    <row r="352" spans="8:9" x14ac:dyDescent="0.2">
      <c r="H352" s="117"/>
      <c r="I352" s="117"/>
    </row>
    <row r="353" spans="8:9" x14ac:dyDescent="0.2">
      <c r="H353" s="117"/>
      <c r="I353" s="117"/>
    </row>
    <row r="354" spans="8:9" x14ac:dyDescent="0.2">
      <c r="H354" s="117"/>
      <c r="I354" s="117"/>
    </row>
    <row r="355" spans="8:9" x14ac:dyDescent="0.2">
      <c r="H355" s="117"/>
      <c r="I355" s="117"/>
    </row>
    <row r="356" spans="8:9" x14ac:dyDescent="0.2">
      <c r="H356" s="117"/>
      <c r="I356" s="117"/>
    </row>
    <row r="357" spans="8:9" x14ac:dyDescent="0.2">
      <c r="H357" s="117"/>
      <c r="I357" s="117"/>
    </row>
    <row r="358" spans="8:9" x14ac:dyDescent="0.2">
      <c r="H358" s="117"/>
      <c r="I358" s="117"/>
    </row>
    <row r="359" spans="8:9" x14ac:dyDescent="0.2">
      <c r="H359" s="117"/>
      <c r="I359" s="117"/>
    </row>
    <row r="360" spans="8:9" x14ac:dyDescent="0.2">
      <c r="H360" s="117"/>
      <c r="I360" s="117"/>
    </row>
    <row r="361" spans="8:9" x14ac:dyDescent="0.2">
      <c r="H361" s="117"/>
      <c r="I361" s="117"/>
    </row>
    <row r="362" spans="8:9" x14ac:dyDescent="0.2">
      <c r="H362" s="117"/>
      <c r="I362" s="117"/>
    </row>
    <row r="363" spans="8:9" x14ac:dyDescent="0.2">
      <c r="H363" s="117"/>
      <c r="I363" s="117"/>
    </row>
    <row r="364" spans="8:9" x14ac:dyDescent="0.2">
      <c r="H364" s="117"/>
      <c r="I364" s="117"/>
    </row>
    <row r="365" spans="8:9" x14ac:dyDescent="0.2">
      <c r="H365" s="117"/>
      <c r="I365" s="117"/>
    </row>
    <row r="366" spans="8:9" x14ac:dyDescent="0.2">
      <c r="H366" s="117"/>
      <c r="I366" s="117"/>
    </row>
    <row r="367" spans="8:9" x14ac:dyDescent="0.2">
      <c r="H367" s="117"/>
      <c r="I367" s="117"/>
    </row>
    <row r="368" spans="8:9" x14ac:dyDescent="0.2">
      <c r="H368" s="117"/>
      <c r="I368" s="117"/>
    </row>
    <row r="369" spans="8:9" x14ac:dyDescent="0.2">
      <c r="H369" s="117"/>
      <c r="I369" s="117"/>
    </row>
    <row r="370" spans="8:9" x14ac:dyDescent="0.2">
      <c r="H370" s="117"/>
      <c r="I370" s="117"/>
    </row>
    <row r="371" spans="8:9" x14ac:dyDescent="0.2">
      <c r="H371" s="117"/>
      <c r="I371" s="117"/>
    </row>
    <row r="372" spans="8:9" x14ac:dyDescent="0.2">
      <c r="H372" s="117"/>
      <c r="I372" s="117"/>
    </row>
    <row r="373" spans="8:9" x14ac:dyDescent="0.2">
      <c r="H373" s="117"/>
      <c r="I373" s="117"/>
    </row>
    <row r="374" spans="8:9" x14ac:dyDescent="0.2">
      <c r="H374" s="117"/>
      <c r="I374" s="117"/>
    </row>
    <row r="375" spans="8:9" x14ac:dyDescent="0.2">
      <c r="H375" s="117"/>
      <c r="I375" s="117"/>
    </row>
    <row r="376" spans="8:9" x14ac:dyDescent="0.2">
      <c r="H376" s="117"/>
      <c r="I376" s="117"/>
    </row>
    <row r="377" spans="8:9" x14ac:dyDescent="0.2">
      <c r="H377" s="117"/>
      <c r="I377" s="117"/>
    </row>
    <row r="378" spans="8:9" x14ac:dyDescent="0.2">
      <c r="H378" s="117"/>
      <c r="I378" s="117"/>
    </row>
    <row r="379" spans="8:9" x14ac:dyDescent="0.2">
      <c r="H379" s="117"/>
      <c r="I379" s="117"/>
    </row>
    <row r="380" spans="8:9" x14ac:dyDescent="0.2">
      <c r="H380" s="117"/>
      <c r="I380" s="117"/>
    </row>
    <row r="381" spans="8:9" x14ac:dyDescent="0.2">
      <c r="H381" s="117"/>
      <c r="I381" s="117"/>
    </row>
    <row r="382" spans="8:9" x14ac:dyDescent="0.2">
      <c r="H382" s="117"/>
      <c r="I382" s="117"/>
    </row>
    <row r="383" spans="8:9" x14ac:dyDescent="0.2">
      <c r="H383" s="117"/>
      <c r="I383" s="117"/>
    </row>
    <row r="384" spans="8:9" x14ac:dyDescent="0.2">
      <c r="H384" s="117"/>
      <c r="I384" s="117"/>
    </row>
    <row r="385" spans="8:9" x14ac:dyDescent="0.2">
      <c r="H385" s="117"/>
      <c r="I385" s="117"/>
    </row>
    <row r="386" spans="8:9" x14ac:dyDescent="0.2">
      <c r="H386" s="117"/>
      <c r="I386" s="117"/>
    </row>
    <row r="387" spans="8:9" x14ac:dyDescent="0.2">
      <c r="H387" s="117"/>
      <c r="I387" s="117"/>
    </row>
    <row r="388" spans="8:9" x14ac:dyDescent="0.2">
      <c r="H388" s="117"/>
      <c r="I388" s="117"/>
    </row>
    <row r="389" spans="8:9" x14ac:dyDescent="0.2">
      <c r="H389" s="117"/>
      <c r="I389" s="117"/>
    </row>
    <row r="390" spans="8:9" x14ac:dyDescent="0.2">
      <c r="H390" s="117"/>
      <c r="I390" s="117"/>
    </row>
    <row r="391" spans="8:9" x14ac:dyDescent="0.2">
      <c r="H391" s="117"/>
      <c r="I391" s="117"/>
    </row>
    <row r="392" spans="8:9" x14ac:dyDescent="0.2">
      <c r="H392" s="117"/>
      <c r="I392" s="117"/>
    </row>
    <row r="393" spans="8:9" x14ac:dyDescent="0.2">
      <c r="H393" s="117"/>
      <c r="I393" s="117"/>
    </row>
    <row r="394" spans="8:9" x14ac:dyDescent="0.2">
      <c r="H394" s="117"/>
      <c r="I394" s="117"/>
    </row>
    <row r="395" spans="8:9" x14ac:dyDescent="0.2">
      <c r="H395" s="117"/>
      <c r="I395" s="117"/>
    </row>
    <row r="396" spans="8:9" x14ac:dyDescent="0.2">
      <c r="H396" s="117"/>
      <c r="I396" s="117"/>
    </row>
    <row r="397" spans="8:9" x14ac:dyDescent="0.2">
      <c r="H397" s="117"/>
      <c r="I397" s="117"/>
    </row>
    <row r="398" spans="8:9" x14ac:dyDescent="0.2">
      <c r="H398" s="117"/>
      <c r="I398" s="117"/>
    </row>
    <row r="399" spans="8:9" x14ac:dyDescent="0.2">
      <c r="H399" s="117"/>
      <c r="I399" s="117"/>
    </row>
    <row r="400" spans="8:9" x14ac:dyDescent="0.2">
      <c r="H400" s="117"/>
      <c r="I400" s="117"/>
    </row>
    <row r="401" spans="8:9" x14ac:dyDescent="0.2">
      <c r="H401" s="117"/>
      <c r="I401" s="117"/>
    </row>
    <row r="402" spans="8:9" x14ac:dyDescent="0.2">
      <c r="H402" s="117"/>
      <c r="I402" s="117"/>
    </row>
    <row r="403" spans="8:9" x14ac:dyDescent="0.2">
      <c r="H403" s="117"/>
      <c r="I403" s="117"/>
    </row>
    <row r="404" spans="8:9" x14ac:dyDescent="0.2">
      <c r="H404" s="117"/>
      <c r="I404" s="117"/>
    </row>
    <row r="405" spans="8:9" x14ac:dyDescent="0.2">
      <c r="H405" s="117"/>
      <c r="I405" s="117"/>
    </row>
    <row r="406" spans="8:9" x14ac:dyDescent="0.2">
      <c r="H406" s="117"/>
      <c r="I406" s="117"/>
    </row>
    <row r="407" spans="8:9" x14ac:dyDescent="0.2">
      <c r="H407" s="117"/>
      <c r="I407" s="117"/>
    </row>
    <row r="408" spans="8:9" x14ac:dyDescent="0.2">
      <c r="H408" s="117"/>
      <c r="I408" s="117"/>
    </row>
    <row r="409" spans="8:9" x14ac:dyDescent="0.2">
      <c r="H409" s="117"/>
      <c r="I409" s="117"/>
    </row>
    <row r="410" spans="8:9" x14ac:dyDescent="0.2">
      <c r="H410" s="117"/>
      <c r="I410" s="117"/>
    </row>
    <row r="411" spans="8:9" x14ac:dyDescent="0.2">
      <c r="H411" s="117"/>
      <c r="I411" s="117"/>
    </row>
    <row r="412" spans="8:9" x14ac:dyDescent="0.2">
      <c r="H412" s="117"/>
      <c r="I412" s="117"/>
    </row>
    <row r="413" spans="8:9" x14ac:dyDescent="0.2">
      <c r="H413" s="117"/>
      <c r="I413" s="117"/>
    </row>
    <row r="414" spans="8:9" x14ac:dyDescent="0.2">
      <c r="H414" s="117"/>
      <c r="I414" s="117"/>
    </row>
    <row r="415" spans="8:9" x14ac:dyDescent="0.2">
      <c r="H415" s="117"/>
      <c r="I415" s="117"/>
    </row>
    <row r="416" spans="8:9" x14ac:dyDescent="0.2">
      <c r="H416" s="117"/>
      <c r="I416" s="117"/>
    </row>
    <row r="417" spans="8:9" x14ac:dyDescent="0.2">
      <c r="H417" s="117"/>
      <c r="I417" s="117"/>
    </row>
    <row r="418" spans="8:9" x14ac:dyDescent="0.2">
      <c r="H418" s="117"/>
      <c r="I418" s="117"/>
    </row>
    <row r="419" spans="8:9" x14ac:dyDescent="0.2">
      <c r="H419" s="117"/>
      <c r="I419" s="117"/>
    </row>
    <row r="420" spans="8:9" x14ac:dyDescent="0.2">
      <c r="H420" s="117"/>
      <c r="I420" s="117"/>
    </row>
    <row r="421" spans="8:9" x14ac:dyDescent="0.2">
      <c r="H421" s="117"/>
      <c r="I421" s="117"/>
    </row>
    <row r="422" spans="8:9" x14ac:dyDescent="0.2">
      <c r="H422" s="117"/>
      <c r="I422" s="117"/>
    </row>
    <row r="423" spans="8:9" x14ac:dyDescent="0.2">
      <c r="H423" s="117"/>
      <c r="I423" s="117"/>
    </row>
    <row r="424" spans="8:9" x14ac:dyDescent="0.2">
      <c r="H424" s="117"/>
      <c r="I424" s="117"/>
    </row>
    <row r="425" spans="8:9" x14ac:dyDescent="0.2">
      <c r="H425" s="117"/>
      <c r="I425" s="117"/>
    </row>
    <row r="426" spans="8:9" x14ac:dyDescent="0.2">
      <c r="H426" s="117"/>
      <c r="I426" s="117"/>
    </row>
    <row r="427" spans="8:9" x14ac:dyDescent="0.2">
      <c r="H427" s="117"/>
      <c r="I427" s="117"/>
    </row>
    <row r="428" spans="8:9" x14ac:dyDescent="0.2">
      <c r="H428" s="117"/>
      <c r="I428" s="117"/>
    </row>
    <row r="429" spans="8:9" x14ac:dyDescent="0.2">
      <c r="H429" s="117"/>
      <c r="I429" s="117"/>
    </row>
    <row r="430" spans="8:9" x14ac:dyDescent="0.2">
      <c r="H430" s="117"/>
      <c r="I430" s="117"/>
    </row>
    <row r="431" spans="8:9" x14ac:dyDescent="0.2">
      <c r="H431" s="117"/>
      <c r="I431" s="117"/>
    </row>
    <row r="432" spans="8:9" x14ac:dyDescent="0.2">
      <c r="H432" s="117"/>
      <c r="I432" s="117"/>
    </row>
    <row r="433" spans="8:9" x14ac:dyDescent="0.2">
      <c r="H433" s="117"/>
      <c r="I433" s="117"/>
    </row>
    <row r="434" spans="8:9" x14ac:dyDescent="0.2">
      <c r="H434" s="117"/>
      <c r="I434" s="117"/>
    </row>
    <row r="435" spans="8:9" x14ac:dyDescent="0.2">
      <c r="H435" s="117"/>
      <c r="I435" s="117"/>
    </row>
    <row r="436" spans="8:9" x14ac:dyDescent="0.2">
      <c r="H436" s="117"/>
      <c r="I436" s="117"/>
    </row>
    <row r="437" spans="8:9" x14ac:dyDescent="0.2">
      <c r="H437" s="117"/>
      <c r="I437" s="117"/>
    </row>
    <row r="438" spans="8:9" x14ac:dyDescent="0.2">
      <c r="H438" s="117"/>
      <c r="I438" s="117"/>
    </row>
    <row r="439" spans="8:9" x14ac:dyDescent="0.2">
      <c r="H439" s="117"/>
      <c r="I439" s="117"/>
    </row>
    <row r="440" spans="8:9" x14ac:dyDescent="0.2">
      <c r="H440" s="117"/>
      <c r="I440" s="117"/>
    </row>
    <row r="441" spans="8:9" x14ac:dyDescent="0.2">
      <c r="H441" s="117"/>
      <c r="I441" s="117"/>
    </row>
    <row r="442" spans="8:9" x14ac:dyDescent="0.2">
      <c r="H442" s="117"/>
      <c r="I442" s="117"/>
    </row>
    <row r="443" spans="8:9" x14ac:dyDescent="0.2">
      <c r="H443" s="117"/>
      <c r="I443" s="117"/>
    </row>
    <row r="444" spans="8:9" x14ac:dyDescent="0.2">
      <c r="H444" s="117"/>
      <c r="I444" s="117"/>
    </row>
    <row r="445" spans="8:9" x14ac:dyDescent="0.2">
      <c r="H445" s="117"/>
      <c r="I445" s="117"/>
    </row>
    <row r="446" spans="8:9" x14ac:dyDescent="0.2">
      <c r="H446" s="117"/>
      <c r="I446" s="117"/>
    </row>
    <row r="447" spans="8:9" x14ac:dyDescent="0.2">
      <c r="H447" s="117"/>
      <c r="I447" s="117"/>
    </row>
    <row r="448" spans="8:9" x14ac:dyDescent="0.2">
      <c r="H448" s="117"/>
      <c r="I448" s="117"/>
    </row>
    <row r="449" spans="8:9" x14ac:dyDescent="0.2">
      <c r="H449" s="117"/>
      <c r="I449" s="117"/>
    </row>
    <row r="450" spans="8:9" x14ac:dyDescent="0.2">
      <c r="H450" s="117"/>
      <c r="I450" s="117"/>
    </row>
    <row r="451" spans="8:9" x14ac:dyDescent="0.2">
      <c r="H451" s="117"/>
      <c r="I451" s="117"/>
    </row>
    <row r="452" spans="8:9" x14ac:dyDescent="0.2">
      <c r="H452" s="117"/>
      <c r="I452" s="117"/>
    </row>
    <row r="453" spans="8:9" x14ac:dyDescent="0.2">
      <c r="H453" s="117"/>
      <c r="I453" s="117"/>
    </row>
    <row r="454" spans="8:9" x14ac:dyDescent="0.2">
      <c r="H454" s="117"/>
      <c r="I454" s="117"/>
    </row>
    <row r="455" spans="8:9" x14ac:dyDescent="0.2">
      <c r="H455" s="117"/>
      <c r="I455" s="117"/>
    </row>
    <row r="456" spans="8:9" x14ac:dyDescent="0.2">
      <c r="H456" s="117"/>
      <c r="I456" s="117"/>
    </row>
    <row r="457" spans="8:9" x14ac:dyDescent="0.2">
      <c r="H457" s="117"/>
      <c r="I457" s="117"/>
    </row>
    <row r="458" spans="8:9" x14ac:dyDescent="0.2">
      <c r="H458" s="117"/>
      <c r="I458" s="117"/>
    </row>
    <row r="459" spans="8:9" x14ac:dyDescent="0.2">
      <c r="H459" s="117"/>
      <c r="I459" s="117"/>
    </row>
    <row r="460" spans="8:9" x14ac:dyDescent="0.2">
      <c r="H460" s="117"/>
      <c r="I460" s="117"/>
    </row>
    <row r="461" spans="8:9" x14ac:dyDescent="0.2">
      <c r="H461" s="117"/>
      <c r="I461" s="117"/>
    </row>
    <row r="462" spans="8:9" x14ac:dyDescent="0.2">
      <c r="H462" s="117"/>
      <c r="I462" s="117"/>
    </row>
    <row r="463" spans="8:9" x14ac:dyDescent="0.2">
      <c r="H463" s="117"/>
      <c r="I463" s="117"/>
    </row>
    <row r="464" spans="8:9" x14ac:dyDescent="0.2">
      <c r="H464" s="117"/>
      <c r="I464" s="117"/>
    </row>
    <row r="465" spans="8:9" x14ac:dyDescent="0.2">
      <c r="H465" s="117"/>
      <c r="I465" s="117"/>
    </row>
    <row r="466" spans="8:9" x14ac:dyDescent="0.2">
      <c r="H466" s="117"/>
      <c r="I466" s="117"/>
    </row>
    <row r="467" spans="8:9" x14ac:dyDescent="0.2">
      <c r="H467" s="117"/>
      <c r="I467" s="117"/>
    </row>
    <row r="468" spans="8:9" x14ac:dyDescent="0.2">
      <c r="H468" s="117"/>
      <c r="I468" s="117"/>
    </row>
    <row r="469" spans="8:9" x14ac:dyDescent="0.2">
      <c r="H469" s="117"/>
      <c r="I469" s="117"/>
    </row>
    <row r="470" spans="8:9" x14ac:dyDescent="0.2">
      <c r="H470" s="117"/>
      <c r="I470" s="117"/>
    </row>
    <row r="471" spans="8:9" x14ac:dyDescent="0.2">
      <c r="H471" s="117"/>
      <c r="I471" s="117"/>
    </row>
    <row r="472" spans="8:9" x14ac:dyDescent="0.2">
      <c r="H472" s="117"/>
      <c r="I472" s="117"/>
    </row>
    <row r="473" spans="8:9" x14ac:dyDescent="0.2">
      <c r="H473" s="117"/>
      <c r="I473" s="117"/>
    </row>
    <row r="474" spans="8:9" x14ac:dyDescent="0.2">
      <c r="H474" s="117"/>
      <c r="I474" s="117"/>
    </row>
    <row r="475" spans="8:9" x14ac:dyDescent="0.2">
      <c r="H475" s="117"/>
      <c r="I475" s="117"/>
    </row>
    <row r="476" spans="8:9" x14ac:dyDescent="0.2">
      <c r="H476" s="117"/>
      <c r="I476" s="117"/>
    </row>
    <row r="477" spans="8:9" x14ac:dyDescent="0.2">
      <c r="H477" s="117"/>
      <c r="I477" s="117"/>
    </row>
    <row r="478" spans="8:9" x14ac:dyDescent="0.2">
      <c r="H478" s="117"/>
      <c r="I478" s="117"/>
    </row>
    <row r="479" spans="8:9" x14ac:dyDescent="0.2">
      <c r="H479" s="117"/>
      <c r="I479" s="117"/>
    </row>
    <row r="480" spans="8:9" x14ac:dyDescent="0.2">
      <c r="H480" s="117"/>
      <c r="I480" s="117"/>
    </row>
    <row r="481" spans="8:9" x14ac:dyDescent="0.2">
      <c r="H481" s="117"/>
      <c r="I481" s="117"/>
    </row>
    <row r="482" spans="8:9" x14ac:dyDescent="0.2">
      <c r="H482" s="117"/>
      <c r="I482" s="117"/>
    </row>
    <row r="483" spans="8:9" x14ac:dyDescent="0.2">
      <c r="H483" s="117"/>
      <c r="I483" s="117"/>
    </row>
    <row r="484" spans="8:9" x14ac:dyDescent="0.2">
      <c r="H484" s="117"/>
      <c r="I484" s="117"/>
    </row>
    <row r="485" spans="8:9" x14ac:dyDescent="0.2">
      <c r="H485" s="117"/>
      <c r="I485" s="117"/>
    </row>
    <row r="486" spans="8:9" x14ac:dyDescent="0.2">
      <c r="H486" s="117"/>
      <c r="I486" s="117"/>
    </row>
    <row r="487" spans="8:9" x14ac:dyDescent="0.2">
      <c r="H487" s="117"/>
      <c r="I487" s="117"/>
    </row>
    <row r="488" spans="8:9" x14ac:dyDescent="0.2">
      <c r="H488" s="117"/>
      <c r="I488" s="117"/>
    </row>
    <row r="489" spans="8:9" x14ac:dyDescent="0.2">
      <c r="H489" s="117"/>
      <c r="I489" s="117"/>
    </row>
    <row r="490" spans="8:9" x14ac:dyDescent="0.2">
      <c r="H490" s="117"/>
      <c r="I490" s="117"/>
    </row>
    <row r="491" spans="8:9" x14ac:dyDescent="0.2">
      <c r="H491" s="117"/>
      <c r="I491" s="117"/>
    </row>
    <row r="492" spans="8:9" x14ac:dyDescent="0.2">
      <c r="H492" s="117"/>
      <c r="I492" s="117"/>
    </row>
    <row r="493" spans="8:9" x14ac:dyDescent="0.2">
      <c r="H493" s="117"/>
      <c r="I493" s="117"/>
    </row>
    <row r="494" spans="8:9" x14ac:dyDescent="0.2">
      <c r="H494" s="117"/>
      <c r="I494" s="117"/>
    </row>
    <row r="495" spans="8:9" x14ac:dyDescent="0.2">
      <c r="H495" s="117"/>
      <c r="I495" s="117"/>
    </row>
    <row r="496" spans="8:9" x14ac:dyDescent="0.2">
      <c r="H496" s="117"/>
      <c r="I496" s="117"/>
    </row>
    <row r="497" spans="8:9" x14ac:dyDescent="0.2">
      <c r="H497" s="117"/>
      <c r="I497" s="117"/>
    </row>
    <row r="498" spans="8:9" x14ac:dyDescent="0.2">
      <c r="H498" s="117"/>
      <c r="I498" s="117"/>
    </row>
    <row r="499" spans="8:9" x14ac:dyDescent="0.2">
      <c r="H499" s="117"/>
      <c r="I499" s="117"/>
    </row>
    <row r="500" spans="8:9" x14ac:dyDescent="0.2">
      <c r="H500" s="117"/>
      <c r="I500" s="117"/>
    </row>
    <row r="501" spans="8:9" x14ac:dyDescent="0.2">
      <c r="H501" s="117"/>
      <c r="I501" s="117"/>
    </row>
    <row r="502" spans="8:9" x14ac:dyDescent="0.2">
      <c r="H502" s="117"/>
      <c r="I502" s="117"/>
    </row>
    <row r="503" spans="8:9" x14ac:dyDescent="0.2">
      <c r="H503" s="117"/>
      <c r="I503" s="117"/>
    </row>
    <row r="504" spans="8:9" x14ac:dyDescent="0.2">
      <c r="H504" s="117"/>
      <c r="I504" s="117"/>
    </row>
    <row r="505" spans="8:9" x14ac:dyDescent="0.2">
      <c r="H505" s="117"/>
      <c r="I505" s="117"/>
    </row>
    <row r="506" spans="8:9" x14ac:dyDescent="0.2">
      <c r="H506" s="117"/>
      <c r="I506" s="117"/>
    </row>
    <row r="507" spans="8:9" x14ac:dyDescent="0.2">
      <c r="H507" s="117"/>
      <c r="I507" s="117"/>
    </row>
    <row r="508" spans="8:9" x14ac:dyDescent="0.2">
      <c r="H508" s="117"/>
      <c r="I508" s="117"/>
    </row>
    <row r="509" spans="8:9" x14ac:dyDescent="0.2">
      <c r="H509" s="117"/>
      <c r="I509" s="117"/>
    </row>
    <row r="510" spans="8:9" x14ac:dyDescent="0.2">
      <c r="H510" s="117"/>
      <c r="I510" s="117"/>
    </row>
    <row r="511" spans="8:9" x14ac:dyDescent="0.2">
      <c r="H511" s="117"/>
      <c r="I511" s="117"/>
    </row>
    <row r="512" spans="8:9" x14ac:dyDescent="0.2">
      <c r="H512" s="117"/>
      <c r="I512" s="117"/>
    </row>
    <row r="513" spans="8:9" x14ac:dyDescent="0.2">
      <c r="H513" s="117"/>
      <c r="I513" s="117"/>
    </row>
    <row r="514" spans="8:9" x14ac:dyDescent="0.2">
      <c r="H514" s="117"/>
      <c r="I514" s="117"/>
    </row>
    <row r="515" spans="8:9" x14ac:dyDescent="0.2">
      <c r="H515" s="117"/>
      <c r="I515" s="117"/>
    </row>
    <row r="516" spans="8:9" x14ac:dyDescent="0.2">
      <c r="H516" s="117"/>
      <c r="I516" s="117"/>
    </row>
    <row r="517" spans="8:9" x14ac:dyDescent="0.2">
      <c r="H517" s="117"/>
      <c r="I517" s="117"/>
    </row>
    <row r="518" spans="8:9" x14ac:dyDescent="0.2">
      <c r="H518" s="117"/>
      <c r="I518" s="117"/>
    </row>
    <row r="519" spans="8:9" x14ac:dyDescent="0.2">
      <c r="H519" s="117"/>
      <c r="I519" s="117"/>
    </row>
    <row r="520" spans="8:9" x14ac:dyDescent="0.2">
      <c r="H520" s="117"/>
      <c r="I520" s="117"/>
    </row>
    <row r="521" spans="8:9" x14ac:dyDescent="0.2">
      <c r="H521" s="117"/>
      <c r="I521" s="117"/>
    </row>
    <row r="522" spans="8:9" x14ac:dyDescent="0.2">
      <c r="H522" s="117"/>
      <c r="I522" s="117"/>
    </row>
    <row r="523" spans="8:9" x14ac:dyDescent="0.2">
      <c r="H523" s="117"/>
      <c r="I523" s="117"/>
    </row>
    <row r="524" spans="8:9" x14ac:dyDescent="0.2">
      <c r="H524" s="117"/>
      <c r="I524" s="117"/>
    </row>
    <row r="525" spans="8:9" x14ac:dyDescent="0.2">
      <c r="H525" s="117"/>
      <c r="I525" s="117"/>
    </row>
    <row r="526" spans="8:9" x14ac:dyDescent="0.2">
      <c r="H526" s="117"/>
      <c r="I526" s="117"/>
    </row>
    <row r="527" spans="8:9" x14ac:dyDescent="0.2">
      <c r="H527" s="117"/>
      <c r="I527" s="117"/>
    </row>
    <row r="528" spans="8:9" x14ac:dyDescent="0.2">
      <c r="H528" s="117"/>
      <c r="I528" s="117"/>
    </row>
    <row r="529" spans="8:9" x14ac:dyDescent="0.2">
      <c r="H529" s="117"/>
      <c r="I529" s="117"/>
    </row>
    <row r="530" spans="8:9" x14ac:dyDescent="0.2">
      <c r="H530" s="117"/>
      <c r="I530" s="117"/>
    </row>
    <row r="531" spans="8:9" x14ac:dyDescent="0.2">
      <c r="H531" s="117"/>
      <c r="I531" s="117"/>
    </row>
    <row r="532" spans="8:9" x14ac:dyDescent="0.2">
      <c r="H532" s="117"/>
      <c r="I532" s="117"/>
    </row>
    <row r="533" spans="8:9" x14ac:dyDescent="0.2">
      <c r="H533" s="117"/>
      <c r="I533" s="117"/>
    </row>
    <row r="534" spans="8:9" x14ac:dyDescent="0.2">
      <c r="H534" s="117"/>
      <c r="I534" s="117"/>
    </row>
    <row r="535" spans="8:9" x14ac:dyDescent="0.2">
      <c r="H535" s="117"/>
      <c r="I535" s="117"/>
    </row>
    <row r="536" spans="8:9" x14ac:dyDescent="0.2">
      <c r="H536" s="117"/>
      <c r="I536" s="117"/>
    </row>
    <row r="537" spans="8:9" x14ac:dyDescent="0.2">
      <c r="H537" s="117"/>
      <c r="I537" s="117"/>
    </row>
    <row r="538" spans="8:9" x14ac:dyDescent="0.2">
      <c r="H538" s="117"/>
      <c r="I538" s="117"/>
    </row>
    <row r="539" spans="8:9" x14ac:dyDescent="0.2">
      <c r="H539" s="117"/>
      <c r="I539" s="117"/>
    </row>
    <row r="540" spans="8:9" x14ac:dyDescent="0.2">
      <c r="H540" s="117"/>
      <c r="I540" s="117"/>
    </row>
    <row r="541" spans="8:9" x14ac:dyDescent="0.2">
      <c r="H541" s="117"/>
      <c r="I541" s="117"/>
    </row>
    <row r="542" spans="8:9" x14ac:dyDescent="0.2">
      <c r="H542" s="117"/>
      <c r="I542" s="117"/>
    </row>
    <row r="543" spans="8:9" x14ac:dyDescent="0.2">
      <c r="H543" s="117"/>
      <c r="I543" s="117"/>
    </row>
    <row r="544" spans="8:9" x14ac:dyDescent="0.2">
      <c r="H544" s="117"/>
      <c r="I544" s="117"/>
    </row>
    <row r="545" spans="8:9" x14ac:dyDescent="0.2">
      <c r="H545" s="117"/>
      <c r="I545" s="117"/>
    </row>
    <row r="546" spans="8:9" x14ac:dyDescent="0.2">
      <c r="H546" s="117"/>
      <c r="I546" s="117"/>
    </row>
    <row r="547" spans="8:9" x14ac:dyDescent="0.2">
      <c r="H547" s="117"/>
      <c r="I547" s="117"/>
    </row>
    <row r="548" spans="8:9" x14ac:dyDescent="0.2">
      <c r="H548" s="117"/>
      <c r="I548" s="117"/>
    </row>
    <row r="549" spans="8:9" x14ac:dyDescent="0.2">
      <c r="H549" s="117"/>
      <c r="I549" s="117"/>
    </row>
    <row r="550" spans="8:9" x14ac:dyDescent="0.2">
      <c r="H550" s="117"/>
      <c r="I550" s="117"/>
    </row>
    <row r="551" spans="8:9" x14ac:dyDescent="0.2">
      <c r="H551" s="117"/>
      <c r="I551" s="117"/>
    </row>
    <row r="552" spans="8:9" x14ac:dyDescent="0.2">
      <c r="H552" s="117"/>
      <c r="I552" s="117"/>
    </row>
    <row r="553" spans="8:9" x14ac:dyDescent="0.2">
      <c r="H553" s="117"/>
      <c r="I553" s="117"/>
    </row>
    <row r="554" spans="8:9" x14ac:dyDescent="0.2">
      <c r="H554" s="117"/>
      <c r="I554" s="117"/>
    </row>
    <row r="555" spans="8:9" x14ac:dyDescent="0.2">
      <c r="H555" s="117"/>
      <c r="I555" s="117"/>
    </row>
    <row r="556" spans="8:9" x14ac:dyDescent="0.2">
      <c r="H556" s="117"/>
      <c r="I556" s="117"/>
    </row>
    <row r="557" spans="8:9" x14ac:dyDescent="0.2">
      <c r="H557" s="117"/>
      <c r="I557" s="117"/>
    </row>
    <row r="558" spans="8:9" x14ac:dyDescent="0.2">
      <c r="H558" s="117"/>
      <c r="I558" s="117"/>
    </row>
    <row r="559" spans="8:9" x14ac:dyDescent="0.2">
      <c r="H559" s="117"/>
      <c r="I559" s="117"/>
    </row>
    <row r="560" spans="8:9" x14ac:dyDescent="0.2">
      <c r="H560" s="117"/>
      <c r="I560" s="117"/>
    </row>
    <row r="561" spans="8:9" x14ac:dyDescent="0.2">
      <c r="H561" s="117"/>
      <c r="I561" s="117"/>
    </row>
    <row r="562" spans="8:9" x14ac:dyDescent="0.2">
      <c r="H562" s="117"/>
      <c r="I562" s="117"/>
    </row>
    <row r="563" spans="8:9" x14ac:dyDescent="0.2">
      <c r="H563" s="117"/>
      <c r="I563" s="117"/>
    </row>
    <row r="564" spans="8:9" x14ac:dyDescent="0.2">
      <c r="H564" s="117"/>
      <c r="I564" s="117"/>
    </row>
    <row r="565" spans="8:9" x14ac:dyDescent="0.2">
      <c r="H565" s="117"/>
      <c r="I565" s="117"/>
    </row>
    <row r="566" spans="8:9" x14ac:dyDescent="0.2">
      <c r="H566" s="117"/>
      <c r="I566" s="117"/>
    </row>
    <row r="567" spans="8:9" x14ac:dyDescent="0.2">
      <c r="H567" s="117"/>
      <c r="I567" s="117"/>
    </row>
    <row r="568" spans="8:9" x14ac:dyDescent="0.2">
      <c r="H568" s="117"/>
      <c r="I568" s="117"/>
    </row>
    <row r="569" spans="8:9" x14ac:dyDescent="0.2">
      <c r="H569" s="117"/>
      <c r="I569" s="117"/>
    </row>
    <row r="570" spans="8:9" x14ac:dyDescent="0.2">
      <c r="H570" s="117"/>
      <c r="I570" s="117"/>
    </row>
    <row r="571" spans="8:9" x14ac:dyDescent="0.2">
      <c r="H571" s="117"/>
      <c r="I571" s="117"/>
    </row>
    <row r="572" spans="8:9" x14ac:dyDescent="0.2">
      <c r="H572" s="117"/>
      <c r="I572" s="117"/>
    </row>
    <row r="573" spans="8:9" x14ac:dyDescent="0.2">
      <c r="H573" s="117"/>
      <c r="I573" s="117"/>
    </row>
    <row r="574" spans="8:9" x14ac:dyDescent="0.2">
      <c r="H574" s="117"/>
      <c r="I574" s="117"/>
    </row>
    <row r="575" spans="8:9" x14ac:dyDescent="0.2">
      <c r="H575" s="117"/>
      <c r="I575" s="117"/>
    </row>
    <row r="576" spans="8:9" x14ac:dyDescent="0.2">
      <c r="H576" s="117"/>
      <c r="I576" s="117"/>
    </row>
    <row r="577" spans="8:9" x14ac:dyDescent="0.2">
      <c r="H577" s="117"/>
      <c r="I577" s="117"/>
    </row>
    <row r="578" spans="8:9" x14ac:dyDescent="0.2">
      <c r="H578" s="117"/>
      <c r="I578" s="117"/>
    </row>
    <row r="579" spans="8:9" x14ac:dyDescent="0.2">
      <c r="H579" s="117"/>
      <c r="I579" s="117"/>
    </row>
    <row r="580" spans="8:9" x14ac:dyDescent="0.2">
      <c r="H580" s="117"/>
      <c r="I580" s="117"/>
    </row>
    <row r="581" spans="8:9" x14ac:dyDescent="0.2">
      <c r="H581" s="117"/>
      <c r="I581" s="117"/>
    </row>
    <row r="582" spans="8:9" x14ac:dyDescent="0.2">
      <c r="H582" s="117"/>
      <c r="I582" s="117"/>
    </row>
    <row r="583" spans="8:9" x14ac:dyDescent="0.2">
      <c r="H583" s="117"/>
      <c r="I583" s="117"/>
    </row>
    <row r="584" spans="8:9" x14ac:dyDescent="0.2">
      <c r="H584" s="117"/>
      <c r="I584" s="117"/>
    </row>
    <row r="585" spans="8:9" x14ac:dyDescent="0.2">
      <c r="H585" s="117"/>
      <c r="I585" s="117"/>
    </row>
    <row r="586" spans="8:9" x14ac:dyDescent="0.2">
      <c r="H586" s="117"/>
      <c r="I586" s="117"/>
    </row>
    <row r="587" spans="8:9" x14ac:dyDescent="0.2">
      <c r="H587" s="117"/>
      <c r="I587" s="117"/>
    </row>
    <row r="588" spans="8:9" x14ac:dyDescent="0.2">
      <c r="H588" s="117"/>
      <c r="I588" s="117"/>
    </row>
    <row r="589" spans="8:9" x14ac:dyDescent="0.2">
      <c r="H589" s="117"/>
      <c r="I589" s="117"/>
    </row>
    <row r="590" spans="8:9" x14ac:dyDescent="0.2">
      <c r="H590" s="117"/>
      <c r="I590" s="117"/>
    </row>
    <row r="591" spans="8:9" x14ac:dyDescent="0.2">
      <c r="H591" s="117"/>
      <c r="I591" s="117"/>
    </row>
    <row r="592" spans="8:9" x14ac:dyDescent="0.2">
      <c r="H592" s="117"/>
      <c r="I592" s="117"/>
    </row>
    <row r="593" spans="8:9" x14ac:dyDescent="0.2">
      <c r="H593" s="117"/>
      <c r="I593" s="117"/>
    </row>
    <row r="594" spans="8:9" x14ac:dyDescent="0.2">
      <c r="H594" s="117"/>
      <c r="I594" s="117"/>
    </row>
    <row r="595" spans="8:9" x14ac:dyDescent="0.2">
      <c r="H595" s="117"/>
      <c r="I595" s="117"/>
    </row>
    <row r="596" spans="8:9" x14ac:dyDescent="0.2">
      <c r="H596" s="117"/>
      <c r="I596" s="117"/>
    </row>
    <row r="597" spans="8:9" x14ac:dyDescent="0.2">
      <c r="H597" s="117"/>
      <c r="I597" s="117"/>
    </row>
    <row r="598" spans="8:9" x14ac:dyDescent="0.2">
      <c r="H598" s="117"/>
      <c r="I598" s="117"/>
    </row>
    <row r="599" spans="8:9" x14ac:dyDescent="0.2">
      <c r="H599" s="117"/>
      <c r="I599" s="117"/>
    </row>
    <row r="600" spans="8:9" x14ac:dyDescent="0.2">
      <c r="H600" s="117"/>
      <c r="I600" s="117"/>
    </row>
    <row r="601" spans="8:9" x14ac:dyDescent="0.2">
      <c r="H601" s="117"/>
      <c r="I601" s="117"/>
    </row>
    <row r="602" spans="8:9" x14ac:dyDescent="0.2">
      <c r="H602" s="117"/>
      <c r="I602" s="117"/>
    </row>
    <row r="603" spans="8:9" x14ac:dyDescent="0.2">
      <c r="H603" s="117"/>
      <c r="I603" s="117"/>
    </row>
    <row r="604" spans="8:9" x14ac:dyDescent="0.2">
      <c r="H604" s="117"/>
      <c r="I604" s="117"/>
    </row>
    <row r="605" spans="8:9" x14ac:dyDescent="0.2">
      <c r="H605" s="117"/>
      <c r="I605" s="117"/>
    </row>
    <row r="606" spans="8:9" x14ac:dyDescent="0.2">
      <c r="H606" s="117"/>
      <c r="I606" s="117"/>
    </row>
    <row r="607" spans="8:9" x14ac:dyDescent="0.2">
      <c r="H607" s="117"/>
      <c r="I607" s="117"/>
    </row>
    <row r="608" spans="8:9" x14ac:dyDescent="0.2">
      <c r="H608" s="117"/>
      <c r="I608" s="117"/>
    </row>
    <row r="609" spans="8:9" x14ac:dyDescent="0.2">
      <c r="H609" s="117"/>
      <c r="I609" s="117"/>
    </row>
    <row r="610" spans="8:9" x14ac:dyDescent="0.2">
      <c r="H610" s="117"/>
      <c r="I610" s="117"/>
    </row>
    <row r="611" spans="8:9" x14ac:dyDescent="0.2">
      <c r="H611" s="117"/>
      <c r="I611" s="117"/>
    </row>
    <row r="612" spans="8:9" x14ac:dyDescent="0.2">
      <c r="H612" s="117"/>
      <c r="I612" s="117"/>
    </row>
    <row r="613" spans="8:9" x14ac:dyDescent="0.2">
      <c r="H613" s="117"/>
      <c r="I613" s="117"/>
    </row>
    <row r="614" spans="8:9" x14ac:dyDescent="0.2">
      <c r="H614" s="117"/>
      <c r="I614" s="117"/>
    </row>
    <row r="615" spans="8:9" x14ac:dyDescent="0.2">
      <c r="H615" s="117"/>
      <c r="I615" s="117"/>
    </row>
    <row r="616" spans="8:9" x14ac:dyDescent="0.2">
      <c r="H616" s="117"/>
      <c r="I616" s="117"/>
    </row>
    <row r="617" spans="8:9" x14ac:dyDescent="0.2">
      <c r="H617" s="117"/>
      <c r="I617" s="117"/>
    </row>
    <row r="618" spans="8:9" x14ac:dyDescent="0.2">
      <c r="H618" s="117"/>
      <c r="I618" s="117"/>
    </row>
    <row r="619" spans="8:9" x14ac:dyDescent="0.2">
      <c r="H619" s="117"/>
      <c r="I619" s="117"/>
    </row>
    <row r="620" spans="8:9" x14ac:dyDescent="0.2">
      <c r="H620" s="117"/>
      <c r="I620" s="117"/>
    </row>
    <row r="621" spans="8:9" x14ac:dyDescent="0.2">
      <c r="H621" s="117"/>
      <c r="I621" s="117"/>
    </row>
    <row r="622" spans="8:9" x14ac:dyDescent="0.2">
      <c r="H622" s="117"/>
      <c r="I622" s="117"/>
    </row>
    <row r="623" spans="8:9" x14ac:dyDescent="0.2">
      <c r="H623" s="117"/>
      <c r="I623" s="117"/>
    </row>
    <row r="624" spans="8:9" x14ac:dyDescent="0.2">
      <c r="H624" s="117"/>
      <c r="I624" s="117"/>
    </row>
    <row r="625" spans="8:9" x14ac:dyDescent="0.2">
      <c r="H625" s="117"/>
      <c r="I625" s="117"/>
    </row>
    <row r="626" spans="8:9" x14ac:dyDescent="0.2">
      <c r="H626" s="117"/>
      <c r="I626" s="117"/>
    </row>
    <row r="627" spans="8:9" x14ac:dyDescent="0.2">
      <c r="H627" s="117"/>
      <c r="I627" s="117"/>
    </row>
    <row r="628" spans="8:9" x14ac:dyDescent="0.2">
      <c r="H628" s="117"/>
      <c r="I628" s="117"/>
    </row>
    <row r="629" spans="8:9" x14ac:dyDescent="0.2">
      <c r="H629" s="117"/>
      <c r="I629" s="117"/>
    </row>
    <row r="630" spans="8:9" x14ac:dyDescent="0.2">
      <c r="H630" s="117"/>
      <c r="I630" s="117"/>
    </row>
    <row r="631" spans="8:9" x14ac:dyDescent="0.2">
      <c r="H631" s="117"/>
      <c r="I631" s="117"/>
    </row>
    <row r="632" spans="8:9" x14ac:dyDescent="0.2">
      <c r="H632" s="117"/>
      <c r="I632" s="117"/>
    </row>
    <row r="633" spans="8:9" x14ac:dyDescent="0.2">
      <c r="H633" s="117"/>
      <c r="I633" s="117"/>
    </row>
    <row r="634" spans="8:9" x14ac:dyDescent="0.2">
      <c r="H634" s="117"/>
      <c r="I634" s="117"/>
    </row>
    <row r="635" spans="8:9" x14ac:dyDescent="0.2">
      <c r="H635" s="117"/>
      <c r="I635" s="117"/>
    </row>
    <row r="636" spans="8:9" x14ac:dyDescent="0.2">
      <c r="H636" s="117"/>
      <c r="I636" s="117"/>
    </row>
    <row r="637" spans="8:9" x14ac:dyDescent="0.2">
      <c r="H637" s="117"/>
      <c r="I637" s="117"/>
    </row>
    <row r="638" spans="8:9" x14ac:dyDescent="0.2">
      <c r="H638" s="117"/>
      <c r="I638" s="117"/>
    </row>
    <row r="639" spans="8:9" x14ac:dyDescent="0.2">
      <c r="H639" s="117"/>
      <c r="I639" s="117"/>
    </row>
    <row r="640" spans="8:9" x14ac:dyDescent="0.2">
      <c r="H640" s="117"/>
      <c r="I640" s="117"/>
    </row>
    <row r="641" spans="8:9" x14ac:dyDescent="0.2">
      <c r="H641" s="117"/>
      <c r="I641" s="117"/>
    </row>
    <row r="642" spans="8:9" x14ac:dyDescent="0.2">
      <c r="H642" s="117"/>
      <c r="I642" s="117"/>
    </row>
    <row r="643" spans="8:9" x14ac:dyDescent="0.2">
      <c r="H643" s="117"/>
      <c r="I643" s="117"/>
    </row>
    <row r="644" spans="8:9" x14ac:dyDescent="0.2">
      <c r="H644" s="117"/>
      <c r="I644" s="117"/>
    </row>
    <row r="645" spans="8:9" x14ac:dyDescent="0.2">
      <c r="H645" s="117"/>
      <c r="I645" s="117"/>
    </row>
    <row r="646" spans="8:9" x14ac:dyDescent="0.2">
      <c r="H646" s="117"/>
      <c r="I646" s="117"/>
    </row>
    <row r="647" spans="8:9" x14ac:dyDescent="0.2">
      <c r="H647" s="117"/>
      <c r="I647" s="117"/>
    </row>
    <row r="648" spans="8:9" x14ac:dyDescent="0.2">
      <c r="H648" s="117"/>
      <c r="I648" s="117"/>
    </row>
    <row r="649" spans="8:9" x14ac:dyDescent="0.2">
      <c r="H649" s="117"/>
      <c r="I649" s="117"/>
    </row>
    <row r="650" spans="8:9" x14ac:dyDescent="0.2">
      <c r="H650" s="117"/>
      <c r="I650" s="117"/>
    </row>
    <row r="651" spans="8:9" x14ac:dyDescent="0.2">
      <c r="H651" s="117"/>
      <c r="I651" s="117"/>
    </row>
    <row r="652" spans="8:9" x14ac:dyDescent="0.2">
      <c r="H652" s="117"/>
      <c r="I652" s="117"/>
    </row>
    <row r="653" spans="8:9" x14ac:dyDescent="0.2">
      <c r="H653" s="117"/>
      <c r="I653" s="117"/>
    </row>
    <row r="654" spans="8:9" x14ac:dyDescent="0.2">
      <c r="H654" s="117"/>
      <c r="I654" s="117"/>
    </row>
    <row r="655" spans="8:9" x14ac:dyDescent="0.2">
      <c r="H655" s="117"/>
      <c r="I655" s="117"/>
    </row>
    <row r="656" spans="8:9" x14ac:dyDescent="0.2">
      <c r="H656" s="117"/>
      <c r="I656" s="117"/>
    </row>
    <row r="657" spans="8:9" x14ac:dyDescent="0.2">
      <c r="H657" s="117"/>
      <c r="I657" s="117"/>
    </row>
    <row r="658" spans="8:9" x14ac:dyDescent="0.2">
      <c r="H658" s="117"/>
      <c r="I658" s="117"/>
    </row>
    <row r="659" spans="8:9" x14ac:dyDescent="0.2">
      <c r="H659" s="117"/>
      <c r="I659" s="117"/>
    </row>
    <row r="660" spans="8:9" x14ac:dyDescent="0.2">
      <c r="H660" s="117"/>
      <c r="I660" s="117"/>
    </row>
    <row r="661" spans="8:9" x14ac:dyDescent="0.2">
      <c r="H661" s="117"/>
      <c r="I661" s="117"/>
    </row>
    <row r="662" spans="8:9" x14ac:dyDescent="0.2">
      <c r="H662" s="117"/>
      <c r="I662" s="117"/>
    </row>
    <row r="663" spans="8:9" x14ac:dyDescent="0.2">
      <c r="H663" s="117"/>
      <c r="I663" s="117"/>
    </row>
    <row r="664" spans="8:9" x14ac:dyDescent="0.2">
      <c r="H664" s="117"/>
      <c r="I664" s="117"/>
    </row>
    <row r="665" spans="8:9" x14ac:dyDescent="0.2">
      <c r="H665" s="117"/>
      <c r="I665" s="117"/>
    </row>
    <row r="666" spans="8:9" x14ac:dyDescent="0.2">
      <c r="H666" s="117"/>
      <c r="I666" s="117"/>
    </row>
    <row r="667" spans="8:9" x14ac:dyDescent="0.2">
      <c r="H667" s="117"/>
      <c r="I667" s="117"/>
    </row>
    <row r="668" spans="8:9" x14ac:dyDescent="0.2">
      <c r="H668" s="117"/>
      <c r="I668" s="117"/>
    </row>
    <row r="669" spans="8:9" x14ac:dyDescent="0.2">
      <c r="H669" s="117"/>
      <c r="I669" s="117"/>
    </row>
    <row r="670" spans="8:9" x14ac:dyDescent="0.2">
      <c r="H670" s="117"/>
      <c r="I670" s="117"/>
    </row>
    <row r="671" spans="8:9" x14ac:dyDescent="0.2">
      <c r="H671" s="117"/>
      <c r="I671" s="117"/>
    </row>
    <row r="672" spans="8:9" x14ac:dyDescent="0.2">
      <c r="H672" s="117"/>
      <c r="I672" s="117"/>
    </row>
    <row r="673" spans="8:9" x14ac:dyDescent="0.2">
      <c r="H673" s="117"/>
      <c r="I673" s="117"/>
    </row>
    <row r="674" spans="8:9" x14ac:dyDescent="0.2">
      <c r="H674" s="117"/>
      <c r="I674" s="117"/>
    </row>
    <row r="675" spans="8:9" x14ac:dyDescent="0.2">
      <c r="H675" s="117"/>
      <c r="I675" s="117"/>
    </row>
    <row r="676" spans="8:9" x14ac:dyDescent="0.2">
      <c r="H676" s="117"/>
      <c r="I676" s="117"/>
    </row>
    <row r="677" spans="8:9" x14ac:dyDescent="0.2">
      <c r="H677" s="117"/>
      <c r="I677" s="117"/>
    </row>
    <row r="678" spans="8:9" x14ac:dyDescent="0.2">
      <c r="H678" s="117"/>
      <c r="I678" s="117"/>
    </row>
    <row r="679" spans="8:9" x14ac:dyDescent="0.2">
      <c r="H679" s="117"/>
      <c r="I679" s="117"/>
    </row>
    <row r="680" spans="8:9" x14ac:dyDescent="0.2">
      <c r="H680" s="117"/>
      <c r="I680" s="117"/>
    </row>
    <row r="681" spans="8:9" x14ac:dyDescent="0.2">
      <c r="H681" s="117"/>
      <c r="I681" s="117"/>
    </row>
    <row r="682" spans="8:9" x14ac:dyDescent="0.2">
      <c r="H682" s="117"/>
      <c r="I682" s="117"/>
    </row>
    <row r="683" spans="8:9" x14ac:dyDescent="0.2">
      <c r="H683" s="117"/>
      <c r="I683" s="117"/>
    </row>
    <row r="684" spans="8:9" x14ac:dyDescent="0.2">
      <c r="H684" s="117"/>
      <c r="I684" s="117"/>
    </row>
    <row r="685" spans="8:9" x14ac:dyDescent="0.2">
      <c r="H685" s="117"/>
      <c r="I685" s="117"/>
    </row>
    <row r="686" spans="8:9" x14ac:dyDescent="0.2">
      <c r="H686" s="117"/>
      <c r="I686" s="117"/>
    </row>
    <row r="687" spans="8:9" x14ac:dyDescent="0.2">
      <c r="H687" s="117"/>
      <c r="I687" s="117"/>
    </row>
    <row r="688" spans="8:9" x14ac:dyDescent="0.2">
      <c r="H688" s="117"/>
      <c r="I688" s="117"/>
    </row>
    <row r="689" spans="8:9" x14ac:dyDescent="0.2">
      <c r="H689" s="117"/>
      <c r="I689" s="117"/>
    </row>
    <row r="690" spans="8:9" x14ac:dyDescent="0.2">
      <c r="H690" s="117"/>
      <c r="I690" s="117"/>
    </row>
    <row r="691" spans="8:9" x14ac:dyDescent="0.2">
      <c r="H691" s="117"/>
      <c r="I691" s="117"/>
    </row>
    <row r="692" spans="8:9" x14ac:dyDescent="0.2">
      <c r="H692" s="117"/>
      <c r="I692" s="117"/>
    </row>
    <row r="693" spans="8:9" x14ac:dyDescent="0.2">
      <c r="H693" s="117"/>
      <c r="I693" s="117"/>
    </row>
    <row r="694" spans="8:9" x14ac:dyDescent="0.2">
      <c r="H694" s="117"/>
      <c r="I694" s="117"/>
    </row>
    <row r="695" spans="8:9" x14ac:dyDescent="0.2">
      <c r="H695" s="117"/>
      <c r="I695" s="117"/>
    </row>
    <row r="696" spans="8:9" x14ac:dyDescent="0.2">
      <c r="H696" s="117"/>
      <c r="I696" s="117"/>
    </row>
    <row r="697" spans="8:9" x14ac:dyDescent="0.2">
      <c r="H697" s="117"/>
      <c r="I697" s="117"/>
    </row>
    <row r="698" spans="8:9" x14ac:dyDescent="0.2">
      <c r="H698" s="117"/>
      <c r="I698" s="117"/>
    </row>
    <row r="699" spans="8:9" x14ac:dyDescent="0.2">
      <c r="H699" s="117"/>
      <c r="I699" s="117"/>
    </row>
    <row r="700" spans="8:9" x14ac:dyDescent="0.2">
      <c r="H700" s="117"/>
      <c r="I700" s="117"/>
    </row>
    <row r="701" spans="8:9" x14ac:dyDescent="0.2">
      <c r="H701" s="117"/>
      <c r="I701" s="117"/>
    </row>
    <row r="702" spans="8:9" x14ac:dyDescent="0.2">
      <c r="H702" s="117"/>
      <c r="I702" s="117"/>
    </row>
    <row r="703" spans="8:9" x14ac:dyDescent="0.2">
      <c r="H703" s="117"/>
      <c r="I703" s="117"/>
    </row>
    <row r="704" spans="8:9" x14ac:dyDescent="0.2">
      <c r="H704" s="117"/>
      <c r="I704" s="117"/>
    </row>
    <row r="705" spans="8:9" x14ac:dyDescent="0.2">
      <c r="H705" s="117"/>
      <c r="I705" s="117"/>
    </row>
    <row r="706" spans="8:9" x14ac:dyDescent="0.2">
      <c r="H706" s="117"/>
      <c r="I706" s="117"/>
    </row>
    <row r="707" spans="8:9" x14ac:dyDescent="0.2">
      <c r="H707" s="117"/>
      <c r="I707" s="117"/>
    </row>
    <row r="708" spans="8:9" x14ac:dyDescent="0.2">
      <c r="H708" s="117"/>
      <c r="I708" s="117"/>
    </row>
    <row r="709" spans="8:9" x14ac:dyDescent="0.2">
      <c r="H709" s="117"/>
      <c r="I709" s="117"/>
    </row>
    <row r="710" spans="8:9" x14ac:dyDescent="0.2">
      <c r="H710" s="117"/>
      <c r="I710" s="117"/>
    </row>
    <row r="711" spans="8:9" x14ac:dyDescent="0.2">
      <c r="H711" s="117"/>
      <c r="I711" s="117"/>
    </row>
    <row r="712" spans="8:9" x14ac:dyDescent="0.2">
      <c r="H712" s="117"/>
      <c r="I712" s="117"/>
    </row>
    <row r="713" spans="8:9" x14ac:dyDescent="0.2">
      <c r="H713" s="117"/>
      <c r="I713" s="117"/>
    </row>
    <row r="714" spans="8:9" x14ac:dyDescent="0.2">
      <c r="H714" s="117"/>
      <c r="I714" s="117"/>
    </row>
    <row r="715" spans="8:9" x14ac:dyDescent="0.2">
      <c r="H715" s="117"/>
      <c r="I715" s="117"/>
    </row>
    <row r="716" spans="8:9" x14ac:dyDescent="0.2">
      <c r="H716" s="117"/>
      <c r="I716" s="117"/>
    </row>
    <row r="717" spans="8:9" x14ac:dyDescent="0.2">
      <c r="H717" s="117"/>
      <c r="I717" s="117"/>
    </row>
    <row r="718" spans="8:9" x14ac:dyDescent="0.2">
      <c r="H718" s="117"/>
      <c r="I718" s="117"/>
    </row>
    <row r="719" spans="8:9" x14ac:dyDescent="0.2">
      <c r="H719" s="117"/>
      <c r="I719" s="117"/>
    </row>
    <row r="720" spans="8:9" x14ac:dyDescent="0.2">
      <c r="H720" s="117"/>
      <c r="I720" s="117"/>
    </row>
    <row r="721" spans="8:9" x14ac:dyDescent="0.2">
      <c r="H721" s="117"/>
      <c r="I721" s="117"/>
    </row>
    <row r="722" spans="8:9" x14ac:dyDescent="0.2">
      <c r="H722" s="117"/>
      <c r="I722" s="117"/>
    </row>
    <row r="723" spans="8:9" x14ac:dyDescent="0.2">
      <c r="H723" s="117"/>
      <c r="I723" s="117"/>
    </row>
    <row r="724" spans="8:9" x14ac:dyDescent="0.2">
      <c r="H724" s="117"/>
      <c r="I724" s="117"/>
    </row>
    <row r="725" spans="8:9" x14ac:dyDescent="0.2">
      <c r="H725" s="117"/>
      <c r="I725" s="117"/>
    </row>
    <row r="726" spans="8:9" x14ac:dyDescent="0.2">
      <c r="H726" s="117"/>
      <c r="I726" s="117"/>
    </row>
    <row r="727" spans="8:9" x14ac:dyDescent="0.2">
      <c r="H727" s="117"/>
      <c r="I727" s="117"/>
    </row>
    <row r="728" spans="8:9" x14ac:dyDescent="0.2">
      <c r="H728" s="117"/>
      <c r="I728" s="117"/>
    </row>
    <row r="729" spans="8:9" x14ac:dyDescent="0.2">
      <c r="H729" s="117"/>
      <c r="I729" s="117"/>
    </row>
    <row r="730" spans="8:9" x14ac:dyDescent="0.2">
      <c r="H730" s="117"/>
      <c r="I730" s="117"/>
    </row>
    <row r="731" spans="8:9" x14ac:dyDescent="0.2">
      <c r="H731" s="117"/>
      <c r="I731" s="117"/>
    </row>
    <row r="732" spans="8:9" x14ac:dyDescent="0.2">
      <c r="H732" s="117"/>
      <c r="I732" s="117"/>
    </row>
    <row r="733" spans="8:9" x14ac:dyDescent="0.2">
      <c r="H733" s="117"/>
      <c r="I733" s="117"/>
    </row>
    <row r="734" spans="8:9" x14ac:dyDescent="0.2">
      <c r="H734" s="117"/>
      <c r="I734" s="117"/>
    </row>
    <row r="735" spans="8:9" x14ac:dyDescent="0.2">
      <c r="H735" s="117"/>
      <c r="I735" s="117"/>
    </row>
    <row r="736" spans="8:9" x14ac:dyDescent="0.2">
      <c r="H736" s="117"/>
      <c r="I736" s="117"/>
    </row>
    <row r="737" spans="8:9" x14ac:dyDescent="0.2">
      <c r="H737" s="117"/>
      <c r="I737" s="117"/>
    </row>
    <row r="738" spans="8:9" x14ac:dyDescent="0.2">
      <c r="H738" s="117"/>
      <c r="I738" s="117"/>
    </row>
    <row r="739" spans="8:9" x14ac:dyDescent="0.2">
      <c r="H739" s="117"/>
      <c r="I739" s="117"/>
    </row>
    <row r="740" spans="8:9" x14ac:dyDescent="0.2">
      <c r="H740" s="117"/>
      <c r="I740" s="117"/>
    </row>
    <row r="741" spans="8:9" x14ac:dyDescent="0.2">
      <c r="H741" s="117"/>
      <c r="I741" s="117"/>
    </row>
    <row r="742" spans="8:9" x14ac:dyDescent="0.2">
      <c r="H742" s="117"/>
      <c r="I742" s="117"/>
    </row>
    <row r="743" spans="8:9" x14ac:dyDescent="0.2">
      <c r="H743" s="117"/>
      <c r="I743" s="117"/>
    </row>
    <row r="744" spans="8:9" x14ac:dyDescent="0.2">
      <c r="H744" s="117"/>
      <c r="I744" s="117"/>
    </row>
    <row r="745" spans="8:9" x14ac:dyDescent="0.2">
      <c r="H745" s="117"/>
      <c r="I745" s="117"/>
    </row>
    <row r="746" spans="8:9" x14ac:dyDescent="0.2">
      <c r="H746" s="117"/>
      <c r="I746" s="117"/>
    </row>
    <row r="747" spans="8:9" x14ac:dyDescent="0.2">
      <c r="H747" s="117"/>
      <c r="I747" s="117"/>
    </row>
    <row r="748" spans="8:9" x14ac:dyDescent="0.2">
      <c r="H748" s="117"/>
      <c r="I748" s="117"/>
    </row>
    <row r="749" spans="8:9" x14ac:dyDescent="0.2">
      <c r="H749" s="117"/>
      <c r="I749" s="117"/>
    </row>
    <row r="750" spans="8:9" x14ac:dyDescent="0.2">
      <c r="H750" s="117"/>
      <c r="I750" s="117"/>
    </row>
    <row r="751" spans="8:9" x14ac:dyDescent="0.2">
      <c r="H751" s="117"/>
      <c r="I751" s="117"/>
    </row>
    <row r="752" spans="8:9" x14ac:dyDescent="0.2">
      <c r="H752" s="117"/>
      <c r="I752" s="117"/>
    </row>
    <row r="753" spans="8:9" x14ac:dyDescent="0.2">
      <c r="H753" s="117"/>
      <c r="I753" s="117"/>
    </row>
    <row r="754" spans="8:9" x14ac:dyDescent="0.2">
      <c r="H754" s="117"/>
      <c r="I754" s="117"/>
    </row>
    <row r="755" spans="8:9" x14ac:dyDescent="0.2">
      <c r="H755" s="117"/>
      <c r="I755" s="117"/>
    </row>
    <row r="756" spans="8:9" x14ac:dyDescent="0.2">
      <c r="H756" s="117"/>
      <c r="I756" s="117"/>
    </row>
    <row r="757" spans="8:9" x14ac:dyDescent="0.2">
      <c r="H757" s="117"/>
      <c r="I757" s="117"/>
    </row>
    <row r="758" spans="8:9" x14ac:dyDescent="0.2">
      <c r="H758" s="117"/>
      <c r="I758" s="117"/>
    </row>
    <row r="759" spans="8:9" x14ac:dyDescent="0.2">
      <c r="H759" s="117"/>
      <c r="I759" s="117"/>
    </row>
    <row r="760" spans="8:9" x14ac:dyDescent="0.2">
      <c r="H760" s="117"/>
      <c r="I760" s="117"/>
    </row>
    <row r="761" spans="8:9" x14ac:dyDescent="0.2">
      <c r="H761" s="117"/>
      <c r="I761" s="117"/>
    </row>
    <row r="762" spans="8:9" x14ac:dyDescent="0.2">
      <c r="H762" s="117"/>
      <c r="I762" s="117"/>
    </row>
    <row r="763" spans="8:9" x14ac:dyDescent="0.2">
      <c r="H763" s="117"/>
      <c r="I763" s="117"/>
    </row>
    <row r="764" spans="8:9" x14ac:dyDescent="0.2">
      <c r="H764" s="117"/>
      <c r="I764" s="117"/>
    </row>
    <row r="765" spans="8:9" x14ac:dyDescent="0.2">
      <c r="H765" s="117"/>
      <c r="I765" s="117"/>
    </row>
    <row r="766" spans="8:9" x14ac:dyDescent="0.2">
      <c r="H766" s="117"/>
      <c r="I766" s="117"/>
    </row>
    <row r="767" spans="8:9" x14ac:dyDescent="0.2">
      <c r="H767" s="117"/>
      <c r="I767" s="117"/>
    </row>
    <row r="768" spans="8:9" x14ac:dyDescent="0.2">
      <c r="H768" s="117"/>
      <c r="I768" s="117"/>
    </row>
    <row r="769" spans="8:9" x14ac:dyDescent="0.2">
      <c r="H769" s="117"/>
      <c r="I769" s="117"/>
    </row>
    <row r="770" spans="8:9" x14ac:dyDescent="0.2">
      <c r="H770" s="117"/>
      <c r="I770" s="117"/>
    </row>
    <row r="771" spans="8:9" x14ac:dyDescent="0.2">
      <c r="H771" s="117"/>
      <c r="I771" s="117"/>
    </row>
    <row r="772" spans="8:9" x14ac:dyDescent="0.2">
      <c r="H772" s="117"/>
      <c r="I772" s="117"/>
    </row>
    <row r="773" spans="8:9" x14ac:dyDescent="0.2">
      <c r="H773" s="117"/>
      <c r="I773" s="117"/>
    </row>
    <row r="774" spans="8:9" x14ac:dyDescent="0.2">
      <c r="H774" s="117"/>
      <c r="I774" s="117"/>
    </row>
    <row r="775" spans="8:9" x14ac:dyDescent="0.2">
      <c r="H775" s="117"/>
      <c r="I775" s="117"/>
    </row>
    <row r="776" spans="8:9" x14ac:dyDescent="0.2">
      <c r="H776" s="117"/>
      <c r="I776" s="117"/>
    </row>
    <row r="777" spans="8:9" x14ac:dyDescent="0.2">
      <c r="H777" s="117"/>
      <c r="I777" s="117"/>
    </row>
    <row r="778" spans="8:9" x14ac:dyDescent="0.2">
      <c r="H778" s="117"/>
      <c r="I778" s="117"/>
    </row>
    <row r="779" spans="8:9" x14ac:dyDescent="0.2">
      <c r="H779" s="117"/>
      <c r="I779" s="117"/>
    </row>
    <row r="780" spans="8:9" x14ac:dyDescent="0.2">
      <c r="H780" s="117"/>
      <c r="I780" s="117"/>
    </row>
    <row r="781" spans="8:9" x14ac:dyDescent="0.2">
      <c r="H781" s="117"/>
      <c r="I781" s="117"/>
    </row>
    <row r="782" spans="8:9" x14ac:dyDescent="0.2">
      <c r="H782" s="117"/>
      <c r="I782" s="117"/>
    </row>
    <row r="783" spans="8:9" x14ac:dyDescent="0.2">
      <c r="H783" s="117"/>
      <c r="I783" s="117"/>
    </row>
    <row r="784" spans="8:9" x14ac:dyDescent="0.2">
      <c r="H784" s="117"/>
      <c r="I784" s="117"/>
    </row>
    <row r="785" spans="8:9" x14ac:dyDescent="0.2">
      <c r="H785" s="117"/>
      <c r="I785" s="117"/>
    </row>
    <row r="786" spans="8:9" x14ac:dyDescent="0.2">
      <c r="H786" s="117"/>
      <c r="I786" s="117"/>
    </row>
    <row r="787" spans="8:9" x14ac:dyDescent="0.2">
      <c r="H787" s="117"/>
      <c r="I787" s="117"/>
    </row>
    <row r="788" spans="8:9" x14ac:dyDescent="0.2">
      <c r="H788" s="117"/>
      <c r="I788" s="117"/>
    </row>
    <row r="789" spans="8:9" x14ac:dyDescent="0.2">
      <c r="H789" s="117"/>
      <c r="I789" s="117"/>
    </row>
    <row r="790" spans="8:9" x14ac:dyDescent="0.2">
      <c r="H790" s="117"/>
      <c r="I790" s="117"/>
    </row>
    <row r="791" spans="8:9" x14ac:dyDescent="0.2">
      <c r="H791" s="117"/>
      <c r="I791" s="117"/>
    </row>
    <row r="792" spans="8:9" x14ac:dyDescent="0.2">
      <c r="H792" s="117"/>
      <c r="I792" s="117"/>
    </row>
    <row r="793" spans="8:9" x14ac:dyDescent="0.2">
      <c r="H793" s="117"/>
      <c r="I793" s="117"/>
    </row>
    <row r="794" spans="8:9" x14ac:dyDescent="0.2">
      <c r="H794" s="117"/>
      <c r="I794" s="117"/>
    </row>
    <row r="795" spans="8:9" x14ac:dyDescent="0.2">
      <c r="H795" s="117"/>
      <c r="I795" s="117"/>
    </row>
    <row r="796" spans="8:9" x14ac:dyDescent="0.2">
      <c r="H796" s="117"/>
      <c r="I796" s="117"/>
    </row>
    <row r="797" spans="8:9" x14ac:dyDescent="0.2">
      <c r="H797" s="117"/>
      <c r="I797" s="117"/>
    </row>
    <row r="798" spans="8:9" x14ac:dyDescent="0.2">
      <c r="H798" s="117"/>
      <c r="I798" s="117"/>
    </row>
    <row r="799" spans="8:9" x14ac:dyDescent="0.2">
      <c r="H799" s="117"/>
      <c r="I799" s="117"/>
    </row>
    <row r="800" spans="8:9" x14ac:dyDescent="0.2">
      <c r="H800" s="117"/>
      <c r="I800" s="117"/>
    </row>
    <row r="801" spans="8:9" x14ac:dyDescent="0.2">
      <c r="H801" s="117"/>
      <c r="I801" s="117"/>
    </row>
    <row r="802" spans="8:9" x14ac:dyDescent="0.2">
      <c r="H802" s="117"/>
      <c r="I802" s="117"/>
    </row>
    <row r="803" spans="8:9" x14ac:dyDescent="0.2">
      <c r="H803" s="117"/>
      <c r="I803" s="117"/>
    </row>
    <row r="804" spans="8:9" x14ac:dyDescent="0.2">
      <c r="H804" s="117"/>
      <c r="I804" s="117"/>
    </row>
    <row r="805" spans="8:9" x14ac:dyDescent="0.2">
      <c r="H805" s="117"/>
      <c r="I805" s="117"/>
    </row>
    <row r="806" spans="8:9" x14ac:dyDescent="0.2">
      <c r="H806" s="117"/>
      <c r="I806" s="117"/>
    </row>
    <row r="807" spans="8:9" x14ac:dyDescent="0.2">
      <c r="H807" s="117"/>
      <c r="I807" s="117"/>
    </row>
    <row r="808" spans="8:9" x14ac:dyDescent="0.2">
      <c r="H808" s="117"/>
      <c r="I808" s="117"/>
    </row>
    <row r="809" spans="8:9" x14ac:dyDescent="0.2">
      <c r="H809" s="117"/>
      <c r="I809" s="117"/>
    </row>
    <row r="810" spans="8:9" x14ac:dyDescent="0.2">
      <c r="H810" s="117"/>
      <c r="I810" s="117"/>
    </row>
    <row r="811" spans="8:9" x14ac:dyDescent="0.2">
      <c r="H811" s="117"/>
      <c r="I811" s="117"/>
    </row>
    <row r="812" spans="8:9" x14ac:dyDescent="0.2">
      <c r="H812" s="117"/>
      <c r="I812" s="117"/>
    </row>
    <row r="813" spans="8:9" x14ac:dyDescent="0.2">
      <c r="H813" s="117"/>
      <c r="I813" s="117"/>
    </row>
    <row r="814" spans="8:9" x14ac:dyDescent="0.2">
      <c r="H814" s="117"/>
      <c r="I814" s="117"/>
    </row>
    <row r="815" spans="8:9" x14ac:dyDescent="0.2">
      <c r="H815" s="117"/>
      <c r="I815" s="117"/>
    </row>
    <row r="816" spans="8:9" x14ac:dyDescent="0.2">
      <c r="H816" s="117"/>
      <c r="I816" s="117"/>
    </row>
    <row r="817" spans="8:9" x14ac:dyDescent="0.2">
      <c r="H817" s="117"/>
      <c r="I817" s="117"/>
    </row>
    <row r="818" spans="8:9" x14ac:dyDescent="0.2">
      <c r="H818" s="117"/>
      <c r="I818" s="117"/>
    </row>
    <row r="819" spans="8:9" x14ac:dyDescent="0.2">
      <c r="H819" s="117"/>
      <c r="I819" s="117"/>
    </row>
    <row r="820" spans="8:9" x14ac:dyDescent="0.2">
      <c r="H820" s="117"/>
      <c r="I820" s="117"/>
    </row>
    <row r="821" spans="8:9" x14ac:dyDescent="0.2">
      <c r="H821" s="117"/>
      <c r="I821" s="117"/>
    </row>
    <row r="822" spans="8:9" x14ac:dyDescent="0.2">
      <c r="H822" s="117"/>
      <c r="I822" s="117"/>
    </row>
    <row r="823" spans="8:9" x14ac:dyDescent="0.2">
      <c r="H823" s="117"/>
      <c r="I823" s="117"/>
    </row>
    <row r="824" spans="8:9" x14ac:dyDescent="0.2">
      <c r="H824" s="117"/>
      <c r="I824" s="117"/>
    </row>
    <row r="825" spans="8:9" x14ac:dyDescent="0.2">
      <c r="H825" s="117"/>
      <c r="I825" s="117"/>
    </row>
    <row r="826" spans="8:9" x14ac:dyDescent="0.2">
      <c r="H826" s="117"/>
      <c r="I826" s="117"/>
    </row>
    <row r="827" spans="8:9" x14ac:dyDescent="0.2">
      <c r="H827" s="117"/>
      <c r="I827" s="117"/>
    </row>
    <row r="828" spans="8:9" x14ac:dyDescent="0.2">
      <c r="H828" s="117"/>
      <c r="I828" s="117"/>
    </row>
    <row r="829" spans="8:9" x14ac:dyDescent="0.2">
      <c r="H829" s="117"/>
      <c r="I829" s="117"/>
    </row>
    <row r="830" spans="8:9" x14ac:dyDescent="0.2">
      <c r="H830" s="117"/>
      <c r="I830" s="117"/>
    </row>
    <row r="831" spans="8:9" x14ac:dyDescent="0.2">
      <c r="H831" s="117"/>
      <c r="I831" s="117"/>
    </row>
    <row r="832" spans="8:9" x14ac:dyDescent="0.2">
      <c r="H832" s="117"/>
      <c r="I832" s="117"/>
    </row>
    <row r="833" spans="8:9" x14ac:dyDescent="0.2">
      <c r="H833" s="117"/>
      <c r="I833" s="117"/>
    </row>
    <row r="834" spans="8:9" x14ac:dyDescent="0.2">
      <c r="H834" s="117"/>
      <c r="I834" s="117"/>
    </row>
    <row r="835" spans="8:9" x14ac:dyDescent="0.2">
      <c r="H835" s="117"/>
      <c r="I835" s="117"/>
    </row>
    <row r="836" spans="8:9" x14ac:dyDescent="0.2">
      <c r="H836" s="117"/>
      <c r="I836" s="117"/>
    </row>
    <row r="837" spans="8:9" x14ac:dyDescent="0.2">
      <c r="H837" s="117"/>
      <c r="I837" s="117"/>
    </row>
    <row r="838" spans="8:9" x14ac:dyDescent="0.2">
      <c r="H838" s="117"/>
      <c r="I838" s="117"/>
    </row>
    <row r="839" spans="8:9" x14ac:dyDescent="0.2">
      <c r="H839" s="117"/>
      <c r="I839" s="117"/>
    </row>
    <row r="840" spans="8:9" x14ac:dyDescent="0.2">
      <c r="H840" s="117"/>
      <c r="I840" s="117"/>
    </row>
    <row r="841" spans="8:9" x14ac:dyDescent="0.2">
      <c r="H841" s="117"/>
      <c r="I841" s="117"/>
    </row>
    <row r="842" spans="8:9" x14ac:dyDescent="0.2">
      <c r="H842" s="117"/>
      <c r="I842" s="117"/>
    </row>
    <row r="843" spans="8:9" x14ac:dyDescent="0.2">
      <c r="H843" s="117"/>
      <c r="I843" s="117"/>
    </row>
    <row r="844" spans="8:9" x14ac:dyDescent="0.2">
      <c r="H844" s="117"/>
      <c r="I844" s="117"/>
    </row>
    <row r="845" spans="8:9" x14ac:dyDescent="0.2">
      <c r="H845" s="117"/>
      <c r="I845" s="117"/>
    </row>
    <row r="846" spans="8:9" x14ac:dyDescent="0.2">
      <c r="H846" s="117"/>
      <c r="I846" s="117"/>
    </row>
    <row r="847" spans="8:9" x14ac:dyDescent="0.2">
      <c r="H847" s="117"/>
      <c r="I847" s="117"/>
    </row>
    <row r="848" spans="8:9" x14ac:dyDescent="0.2">
      <c r="H848" s="117"/>
      <c r="I848" s="117"/>
    </row>
    <row r="849" spans="8:9" x14ac:dyDescent="0.2">
      <c r="H849" s="117"/>
      <c r="I849" s="117"/>
    </row>
    <row r="850" spans="8:9" x14ac:dyDescent="0.2">
      <c r="H850" s="117"/>
      <c r="I850" s="117"/>
    </row>
    <row r="851" spans="8:9" x14ac:dyDescent="0.2">
      <c r="H851" s="117"/>
      <c r="I851" s="117"/>
    </row>
    <row r="852" spans="8:9" x14ac:dyDescent="0.2">
      <c r="H852" s="117"/>
      <c r="I852" s="117"/>
    </row>
    <row r="853" spans="8:9" x14ac:dyDescent="0.2">
      <c r="H853" s="117"/>
      <c r="I853" s="117"/>
    </row>
    <row r="854" spans="8:9" x14ac:dyDescent="0.2">
      <c r="H854" s="117"/>
      <c r="I854" s="117"/>
    </row>
    <row r="855" spans="8:9" x14ac:dyDescent="0.2">
      <c r="H855" s="117"/>
      <c r="I855" s="117"/>
    </row>
    <row r="856" spans="8:9" x14ac:dyDescent="0.2">
      <c r="H856" s="117"/>
      <c r="I856" s="117"/>
    </row>
    <row r="857" spans="8:9" x14ac:dyDescent="0.2">
      <c r="H857" s="117"/>
      <c r="I857" s="117"/>
    </row>
    <row r="858" spans="8:9" x14ac:dyDescent="0.2">
      <c r="H858" s="117"/>
      <c r="I858" s="117"/>
    </row>
    <row r="859" spans="8:9" x14ac:dyDescent="0.2">
      <c r="H859" s="117"/>
      <c r="I859" s="117"/>
    </row>
    <row r="860" spans="8:9" x14ac:dyDescent="0.2">
      <c r="H860" s="117"/>
      <c r="I860" s="117"/>
    </row>
    <row r="861" spans="8:9" x14ac:dyDescent="0.2">
      <c r="H861" s="117"/>
      <c r="I861" s="117"/>
    </row>
    <row r="862" spans="8:9" x14ac:dyDescent="0.2">
      <c r="H862" s="117"/>
      <c r="I862" s="117"/>
    </row>
    <row r="863" spans="8:9" x14ac:dyDescent="0.2">
      <c r="H863" s="117"/>
      <c r="I863" s="117"/>
    </row>
    <row r="864" spans="8:9" x14ac:dyDescent="0.2">
      <c r="H864" s="117"/>
      <c r="I864" s="117"/>
    </row>
    <row r="865" spans="8:9" x14ac:dyDescent="0.2">
      <c r="H865" s="117"/>
      <c r="I865" s="117"/>
    </row>
    <row r="866" spans="8:9" x14ac:dyDescent="0.2">
      <c r="H866" s="117"/>
      <c r="I866" s="117"/>
    </row>
    <row r="867" spans="8:9" x14ac:dyDescent="0.2">
      <c r="H867" s="117"/>
      <c r="I867" s="117"/>
    </row>
    <row r="868" spans="8:9" x14ac:dyDescent="0.2">
      <c r="H868" s="117"/>
      <c r="I868" s="117"/>
    </row>
    <row r="869" spans="8:9" x14ac:dyDescent="0.2">
      <c r="H869" s="117"/>
      <c r="I869" s="117"/>
    </row>
    <row r="870" spans="8:9" x14ac:dyDescent="0.2">
      <c r="H870" s="117"/>
      <c r="I870" s="117"/>
    </row>
    <row r="871" spans="8:9" x14ac:dyDescent="0.2">
      <c r="H871" s="117"/>
      <c r="I871" s="117"/>
    </row>
    <row r="872" spans="8:9" x14ac:dyDescent="0.2">
      <c r="H872" s="117"/>
      <c r="I872" s="117"/>
    </row>
    <row r="873" spans="8:9" x14ac:dyDescent="0.2">
      <c r="H873" s="117"/>
      <c r="I873" s="117"/>
    </row>
    <row r="874" spans="8:9" x14ac:dyDescent="0.2">
      <c r="H874" s="117"/>
      <c r="I874" s="117"/>
    </row>
    <row r="875" spans="8:9" x14ac:dyDescent="0.2">
      <c r="H875" s="117"/>
      <c r="I875" s="117"/>
    </row>
    <row r="876" spans="8:9" x14ac:dyDescent="0.2">
      <c r="H876" s="117"/>
      <c r="I876" s="117"/>
    </row>
    <row r="877" spans="8:9" x14ac:dyDescent="0.2">
      <c r="H877" s="117"/>
      <c r="I877" s="117"/>
    </row>
    <row r="878" spans="8:9" x14ac:dyDescent="0.2">
      <c r="H878" s="117"/>
      <c r="I878" s="117"/>
    </row>
    <row r="879" spans="8:9" x14ac:dyDescent="0.2">
      <c r="H879" s="117"/>
      <c r="I879" s="117"/>
    </row>
    <row r="880" spans="8:9" x14ac:dyDescent="0.2">
      <c r="H880" s="117"/>
      <c r="I880" s="117"/>
    </row>
    <row r="881" spans="8:9" x14ac:dyDescent="0.2">
      <c r="H881" s="117"/>
      <c r="I881" s="117"/>
    </row>
    <row r="882" spans="8:9" x14ac:dyDescent="0.2">
      <c r="H882" s="117"/>
      <c r="I882" s="117"/>
    </row>
    <row r="883" spans="8:9" x14ac:dyDescent="0.2">
      <c r="H883" s="117"/>
      <c r="I883" s="117"/>
    </row>
    <row r="884" spans="8:9" x14ac:dyDescent="0.2">
      <c r="H884" s="117"/>
      <c r="I884" s="117"/>
    </row>
    <row r="885" spans="8:9" x14ac:dyDescent="0.2">
      <c r="H885" s="117"/>
      <c r="I885" s="117"/>
    </row>
    <row r="886" spans="8:9" x14ac:dyDescent="0.2">
      <c r="H886" s="117"/>
      <c r="I886" s="117"/>
    </row>
    <row r="887" spans="8:9" x14ac:dyDescent="0.2">
      <c r="H887" s="117"/>
      <c r="I887" s="117"/>
    </row>
    <row r="888" spans="8:9" x14ac:dyDescent="0.2">
      <c r="H888" s="117"/>
      <c r="I888" s="117"/>
    </row>
    <row r="889" spans="8:9" x14ac:dyDescent="0.2">
      <c r="H889" s="117"/>
      <c r="I889" s="117"/>
    </row>
    <row r="890" spans="8:9" x14ac:dyDescent="0.2">
      <c r="H890" s="117"/>
      <c r="I890" s="117"/>
    </row>
    <row r="891" spans="8:9" x14ac:dyDescent="0.2">
      <c r="H891" s="117"/>
      <c r="I891" s="117"/>
    </row>
    <row r="892" spans="8:9" x14ac:dyDescent="0.2">
      <c r="H892" s="117"/>
      <c r="I892" s="117"/>
    </row>
    <row r="893" spans="8:9" x14ac:dyDescent="0.2">
      <c r="H893" s="117"/>
      <c r="I893" s="117"/>
    </row>
    <row r="894" spans="8:9" x14ac:dyDescent="0.2">
      <c r="H894" s="117"/>
      <c r="I894" s="117"/>
    </row>
    <row r="895" spans="8:9" x14ac:dyDescent="0.2">
      <c r="H895" s="117"/>
      <c r="I895" s="117"/>
    </row>
    <row r="896" spans="8:9" x14ac:dyDescent="0.2">
      <c r="H896" s="117"/>
      <c r="I896" s="117"/>
    </row>
    <row r="897" spans="8:9" x14ac:dyDescent="0.2">
      <c r="H897" s="117"/>
      <c r="I897" s="117"/>
    </row>
    <row r="898" spans="8:9" x14ac:dyDescent="0.2">
      <c r="H898" s="117"/>
      <c r="I898" s="117"/>
    </row>
    <row r="899" spans="8:9" x14ac:dyDescent="0.2">
      <c r="H899" s="117"/>
      <c r="I899" s="117"/>
    </row>
    <row r="900" spans="8:9" x14ac:dyDescent="0.2">
      <c r="H900" s="117"/>
      <c r="I900" s="117"/>
    </row>
    <row r="901" spans="8:9" x14ac:dyDescent="0.2">
      <c r="H901" s="117"/>
      <c r="I901" s="117"/>
    </row>
    <row r="902" spans="8:9" x14ac:dyDescent="0.2">
      <c r="H902" s="117"/>
      <c r="I902" s="117"/>
    </row>
    <row r="903" spans="8:9" x14ac:dyDescent="0.2">
      <c r="H903" s="117"/>
      <c r="I903" s="117"/>
    </row>
    <row r="904" spans="8:9" x14ac:dyDescent="0.2">
      <c r="H904" s="117"/>
      <c r="I904" s="117"/>
    </row>
  </sheetData>
  <sortState ref="A47:GP48">
    <sortCondition ref="C47:C48"/>
  </sortState>
  <mergeCells count="3">
    <mergeCell ref="H2:I2"/>
    <mergeCell ref="AP2:AQ2"/>
    <mergeCell ref="AT2:AU2"/>
  </mergeCells>
  <phoneticPr fontId="6" type="noConversion"/>
  <pageMargins left="0.15748031496062992" right="0.19685039370078741" top="0.23622047244094491" bottom="0.23622047244094491" header="0.15748031496062992" footer="0.23622047244094491"/>
  <pageSetup paperSize="9" scale="85" orientation="landscape" r:id="rId1"/>
  <headerFooter alignWithMargins="0">
    <oddHeader xml:space="preserve">&amp;R&amp;P+5 . strana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H28" sqref="H28"/>
    </sheetView>
  </sheetViews>
  <sheetFormatPr defaultRowHeight="12.75" x14ac:dyDescent="0.2"/>
  <cols>
    <col min="1" max="1" width="6" style="539" customWidth="1"/>
    <col min="2" max="2" width="39.7109375" customWidth="1"/>
  </cols>
  <sheetData>
    <row r="2" spans="1:3" x14ac:dyDescent="0.2">
      <c r="B2" s="639" t="s">
        <v>603</v>
      </c>
    </row>
    <row r="3" spans="1:3" x14ac:dyDescent="0.2">
      <c r="B3" s="639" t="s">
        <v>598</v>
      </c>
    </row>
    <row r="4" spans="1:3" x14ac:dyDescent="0.2">
      <c r="A4" s="640"/>
      <c r="B4" s="642" t="s">
        <v>613</v>
      </c>
      <c r="C4" s="641">
        <f>sumář!P9</f>
        <v>102820</v>
      </c>
    </row>
    <row r="5" spans="1:3" x14ac:dyDescent="0.2">
      <c r="A5" s="640"/>
      <c r="B5" s="642" t="s">
        <v>614</v>
      </c>
      <c r="C5" s="641">
        <f>sumář!P10</f>
        <v>26505</v>
      </c>
    </row>
    <row r="6" spans="1:3" x14ac:dyDescent="0.2">
      <c r="A6" s="640"/>
      <c r="B6" s="642" t="s">
        <v>615</v>
      </c>
      <c r="C6" s="641">
        <f>sumář!P11</f>
        <v>7115</v>
      </c>
    </row>
    <row r="7" spans="1:3" x14ac:dyDescent="0.2">
      <c r="A7" s="640"/>
      <c r="B7" s="642" t="s">
        <v>10</v>
      </c>
      <c r="C7" s="641">
        <f>sumář!P12</f>
        <v>40023</v>
      </c>
    </row>
    <row r="8" spans="1:3" x14ac:dyDescent="0.2">
      <c r="A8" s="640"/>
      <c r="B8" s="643" t="s">
        <v>11</v>
      </c>
      <c r="C8" s="644">
        <f>SUM(C4:C7)</f>
        <v>176463</v>
      </c>
    </row>
    <row r="10" spans="1:3" x14ac:dyDescent="0.2">
      <c r="A10" s="539" t="s">
        <v>600</v>
      </c>
      <c r="B10" s="639" t="s">
        <v>599</v>
      </c>
    </row>
    <row r="11" spans="1:3" x14ac:dyDescent="0.2">
      <c r="A11" s="640">
        <v>10</v>
      </c>
      <c r="B11" s="645" t="s">
        <v>619</v>
      </c>
      <c r="C11" s="647">
        <f>výdaje!AF5</f>
        <v>1316</v>
      </c>
    </row>
    <row r="12" spans="1:3" x14ac:dyDescent="0.2">
      <c r="A12" s="640">
        <v>21</v>
      </c>
      <c r="B12" s="645" t="s">
        <v>251</v>
      </c>
      <c r="C12" s="647">
        <f>výdaje!AF8</f>
        <v>1549</v>
      </c>
    </row>
    <row r="13" spans="1:3" x14ac:dyDescent="0.2">
      <c r="A13" s="640">
        <v>22.23</v>
      </c>
      <c r="B13" s="645" t="s">
        <v>70</v>
      </c>
      <c r="C13" s="647">
        <f>výdaje!AF14</f>
        <v>24275</v>
      </c>
    </row>
    <row r="14" spans="1:3" x14ac:dyDescent="0.2">
      <c r="A14" s="546">
        <v>31</v>
      </c>
      <c r="B14" s="645" t="s">
        <v>601</v>
      </c>
      <c r="C14" s="647">
        <f>výdaje!AF31</f>
        <v>30272</v>
      </c>
    </row>
    <row r="15" spans="1:3" x14ac:dyDescent="0.2">
      <c r="A15" s="546">
        <v>33</v>
      </c>
      <c r="B15" s="645" t="s">
        <v>72</v>
      </c>
      <c r="C15" s="647">
        <f>výdaje!AF48</f>
        <v>11085</v>
      </c>
    </row>
    <row r="16" spans="1:3" x14ac:dyDescent="0.2">
      <c r="A16" s="546">
        <v>34</v>
      </c>
      <c r="B16" s="645" t="s">
        <v>74</v>
      </c>
      <c r="C16" s="647">
        <f>výdaje!AF61</f>
        <v>15880</v>
      </c>
    </row>
    <row r="17" spans="1:3" x14ac:dyDescent="0.2">
      <c r="A17" s="546">
        <v>35</v>
      </c>
      <c r="B17" s="645" t="s">
        <v>115</v>
      </c>
      <c r="C17" s="647">
        <f>výdaje!AF69</f>
        <v>1143</v>
      </c>
    </row>
    <row r="18" spans="1:3" x14ac:dyDescent="0.2">
      <c r="A18" s="546">
        <v>36</v>
      </c>
      <c r="B18" s="645" t="s">
        <v>75</v>
      </c>
      <c r="C18" s="648">
        <f>výdaje!AF71</f>
        <v>37952</v>
      </c>
    </row>
    <row r="19" spans="1:3" x14ac:dyDescent="0.2">
      <c r="A19" s="546">
        <v>37</v>
      </c>
      <c r="B19" s="645" t="s">
        <v>116</v>
      </c>
      <c r="C19" s="647">
        <f>výdaje!AF95</f>
        <v>12625</v>
      </c>
    </row>
    <row r="20" spans="1:3" x14ac:dyDescent="0.2">
      <c r="A20" s="546">
        <v>43</v>
      </c>
      <c r="B20" s="645" t="s">
        <v>80</v>
      </c>
      <c r="C20" s="647">
        <f>výdaje!AF104</f>
        <v>9434</v>
      </c>
    </row>
    <row r="21" spans="1:3" x14ac:dyDescent="0.2">
      <c r="A21" s="655" t="s">
        <v>616</v>
      </c>
      <c r="B21" s="645" t="s">
        <v>617</v>
      </c>
      <c r="C21" s="647">
        <f>výdaje!AF111</f>
        <v>3478</v>
      </c>
    </row>
    <row r="22" spans="1:3" x14ac:dyDescent="0.2">
      <c r="A22" s="546">
        <v>61</v>
      </c>
      <c r="B22" s="645" t="s">
        <v>82</v>
      </c>
      <c r="C22" s="647">
        <f>výdaje!AF115</f>
        <v>63683</v>
      </c>
    </row>
    <row r="23" spans="1:3" x14ac:dyDescent="0.2">
      <c r="A23" s="546">
        <v>63.64</v>
      </c>
      <c r="B23" s="645" t="s">
        <v>85</v>
      </c>
      <c r="C23" s="647">
        <f>výdaje!AF123</f>
        <v>11358</v>
      </c>
    </row>
    <row r="24" spans="1:3" x14ac:dyDescent="0.2">
      <c r="A24" s="640"/>
      <c r="B24" s="646" t="s">
        <v>87</v>
      </c>
      <c r="C24" s="644">
        <f>SUM(C11:C23)</f>
        <v>224050</v>
      </c>
    </row>
    <row r="25" spans="1:3" x14ac:dyDescent="0.2">
      <c r="B25" s="639" t="s">
        <v>602</v>
      </c>
      <c r="C25" s="638">
        <f>C8-C24</f>
        <v>-47587</v>
      </c>
    </row>
    <row r="26" spans="1:3" s="539" customFormat="1" x14ac:dyDescent="0.2">
      <c r="C26" s="457"/>
    </row>
    <row r="27" spans="1:3" x14ac:dyDescent="0.2">
      <c r="B27" s="639" t="s">
        <v>605</v>
      </c>
    </row>
    <row r="28" spans="1:3" x14ac:dyDescent="0.2">
      <c r="A28" s="640"/>
      <c r="B28" s="642" t="s">
        <v>618</v>
      </c>
      <c r="C28" s="641">
        <f>sumář!P21</f>
        <v>-2220</v>
      </c>
    </row>
    <row r="29" spans="1:3" x14ac:dyDescent="0.2">
      <c r="A29" s="640"/>
      <c r="B29" s="642" t="s">
        <v>407</v>
      </c>
      <c r="C29" s="641">
        <f>sumář!P23</f>
        <v>18000</v>
      </c>
    </row>
    <row r="30" spans="1:3" x14ac:dyDescent="0.2">
      <c r="A30" s="640"/>
      <c r="B30" s="642" t="s">
        <v>604</v>
      </c>
      <c r="C30" s="641">
        <f>sumář!P25</f>
        <v>31807</v>
      </c>
    </row>
    <row r="31" spans="1:3" x14ac:dyDescent="0.2">
      <c r="A31" s="640"/>
      <c r="B31" s="649" t="s">
        <v>18</v>
      </c>
      <c r="C31" s="644">
        <f>SUM(C28:C30)</f>
        <v>47587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&amp;R9.strana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P37"/>
  <sheetViews>
    <sheetView workbookViewId="0">
      <selection activeCell="E45" sqref="E45"/>
    </sheetView>
  </sheetViews>
  <sheetFormatPr defaultColWidth="7.85546875" defaultRowHeight="12.75" x14ac:dyDescent="0.2"/>
  <cols>
    <col min="1" max="2" width="7.85546875" style="95" customWidth="1"/>
    <col min="3" max="3" width="4.28515625" style="95" customWidth="1"/>
    <col min="4" max="4" width="16.28515625" style="21" customWidth="1"/>
    <col min="5" max="5" width="6.5703125" style="95" customWidth="1"/>
    <col min="6" max="6" width="7.85546875" style="95" customWidth="1"/>
    <col min="7" max="7" width="7.28515625" style="95" customWidth="1"/>
    <col min="8" max="9" width="7.85546875" style="95" customWidth="1"/>
    <col min="10" max="11" width="10" style="117" customWidth="1"/>
    <col min="12" max="16384" width="7.85546875" style="95"/>
  </cols>
  <sheetData>
    <row r="1" spans="1:16" ht="15.75" x14ac:dyDescent="0.25">
      <c r="A1" s="1" t="s">
        <v>512</v>
      </c>
      <c r="E1" s="258"/>
      <c r="G1" s="258"/>
      <c r="I1" s="258"/>
    </row>
    <row r="2" spans="1:16" x14ac:dyDescent="0.2">
      <c r="A2" s="117"/>
      <c r="B2" s="117"/>
      <c r="C2" s="117"/>
      <c r="D2" s="98"/>
      <c r="E2" s="258"/>
      <c r="G2" s="258"/>
      <c r="I2" s="258"/>
    </row>
    <row r="3" spans="1:16" ht="13.5" thickBot="1" x14ac:dyDescent="0.25">
      <c r="E3" s="258"/>
      <c r="G3" s="258"/>
      <c r="I3" s="258"/>
    </row>
    <row r="4" spans="1:16" ht="13.5" thickBot="1" x14ac:dyDescent="0.25">
      <c r="A4" s="371"/>
      <c r="B4" s="259"/>
      <c r="C4" s="259"/>
      <c r="D4" s="260"/>
      <c r="E4" s="261"/>
      <c r="F4" s="262" t="s">
        <v>208</v>
      </c>
      <c r="G4" s="263"/>
      <c r="H4" s="262" t="s">
        <v>209</v>
      </c>
      <c r="I4" s="264" t="s">
        <v>210</v>
      </c>
      <c r="J4" s="447"/>
      <c r="K4" s="448" t="s">
        <v>90</v>
      </c>
    </row>
    <row r="5" spans="1:16" x14ac:dyDescent="0.2">
      <c r="A5" s="214"/>
      <c r="B5" s="129"/>
      <c r="C5" s="129"/>
      <c r="D5" s="265"/>
      <c r="E5" s="266" t="s">
        <v>211</v>
      </c>
      <c r="F5" s="267"/>
      <c r="G5" s="266" t="s">
        <v>211</v>
      </c>
      <c r="H5" s="267"/>
      <c r="I5" s="266" t="s">
        <v>212</v>
      </c>
      <c r="J5" s="449"/>
      <c r="K5" s="450" t="s">
        <v>213</v>
      </c>
    </row>
    <row r="6" spans="1:16" ht="13.5" thickBot="1" x14ac:dyDescent="0.25">
      <c r="A6" s="218"/>
      <c r="B6" s="130"/>
      <c r="C6" s="130"/>
      <c r="D6" s="268"/>
      <c r="E6" s="269" t="s">
        <v>93</v>
      </c>
      <c r="F6" s="270" t="s">
        <v>214</v>
      </c>
      <c r="G6" s="269" t="s">
        <v>93</v>
      </c>
      <c r="H6" s="270" t="s">
        <v>214</v>
      </c>
      <c r="I6" s="269" t="s">
        <v>215</v>
      </c>
      <c r="J6" s="270" t="s">
        <v>214</v>
      </c>
      <c r="K6" s="451" t="s">
        <v>216</v>
      </c>
    </row>
    <row r="7" spans="1:16" x14ac:dyDescent="0.2">
      <c r="A7" s="215" t="s">
        <v>94</v>
      </c>
      <c r="B7" s="129"/>
      <c r="C7" s="129"/>
      <c r="D7" s="265"/>
      <c r="E7" s="271">
        <f>+příjmy!H42</f>
        <v>400</v>
      </c>
      <c r="F7" s="272">
        <f>+příjmy!O42</f>
        <v>338.40895999999998</v>
      </c>
      <c r="G7" s="273">
        <f>výdaje!L6</f>
        <v>1687.12</v>
      </c>
      <c r="H7" s="272">
        <f>+výdaje!AA6</f>
        <v>1546.9340999999999</v>
      </c>
      <c r="I7" s="271"/>
      <c r="J7" s="272"/>
      <c r="K7" s="274"/>
    </row>
    <row r="8" spans="1:16" x14ac:dyDescent="0.2">
      <c r="A8" s="372"/>
      <c r="B8" s="131"/>
      <c r="C8" s="22" t="s">
        <v>217</v>
      </c>
      <c r="D8" s="275"/>
      <c r="E8" s="276">
        <f>SUM(E7:E7)</f>
        <v>400</v>
      </c>
      <c r="F8" s="277">
        <f>SUM(F7:F7)</f>
        <v>338.40895999999998</v>
      </c>
      <c r="G8" s="276">
        <f>SUM(G7:G7)</f>
        <v>1687.12</v>
      </c>
      <c r="H8" s="277">
        <f>SUM(H7:H7)</f>
        <v>1546.9340999999999</v>
      </c>
      <c r="I8" s="276">
        <f>E8-G8</f>
        <v>-1287.1199999999999</v>
      </c>
      <c r="J8" s="277">
        <f>F8-H8</f>
        <v>-1208.52514</v>
      </c>
      <c r="K8" s="279">
        <f>J8-I8</f>
        <v>78.594859999999926</v>
      </c>
    </row>
    <row r="9" spans="1:16" x14ac:dyDescent="0.2">
      <c r="A9" s="373" t="s">
        <v>218</v>
      </c>
      <c r="B9" s="129"/>
      <c r="C9" s="129"/>
      <c r="D9" s="265"/>
      <c r="E9" s="266"/>
      <c r="F9" s="280"/>
      <c r="G9" s="266"/>
      <c r="H9" s="280"/>
      <c r="I9" s="266"/>
      <c r="J9" s="280"/>
      <c r="K9" s="281"/>
    </row>
    <row r="10" spans="1:16" x14ac:dyDescent="0.2">
      <c r="A10" s="374"/>
      <c r="B10" s="131"/>
      <c r="C10" s="131"/>
      <c r="D10" s="75"/>
      <c r="E10" s="276">
        <f>+příjmy!H64</f>
        <v>1384</v>
      </c>
      <c r="F10" s="278">
        <f>+příjmy!O64</f>
        <v>1386.4696999999999</v>
      </c>
      <c r="G10" s="276">
        <f>+výdaje!L10</f>
        <v>400</v>
      </c>
      <c r="H10" s="278">
        <f>+výdaje!AA10</f>
        <v>341.11443000000003</v>
      </c>
      <c r="I10" s="276">
        <f>E10-G10</f>
        <v>984</v>
      </c>
      <c r="J10" s="277">
        <f>F10-H10</f>
        <v>1045.3552699999998</v>
      </c>
      <c r="K10" s="279">
        <f>J10-I10</f>
        <v>61.355269999999791</v>
      </c>
    </row>
    <row r="11" spans="1:16" x14ac:dyDescent="0.2">
      <c r="A11" s="215" t="s">
        <v>76</v>
      </c>
      <c r="B11" s="129"/>
      <c r="C11" s="129"/>
      <c r="D11" s="265"/>
      <c r="E11" s="271"/>
      <c r="F11" s="74"/>
      <c r="G11" s="271"/>
      <c r="H11" s="74"/>
      <c r="I11" s="271"/>
      <c r="J11" s="132"/>
      <c r="K11" s="274"/>
    </row>
    <row r="12" spans="1:16" x14ac:dyDescent="0.2">
      <c r="A12" s="214"/>
      <c r="B12" s="129"/>
      <c r="C12" s="129"/>
      <c r="D12" s="265" t="s">
        <v>239</v>
      </c>
      <c r="E12" s="271">
        <f>+příjmy!H67</f>
        <v>7865</v>
      </c>
      <c r="F12" s="272">
        <f>+příjmy!O67</f>
        <v>7852.2379399999991</v>
      </c>
      <c r="G12" s="273">
        <f>+výdaje!L72</f>
        <v>4915</v>
      </c>
      <c r="H12" s="272">
        <f>+výdaje!AA72</f>
        <v>2476.1937899999998</v>
      </c>
      <c r="I12" s="271">
        <f t="shared" ref="I12:J16" si="0">E12-G12</f>
        <v>2950</v>
      </c>
      <c r="J12" s="272">
        <f t="shared" si="0"/>
        <v>5376.0441499999997</v>
      </c>
      <c r="K12" s="274"/>
      <c r="M12" s="113"/>
    </row>
    <row r="13" spans="1:16" x14ac:dyDescent="0.2">
      <c r="A13" s="214"/>
      <c r="B13" s="129"/>
      <c r="C13" s="129"/>
      <c r="D13" s="265" t="s">
        <v>219</v>
      </c>
      <c r="E13" s="271">
        <f>+příjmy!H50</f>
        <v>2050</v>
      </c>
      <c r="F13" s="272">
        <f>+příjmy!O50</f>
        <v>1606.739</v>
      </c>
      <c r="G13" s="273">
        <f>+výdaje!L73</f>
        <v>2050</v>
      </c>
      <c r="H13" s="272">
        <f>+výdaje!AA73</f>
        <v>1953.9216100000001</v>
      </c>
      <c r="I13" s="271">
        <f t="shared" si="0"/>
        <v>0</v>
      </c>
      <c r="J13" s="272">
        <f t="shared" si="0"/>
        <v>-347.18261000000007</v>
      </c>
      <c r="K13" s="274"/>
      <c r="M13" s="113"/>
    </row>
    <row r="14" spans="1:16" x14ac:dyDescent="0.2">
      <c r="A14" s="214"/>
      <c r="B14" s="129"/>
      <c r="C14" s="129"/>
      <c r="D14" s="265" t="s">
        <v>220</v>
      </c>
      <c r="E14" s="271">
        <f>+příjmy!H68</f>
        <v>750</v>
      </c>
      <c r="F14" s="272">
        <f>+příjmy!O68</f>
        <v>682.59199999999998</v>
      </c>
      <c r="G14" s="273">
        <f>+výdaje!L82</f>
        <v>350</v>
      </c>
      <c r="H14" s="272">
        <f>výdaje!AA82</f>
        <v>252.99635000000001</v>
      </c>
      <c r="I14" s="271">
        <f t="shared" si="0"/>
        <v>400</v>
      </c>
      <c r="J14" s="272">
        <f t="shared" si="0"/>
        <v>429.59564999999998</v>
      </c>
      <c r="K14" s="274"/>
      <c r="M14" s="113"/>
    </row>
    <row r="15" spans="1:16" x14ac:dyDescent="0.2">
      <c r="A15" s="214"/>
      <c r="B15" s="129"/>
      <c r="C15" s="129"/>
      <c r="D15" s="265" t="s">
        <v>221</v>
      </c>
      <c r="E15" s="271">
        <f>+příjmy!H51</f>
        <v>300</v>
      </c>
      <c r="F15" s="272">
        <f>+příjmy!O51</f>
        <v>276.02587</v>
      </c>
      <c r="G15" s="273">
        <f>výdaje!L83</f>
        <v>300</v>
      </c>
      <c r="H15" s="272">
        <f>výdaje!AA83</f>
        <v>156.16911999999999</v>
      </c>
      <c r="I15" s="271">
        <f t="shared" si="0"/>
        <v>0</v>
      </c>
      <c r="J15" s="272">
        <f t="shared" si="0"/>
        <v>119.85675000000001</v>
      </c>
      <c r="K15" s="274"/>
      <c r="M15" s="113"/>
    </row>
    <row r="16" spans="1:16" x14ac:dyDescent="0.2">
      <c r="A16" s="372"/>
      <c r="B16" s="131"/>
      <c r="C16" s="22" t="s">
        <v>222</v>
      </c>
      <c r="D16" s="75"/>
      <c r="E16" s="276">
        <f>SUM(E12:E15)</f>
        <v>10965</v>
      </c>
      <c r="F16" s="278">
        <f>SUM(F12:F15)</f>
        <v>10417.594809999999</v>
      </c>
      <c r="G16" s="276">
        <f>SUM(G12:G15)</f>
        <v>7615</v>
      </c>
      <c r="H16" s="278">
        <f>SUM(H12:H15)</f>
        <v>4839.2808699999996</v>
      </c>
      <c r="I16" s="276">
        <f t="shared" si="0"/>
        <v>3350</v>
      </c>
      <c r="J16" s="277">
        <f t="shared" si="0"/>
        <v>5578.3139399999991</v>
      </c>
      <c r="K16" s="279">
        <f>J16-I16</f>
        <v>2228.3139399999991</v>
      </c>
      <c r="M16" s="113"/>
      <c r="P16" s="113"/>
    </row>
    <row r="17" spans="1:12" x14ac:dyDescent="0.2">
      <c r="A17" s="215" t="s">
        <v>223</v>
      </c>
      <c r="B17" s="129"/>
      <c r="C17" s="129"/>
      <c r="D17" s="265" t="s">
        <v>224</v>
      </c>
      <c r="E17" s="273">
        <f>+příjmy!H47</f>
        <v>96</v>
      </c>
      <c r="F17" s="272">
        <f>+příjmy!O47</f>
        <v>100.221</v>
      </c>
      <c r="G17" s="273">
        <f>+výdaje!L49</f>
        <v>2515</v>
      </c>
      <c r="H17" s="272">
        <f>+výdaje!AA49</f>
        <v>1500.3006800000001</v>
      </c>
      <c r="I17" s="271"/>
      <c r="J17" s="272"/>
      <c r="K17" s="274"/>
    </row>
    <row r="18" spans="1:12" x14ac:dyDescent="0.2">
      <c r="A18" s="215"/>
      <c r="B18" s="129"/>
      <c r="C18" s="129"/>
      <c r="D18" s="265" t="s">
        <v>225</v>
      </c>
      <c r="E18" s="271"/>
      <c r="F18" s="132"/>
      <c r="G18" s="271"/>
      <c r="H18" s="132"/>
      <c r="I18" s="271"/>
      <c r="J18" s="132"/>
      <c r="K18" s="274"/>
    </row>
    <row r="19" spans="1:12" x14ac:dyDescent="0.2">
      <c r="A19" s="374"/>
      <c r="B19" s="131"/>
      <c r="C19" s="22" t="s">
        <v>66</v>
      </c>
      <c r="D19" s="275"/>
      <c r="E19" s="276">
        <f>SUM(E17:E18)</f>
        <v>96</v>
      </c>
      <c r="F19" s="278">
        <f>SUM(F17:F18)</f>
        <v>100.221</v>
      </c>
      <c r="G19" s="276">
        <f>SUM(G17:G18)</f>
        <v>2515</v>
      </c>
      <c r="H19" s="278">
        <f>SUM(H17:H18)</f>
        <v>1500.3006800000001</v>
      </c>
      <c r="I19" s="276">
        <f>E19-G19</f>
        <v>-2419</v>
      </c>
      <c r="J19" s="277">
        <f>F19-H19</f>
        <v>-1400.0796800000001</v>
      </c>
      <c r="K19" s="279">
        <f>J19-I19</f>
        <v>1018.9203199999999</v>
      </c>
    </row>
    <row r="20" spans="1:12" x14ac:dyDescent="0.2">
      <c r="A20" s="215" t="s">
        <v>226</v>
      </c>
      <c r="B20" s="129"/>
      <c r="C20" s="129"/>
      <c r="D20" s="265" t="s">
        <v>227</v>
      </c>
      <c r="E20" s="273">
        <f>+příjmy!H49</f>
        <v>100</v>
      </c>
      <c r="F20" s="272">
        <f>+příjmy!O49</f>
        <v>120.20699999999999</v>
      </c>
      <c r="G20" s="271"/>
      <c r="H20" s="272"/>
      <c r="I20" s="271"/>
      <c r="J20" s="452"/>
      <c r="K20" s="274"/>
    </row>
    <row r="21" spans="1:12" x14ac:dyDescent="0.2">
      <c r="A21" s="214"/>
      <c r="B21" s="129"/>
      <c r="C21" s="129"/>
      <c r="D21" s="265" t="s">
        <v>228</v>
      </c>
      <c r="E21" s="273">
        <f>+příjmy!H48</f>
        <v>80</v>
      </c>
      <c r="F21" s="272">
        <f>+příjmy!O48</f>
        <v>82.245000000000005</v>
      </c>
      <c r="G21" s="271"/>
      <c r="H21" s="132"/>
      <c r="I21" s="271"/>
      <c r="J21" s="452"/>
      <c r="K21" s="274"/>
    </row>
    <row r="22" spans="1:12" x14ac:dyDescent="0.2">
      <c r="A22" s="372"/>
      <c r="B22" s="131"/>
      <c r="C22" s="22" t="s">
        <v>66</v>
      </c>
      <c r="D22" s="75"/>
      <c r="E22" s="282">
        <f>SUM(E20:E21)</f>
        <v>180</v>
      </c>
      <c r="F22" s="283">
        <f>SUM(F20:F21)</f>
        <v>202.452</v>
      </c>
      <c r="G22" s="276">
        <f>výdaje!L57</f>
        <v>379</v>
      </c>
      <c r="H22" s="277">
        <f>+výdaje!AA57</f>
        <v>339.3</v>
      </c>
      <c r="I22" s="282">
        <f>E22-G22</f>
        <v>-199</v>
      </c>
      <c r="J22" s="453">
        <f>F22-H22</f>
        <v>-136.84800000000001</v>
      </c>
      <c r="K22" s="284">
        <f>J22-I22</f>
        <v>62.151999999999987</v>
      </c>
    </row>
    <row r="23" spans="1:12" x14ac:dyDescent="0.2">
      <c r="A23" s="215" t="s">
        <v>229</v>
      </c>
      <c r="B23" s="129"/>
      <c r="C23" s="15"/>
      <c r="D23" s="265" t="s">
        <v>230</v>
      </c>
      <c r="E23" s="287">
        <f>příjmy!H30</f>
        <v>3074</v>
      </c>
      <c r="F23" s="286">
        <f>příjmy!O30</f>
        <v>3237.7657199999999</v>
      </c>
      <c r="G23" s="287"/>
      <c r="H23" s="288"/>
      <c r="I23" s="285"/>
      <c r="J23" s="454"/>
      <c r="K23" s="290"/>
    </row>
    <row r="24" spans="1:12" x14ac:dyDescent="0.2">
      <c r="A24" s="214"/>
      <c r="B24" s="129"/>
      <c r="C24" s="15"/>
      <c r="D24" s="265" t="s">
        <v>231</v>
      </c>
      <c r="E24" s="287">
        <f>příjmy!H61</f>
        <v>829.96</v>
      </c>
      <c r="F24" s="286">
        <f>příjmy!O61</f>
        <v>1075.0189</v>
      </c>
      <c r="G24" s="287"/>
      <c r="H24" s="288"/>
      <c r="I24" s="285"/>
      <c r="J24" s="454"/>
      <c r="K24" s="290"/>
    </row>
    <row r="25" spans="1:12" x14ac:dyDescent="0.2">
      <c r="A25" s="214"/>
      <c r="B25" s="129"/>
      <c r="C25" s="22" t="s">
        <v>66</v>
      </c>
      <c r="D25" s="265"/>
      <c r="E25" s="276">
        <f>SUM(E23:E24)</f>
        <v>3903.96</v>
      </c>
      <c r="F25" s="278">
        <f>SUM(F23:F24)</f>
        <v>4312.7846200000004</v>
      </c>
      <c r="G25" s="276">
        <f>+výdaje!L96</f>
        <v>6693.96</v>
      </c>
      <c r="H25" s="278">
        <f>+výdaje!AA96</f>
        <v>6594.5495799999999</v>
      </c>
      <c r="I25" s="276">
        <f>E25-G25</f>
        <v>-2790</v>
      </c>
      <c r="J25" s="277">
        <f>F25-H25</f>
        <v>-2281.7649599999995</v>
      </c>
      <c r="K25" s="279">
        <f>J25-I25</f>
        <v>508.23504000000048</v>
      </c>
    </row>
    <row r="26" spans="1:12" x14ac:dyDescent="0.2">
      <c r="A26" s="375" t="s">
        <v>38</v>
      </c>
      <c r="B26" s="133"/>
      <c r="C26" s="133"/>
      <c r="D26" s="291"/>
      <c r="E26" s="292"/>
      <c r="F26" s="289"/>
      <c r="G26" s="287"/>
      <c r="H26" s="288"/>
      <c r="I26" s="285"/>
      <c r="J26" s="454"/>
      <c r="K26" s="290"/>
    </row>
    <row r="27" spans="1:12" x14ac:dyDescent="0.2">
      <c r="A27" s="376"/>
      <c r="B27" s="131"/>
      <c r="C27" s="131"/>
      <c r="D27" s="91"/>
      <c r="E27" s="293">
        <f>příjmy!F52</f>
        <v>100</v>
      </c>
      <c r="F27" s="283">
        <f>příjmy!O52</f>
        <v>157.523</v>
      </c>
      <c r="G27" s="276">
        <f>+výdaje!L85</f>
        <v>410</v>
      </c>
      <c r="H27" s="277">
        <f>+výdaje!AA85</f>
        <v>349.32900000000001</v>
      </c>
      <c r="I27" s="282">
        <f>E27-G27</f>
        <v>-310</v>
      </c>
      <c r="J27" s="453">
        <f>F27-H27</f>
        <v>-191.80600000000001</v>
      </c>
      <c r="K27" s="284">
        <f>J27-I27</f>
        <v>118.19399999999999</v>
      </c>
    </row>
    <row r="28" spans="1:12" x14ac:dyDescent="0.2">
      <c r="A28" s="375" t="s">
        <v>232</v>
      </c>
      <c r="B28" s="133"/>
      <c r="C28" s="133"/>
      <c r="D28" s="294"/>
      <c r="E28" s="295"/>
      <c r="F28" s="296"/>
      <c r="G28" s="297"/>
      <c r="H28" s="298"/>
      <c r="I28" s="299"/>
      <c r="J28" s="455"/>
      <c r="K28" s="300"/>
    </row>
    <row r="29" spans="1:12" x14ac:dyDescent="0.2">
      <c r="A29" s="376"/>
      <c r="B29" s="131"/>
      <c r="C29" s="22" t="s">
        <v>66</v>
      </c>
      <c r="D29" s="75"/>
      <c r="E29" s="301">
        <f>+příjmy!H55</f>
        <v>45</v>
      </c>
      <c r="F29" s="283">
        <f>+příjmy!O55</f>
        <v>44.585000000000001</v>
      </c>
      <c r="G29" s="276">
        <f>+výdaje!J92</f>
        <v>355</v>
      </c>
      <c r="H29" s="277">
        <f>+výdaje!Y92</f>
        <v>310.07140999999996</v>
      </c>
      <c r="I29" s="282">
        <f>E29-G29</f>
        <v>-310</v>
      </c>
      <c r="J29" s="453">
        <f>F29-H29</f>
        <v>-265.48640999999998</v>
      </c>
      <c r="K29" s="284">
        <f>J29-I29</f>
        <v>44.513590000000022</v>
      </c>
    </row>
    <row r="30" spans="1:12" x14ac:dyDescent="0.2">
      <c r="A30" s="375" t="s">
        <v>39</v>
      </c>
      <c r="B30" s="133"/>
      <c r="C30" s="133"/>
      <c r="D30" s="294" t="s">
        <v>288</v>
      </c>
      <c r="E30" s="399">
        <f>+příjmy!H140</f>
        <v>8718.4259999999995</v>
      </c>
      <c r="F30" s="401">
        <f>+příjmy!O140</f>
        <v>8718.4259999999995</v>
      </c>
      <c r="G30" s="297"/>
      <c r="H30" s="298">
        <f>výdaje!AA108</f>
        <v>4534.7073200000004</v>
      </c>
      <c r="I30" s="299"/>
      <c r="J30" s="455"/>
      <c r="K30" s="300"/>
    </row>
    <row r="31" spans="1:12" x14ac:dyDescent="0.2">
      <c r="A31" s="215"/>
      <c r="B31" s="129"/>
      <c r="C31" s="129"/>
      <c r="D31" s="265"/>
      <c r="E31" s="400"/>
      <c r="F31" s="402"/>
      <c r="G31" s="287"/>
      <c r="H31" s="288"/>
      <c r="I31" s="285"/>
      <c r="J31" s="454"/>
      <c r="K31" s="290"/>
    </row>
    <row r="32" spans="1:12" x14ac:dyDescent="0.2">
      <c r="A32" s="215"/>
      <c r="B32" s="129"/>
      <c r="C32" s="129"/>
      <c r="D32" s="265" t="s">
        <v>289</v>
      </c>
      <c r="E32" s="400">
        <f>příjmy!H56</f>
        <v>1012</v>
      </c>
      <c r="F32" s="402">
        <f>příjmy!O56</f>
        <v>1089.7840000000001</v>
      </c>
      <c r="G32" s="287"/>
      <c r="H32" s="288"/>
      <c r="I32" s="285"/>
      <c r="J32" s="454"/>
      <c r="K32" s="290"/>
      <c r="L32" s="117"/>
    </row>
    <row r="33" spans="1:12" x14ac:dyDescent="0.2">
      <c r="A33" s="377"/>
      <c r="B33" s="131"/>
      <c r="C33" s="22" t="s">
        <v>66</v>
      </c>
      <c r="D33" s="75"/>
      <c r="E33" s="301">
        <f>SUM(E30:E32)</f>
        <v>9730.4259999999995</v>
      </c>
      <c r="F33" s="283">
        <f>SUM(F30:F32)</f>
        <v>9808.2099999999991</v>
      </c>
      <c r="G33" s="276">
        <f>+výdaje!L108</f>
        <v>4700</v>
      </c>
      <c r="H33" s="277">
        <f>+výdaje!AA108</f>
        <v>4534.7073200000004</v>
      </c>
      <c r="I33" s="535">
        <f>E33-G33</f>
        <v>5030.4259999999995</v>
      </c>
      <c r="J33" s="453">
        <f>F33-H33</f>
        <v>5273.5026799999987</v>
      </c>
      <c r="K33" s="284">
        <f>J33-I33</f>
        <v>243.07667999999921</v>
      </c>
      <c r="L33" s="117"/>
    </row>
    <row r="34" spans="1:12" x14ac:dyDescent="0.2">
      <c r="A34" s="215" t="s">
        <v>300</v>
      </c>
      <c r="B34" s="129"/>
      <c r="C34" s="129"/>
      <c r="D34" s="265" t="s">
        <v>302</v>
      </c>
      <c r="E34" s="273">
        <f>+příjmy!H86</f>
        <v>150</v>
      </c>
      <c r="F34" s="272">
        <f>+příjmy!O86</f>
        <v>36.6</v>
      </c>
      <c r="G34" s="273">
        <f>+výdaje!L113</f>
        <v>2382</v>
      </c>
      <c r="H34" s="272">
        <f>+výdaje!AA113</f>
        <v>2013.08557</v>
      </c>
      <c r="I34" s="271"/>
      <c r="J34" s="272"/>
      <c r="K34" s="274"/>
      <c r="L34" s="117"/>
    </row>
    <row r="35" spans="1:12" x14ac:dyDescent="0.2">
      <c r="A35" s="215"/>
      <c r="B35" s="129"/>
      <c r="C35" s="129"/>
      <c r="D35" s="265" t="s">
        <v>301</v>
      </c>
      <c r="E35" s="400">
        <f>+příjmy!H130</f>
        <v>125</v>
      </c>
      <c r="F35" s="402">
        <f>+příjmy!O130</f>
        <v>123.66</v>
      </c>
      <c r="G35" s="271"/>
      <c r="H35" s="132"/>
      <c r="I35" s="271"/>
      <c r="J35" s="132"/>
      <c r="K35" s="274"/>
      <c r="L35" s="117"/>
    </row>
    <row r="36" spans="1:12" x14ac:dyDescent="0.2">
      <c r="A36" s="374"/>
      <c r="B36" s="131"/>
      <c r="C36" s="22" t="s">
        <v>66</v>
      </c>
      <c r="D36" s="275"/>
      <c r="E36" s="276">
        <f>SUM(E34:E35)</f>
        <v>275</v>
      </c>
      <c r="F36" s="278">
        <f>SUM(F34:F35)</f>
        <v>160.26</v>
      </c>
      <c r="G36" s="276">
        <f>SUM(G34:G35)</f>
        <v>2382</v>
      </c>
      <c r="H36" s="278">
        <f>SUM(H34:H35)</f>
        <v>2013.08557</v>
      </c>
      <c r="I36" s="276">
        <f>E36-G36</f>
        <v>-2107</v>
      </c>
      <c r="J36" s="277">
        <f>F36-H36</f>
        <v>-1852.82557</v>
      </c>
      <c r="K36" s="279">
        <f>J36-I36</f>
        <v>254.17443000000003</v>
      </c>
      <c r="L36" s="117"/>
    </row>
    <row r="37" spans="1:12" x14ac:dyDescent="0.2">
      <c r="L37" s="117"/>
    </row>
  </sheetData>
  <phoneticPr fontId="6" type="noConversion"/>
  <pageMargins left="0.78740157499999996" right="0.17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1"/>
  <sheetViews>
    <sheetView topLeftCell="C1" zoomScale="90" zoomScaleNormal="90" workbookViewId="0">
      <selection activeCell="O15" sqref="O15"/>
    </sheetView>
  </sheetViews>
  <sheetFormatPr defaultRowHeight="12.75" x14ac:dyDescent="0.2"/>
  <cols>
    <col min="1" max="1" width="3.28515625" style="539" customWidth="1"/>
    <col min="2" max="2" width="28.7109375" style="549" customWidth="1"/>
    <col min="3" max="3" width="2.5703125" style="549" customWidth="1"/>
    <col min="4" max="4" width="9.42578125" style="539" customWidth="1"/>
    <col min="5" max="5" width="11.85546875" style="539" customWidth="1"/>
    <col min="6" max="6" width="11.140625" style="539" customWidth="1"/>
    <col min="7" max="7" width="9.140625" style="539"/>
    <col min="8" max="8" width="9.7109375" style="539" customWidth="1"/>
    <col min="9" max="9" width="9" style="539" customWidth="1"/>
    <col min="10" max="10" width="7.28515625" style="539" customWidth="1"/>
    <col min="11" max="11" width="7.7109375" style="539" customWidth="1"/>
    <col min="12" max="12" width="6.85546875" style="539" customWidth="1"/>
    <col min="13" max="14" width="6.42578125" style="545" customWidth="1"/>
    <col min="15" max="16" width="7.42578125" style="545" customWidth="1"/>
    <col min="17" max="19" width="6.85546875" style="545" customWidth="1"/>
    <col min="20" max="20" width="5.7109375" style="545" customWidth="1"/>
    <col min="21" max="21" width="8.42578125" style="539" customWidth="1"/>
    <col min="22" max="22" width="7.7109375" style="539" customWidth="1"/>
    <col min="23" max="23" width="3.5703125" style="539" customWidth="1"/>
    <col min="24" max="26" width="9.140625" style="539"/>
    <col min="27" max="27" width="6.42578125" style="539" customWidth="1"/>
    <col min="28" max="16384" width="9.140625" style="539"/>
  </cols>
  <sheetData>
    <row r="1" spans="1:30" ht="18" x14ac:dyDescent="0.25">
      <c r="B1" s="547" t="s">
        <v>516</v>
      </c>
      <c r="C1" s="547"/>
      <c r="D1" s="548"/>
    </row>
    <row r="2" spans="1:30" ht="13.5" thickBot="1" x14ac:dyDescent="0.25">
      <c r="B2" s="549" t="s">
        <v>517</v>
      </c>
    </row>
    <row r="3" spans="1:30" s="548" customFormat="1" ht="57.75" customHeight="1" x14ac:dyDescent="0.2">
      <c r="B3" s="550" t="s">
        <v>518</v>
      </c>
      <c r="C3" s="596" t="s">
        <v>519</v>
      </c>
      <c r="D3" s="551" t="s">
        <v>520</v>
      </c>
      <c r="E3" s="551" t="s">
        <v>521</v>
      </c>
      <c r="F3" s="551" t="s">
        <v>522</v>
      </c>
      <c r="G3" s="551" t="s">
        <v>523</v>
      </c>
      <c r="H3" s="551" t="s">
        <v>524</v>
      </c>
      <c r="I3" s="551" t="s">
        <v>525</v>
      </c>
      <c r="J3" s="551" t="s">
        <v>526</v>
      </c>
      <c r="K3" s="551" t="s">
        <v>527</v>
      </c>
      <c r="L3" s="552"/>
      <c r="M3" s="595" t="s">
        <v>528</v>
      </c>
      <c r="N3" s="553"/>
      <c r="O3" s="553"/>
      <c r="P3" s="553"/>
      <c r="Q3" s="553"/>
      <c r="R3" s="553"/>
      <c r="S3" s="553"/>
      <c r="T3" s="553"/>
      <c r="U3" s="551" t="s">
        <v>425</v>
      </c>
      <c r="V3" s="551" t="s">
        <v>529</v>
      </c>
      <c r="W3" s="554"/>
    </row>
    <row r="4" spans="1:30" s="548" customFormat="1" ht="23.25" customHeight="1" thickBot="1" x14ac:dyDescent="0.25">
      <c r="B4" s="555"/>
      <c r="C4" s="556"/>
      <c r="D4" s="557"/>
      <c r="E4" s="557" t="s">
        <v>530</v>
      </c>
      <c r="F4" s="557"/>
      <c r="G4" s="557"/>
      <c r="H4" s="557"/>
      <c r="I4" s="557"/>
      <c r="J4" s="557" t="s">
        <v>224</v>
      </c>
      <c r="K4" s="557"/>
      <c r="L4" s="558" t="s">
        <v>531</v>
      </c>
      <c r="M4" s="559">
        <v>2015</v>
      </c>
      <c r="N4" s="559">
        <v>2016</v>
      </c>
      <c r="O4" s="559">
        <v>2017</v>
      </c>
      <c r="P4" s="559">
        <v>2018</v>
      </c>
      <c r="Q4" s="559">
        <v>2019</v>
      </c>
      <c r="R4" s="559">
        <v>2020</v>
      </c>
      <c r="S4" s="559">
        <v>2021</v>
      </c>
      <c r="T4" s="559">
        <v>2022</v>
      </c>
      <c r="U4" s="560"/>
      <c r="V4" s="561"/>
      <c r="W4" s="561"/>
    </row>
    <row r="5" spans="1:30" ht="13.5" thickBot="1" x14ac:dyDescent="0.25"/>
    <row r="6" spans="1:30" ht="25.5" customHeight="1" x14ac:dyDescent="0.2">
      <c r="A6" s="562">
        <v>1</v>
      </c>
      <c r="B6" s="590" t="s">
        <v>532</v>
      </c>
      <c r="C6" s="538" t="s">
        <v>533</v>
      </c>
      <c r="D6" s="591" t="s">
        <v>534</v>
      </c>
      <c r="E6" s="591"/>
      <c r="F6" s="593" t="s">
        <v>535</v>
      </c>
      <c r="G6" s="592">
        <v>25983</v>
      </c>
      <c r="H6" s="592"/>
      <c r="I6" s="592">
        <f>G6-J6</f>
        <v>14454</v>
      </c>
      <c r="J6" s="592">
        <v>11529</v>
      </c>
      <c r="K6" s="630"/>
      <c r="L6" s="592"/>
      <c r="M6" s="592">
        <v>118</v>
      </c>
      <c r="N6" s="592">
        <v>0</v>
      </c>
      <c r="O6" s="592">
        <v>252</v>
      </c>
      <c r="P6" s="592">
        <v>93</v>
      </c>
      <c r="Q6" s="592">
        <v>-3897</v>
      </c>
      <c r="R6" s="592">
        <v>14888</v>
      </c>
      <c r="S6" s="592">
        <f>I6-M6-N6-O6-P6-Q6-R6</f>
        <v>3000</v>
      </c>
      <c r="T6" s="592"/>
      <c r="U6" s="594"/>
      <c r="V6" s="594"/>
      <c r="W6" s="597" t="s">
        <v>536</v>
      </c>
      <c r="X6" s="545"/>
      <c r="Y6" s="545"/>
      <c r="Z6" s="545"/>
      <c r="AA6" s="545"/>
      <c r="AB6" s="545"/>
    </row>
    <row r="7" spans="1:30" ht="26.25" customHeight="1" x14ac:dyDescent="0.2">
      <c r="A7" s="562">
        <v>2</v>
      </c>
      <c r="B7" s="568" t="s">
        <v>537</v>
      </c>
      <c r="C7" s="563" t="s">
        <v>533</v>
      </c>
      <c r="D7" s="569" t="s">
        <v>534</v>
      </c>
      <c r="E7" s="564"/>
      <c r="F7" s="565" t="s">
        <v>538</v>
      </c>
      <c r="G7" s="546"/>
      <c r="H7" s="546"/>
      <c r="I7" s="546"/>
      <c r="J7" s="546"/>
      <c r="K7" s="598"/>
      <c r="L7" s="546">
        <f>325+100</f>
        <v>425</v>
      </c>
      <c r="M7" s="546">
        <f>7763+364</f>
        <v>8127</v>
      </c>
      <c r="N7" s="546"/>
      <c r="O7" s="546"/>
      <c r="P7" s="546"/>
      <c r="Q7" s="546"/>
      <c r="R7" s="546">
        <v>300</v>
      </c>
      <c r="S7" s="546"/>
      <c r="T7" s="546"/>
      <c r="U7" s="570"/>
      <c r="V7" s="570"/>
      <c r="W7" s="571"/>
      <c r="X7" s="545"/>
      <c r="Y7" s="545"/>
      <c r="Z7" s="545"/>
      <c r="AA7" s="545"/>
      <c r="AB7" s="545"/>
    </row>
    <row r="8" spans="1:30" ht="25.5" customHeight="1" x14ac:dyDescent="0.2">
      <c r="A8" s="562">
        <v>3</v>
      </c>
      <c r="B8" s="572" t="s">
        <v>539</v>
      </c>
      <c r="C8" s="563" t="s">
        <v>533</v>
      </c>
      <c r="D8" s="569" t="s">
        <v>534</v>
      </c>
      <c r="E8" s="567" t="s">
        <v>540</v>
      </c>
      <c r="F8" s="573" t="s">
        <v>541</v>
      </c>
      <c r="G8" s="546">
        <f>SUM(M8:R8)</f>
        <v>28156</v>
      </c>
      <c r="H8" s="546"/>
      <c r="I8" s="546">
        <f>G8-J8</f>
        <v>28156</v>
      </c>
      <c r="J8" s="546"/>
      <c r="K8" s="598" t="s">
        <v>542</v>
      </c>
      <c r="L8" s="546"/>
      <c r="M8" s="546">
        <v>538</v>
      </c>
      <c r="N8" s="546">
        <v>4972</v>
      </c>
      <c r="O8" s="546">
        <v>3115</v>
      </c>
      <c r="P8" s="546">
        <v>2028</v>
      </c>
      <c r="Q8" s="546">
        <v>17053</v>
      </c>
      <c r="R8" s="546">
        <v>450</v>
      </c>
      <c r="S8" s="546"/>
      <c r="T8" s="546"/>
      <c r="U8" s="570" t="s">
        <v>543</v>
      </c>
      <c r="V8" s="570"/>
      <c r="W8" s="571" t="s">
        <v>536</v>
      </c>
      <c r="AD8" s="548"/>
    </row>
    <row r="9" spans="1:30" ht="28.5" customHeight="1" x14ac:dyDescent="0.2">
      <c r="A9" s="562">
        <v>4</v>
      </c>
      <c r="B9" s="574" t="s">
        <v>544</v>
      </c>
      <c r="C9" s="563" t="s">
        <v>533</v>
      </c>
      <c r="D9" s="569" t="s">
        <v>534</v>
      </c>
      <c r="E9" s="575"/>
      <c r="F9" s="565" t="s">
        <v>545</v>
      </c>
      <c r="G9" s="546"/>
      <c r="H9" s="546"/>
      <c r="I9" s="546"/>
      <c r="J9" s="546"/>
      <c r="K9" s="598" t="s">
        <v>546</v>
      </c>
      <c r="L9" s="546"/>
      <c r="M9" s="546"/>
      <c r="N9" s="546"/>
      <c r="O9" s="546">
        <v>0</v>
      </c>
      <c r="P9" s="546">
        <v>4</v>
      </c>
      <c r="Q9" s="546">
        <v>0</v>
      </c>
      <c r="R9" s="546">
        <v>300</v>
      </c>
      <c r="S9" s="546"/>
      <c r="T9" s="546"/>
      <c r="U9" s="570"/>
      <c r="V9" s="566"/>
      <c r="W9" s="571" t="s">
        <v>536</v>
      </c>
    </row>
    <row r="10" spans="1:30" ht="39.75" customHeight="1" x14ac:dyDescent="0.2">
      <c r="A10" s="562">
        <v>5</v>
      </c>
      <c r="B10" s="577" t="s">
        <v>547</v>
      </c>
      <c r="C10" s="578" t="s">
        <v>548</v>
      </c>
      <c r="D10" s="569" t="s">
        <v>534</v>
      </c>
      <c r="E10" s="564" t="s">
        <v>549</v>
      </c>
      <c r="F10" s="573" t="s">
        <v>550</v>
      </c>
      <c r="G10" s="546">
        <f>18398+1500+600+478</f>
        <v>20976</v>
      </c>
      <c r="H10" s="546"/>
      <c r="I10" s="546">
        <f>G10-J10</f>
        <v>12978</v>
      </c>
      <c r="J10" s="546">
        <f>7966+32</f>
        <v>7998</v>
      </c>
      <c r="K10" s="598" t="s">
        <v>551</v>
      </c>
      <c r="L10" s="546"/>
      <c r="M10" s="546"/>
      <c r="N10" s="546"/>
      <c r="O10" s="546"/>
      <c r="P10" s="546"/>
      <c r="Q10" s="546">
        <v>478</v>
      </c>
      <c r="R10" s="546">
        <f>G10-J10-Q10</f>
        <v>12500</v>
      </c>
      <c r="S10" s="546"/>
      <c r="T10" s="546"/>
      <c r="U10" s="566" t="s">
        <v>552</v>
      </c>
      <c r="V10" s="546"/>
      <c r="W10" s="571"/>
    </row>
    <row r="11" spans="1:30" ht="25.5" customHeight="1" x14ac:dyDescent="0.2">
      <c r="A11" s="562">
        <v>6</v>
      </c>
      <c r="B11" s="574" t="s">
        <v>348</v>
      </c>
      <c r="C11" s="576" t="s">
        <v>533</v>
      </c>
      <c r="D11" s="564" t="s">
        <v>534</v>
      </c>
      <c r="E11" s="575"/>
      <c r="F11" s="565" t="s">
        <v>553</v>
      </c>
      <c r="G11" s="546">
        <v>22848</v>
      </c>
      <c r="H11" s="546"/>
      <c r="I11" s="546"/>
      <c r="J11" s="546"/>
      <c r="K11" s="598" t="s">
        <v>554</v>
      </c>
      <c r="L11" s="546"/>
      <c r="M11" s="546"/>
      <c r="N11" s="546"/>
      <c r="O11" s="546"/>
      <c r="P11" s="546">
        <f>1616+2841</f>
        <v>4457</v>
      </c>
      <c r="Q11" s="546">
        <f>2462+146</f>
        <v>2608</v>
      </c>
      <c r="R11" s="546">
        <f>2462+146</f>
        <v>2608</v>
      </c>
      <c r="S11" s="546">
        <f>2462+146</f>
        <v>2608</v>
      </c>
      <c r="T11" s="546"/>
      <c r="U11" s="652" t="s">
        <v>555</v>
      </c>
      <c r="V11" s="653"/>
      <c r="W11" s="571" t="s">
        <v>556</v>
      </c>
    </row>
    <row r="12" spans="1:30" ht="25.5" customHeight="1" x14ac:dyDescent="0.2">
      <c r="A12" s="562">
        <v>7</v>
      </c>
      <c r="B12" s="577" t="s">
        <v>318</v>
      </c>
      <c r="C12" s="578" t="s">
        <v>533</v>
      </c>
      <c r="D12" s="569" t="s">
        <v>534</v>
      </c>
      <c r="E12" s="564" t="s">
        <v>557</v>
      </c>
      <c r="F12" s="573" t="s">
        <v>558</v>
      </c>
      <c r="G12" s="546">
        <f>7134+744</f>
        <v>7878</v>
      </c>
      <c r="H12" s="546">
        <v>5463</v>
      </c>
      <c r="I12" s="546">
        <f>G12-H12</f>
        <v>2415</v>
      </c>
      <c r="J12" s="546"/>
      <c r="K12" s="598" t="s">
        <v>559</v>
      </c>
      <c r="L12" s="546"/>
      <c r="M12" s="546">
        <v>10</v>
      </c>
      <c r="N12" s="546">
        <v>70</v>
      </c>
      <c r="O12" s="546">
        <v>0</v>
      </c>
      <c r="P12" s="546">
        <v>54</v>
      </c>
      <c r="Q12" s="546">
        <v>7000</v>
      </c>
      <c r="R12" s="546">
        <f>I12-M12-N12-O12-P12-Q12</f>
        <v>-4719</v>
      </c>
      <c r="S12" s="546"/>
      <c r="T12" s="546"/>
      <c r="U12" s="546"/>
      <c r="V12" s="546"/>
      <c r="W12" s="571" t="s">
        <v>560</v>
      </c>
    </row>
    <row r="13" spans="1:30" ht="25.5" customHeight="1" x14ac:dyDescent="0.2">
      <c r="A13" s="562">
        <v>8</v>
      </c>
      <c r="B13" s="577" t="s">
        <v>351</v>
      </c>
      <c r="C13" s="578" t="s">
        <v>533</v>
      </c>
      <c r="D13" s="569" t="s">
        <v>534</v>
      </c>
      <c r="E13" s="564" t="s">
        <v>561</v>
      </c>
      <c r="F13" s="573" t="s">
        <v>535</v>
      </c>
      <c r="G13" s="546">
        <v>18650</v>
      </c>
      <c r="H13" s="546">
        <v>13842</v>
      </c>
      <c r="I13" s="546">
        <f>G13-H13</f>
        <v>4808</v>
      </c>
      <c r="J13" s="546"/>
      <c r="K13" s="598" t="s">
        <v>562</v>
      </c>
      <c r="L13" s="546"/>
      <c r="M13" s="546"/>
      <c r="N13" s="546"/>
      <c r="O13" s="546"/>
      <c r="P13" s="546"/>
      <c r="Q13" s="546">
        <v>4885</v>
      </c>
      <c r="R13" s="546">
        <v>-4235</v>
      </c>
      <c r="S13" s="546">
        <v>2079</v>
      </c>
      <c r="T13" s="546">
        <f>I13-Q13-R13-S13</f>
        <v>2079</v>
      </c>
      <c r="U13" s="546"/>
      <c r="V13" s="598" t="s">
        <v>563</v>
      </c>
      <c r="W13" s="571" t="s">
        <v>560</v>
      </c>
    </row>
    <row r="14" spans="1:30" ht="25.5" customHeight="1" x14ac:dyDescent="0.2">
      <c r="A14" s="562">
        <v>9</v>
      </c>
      <c r="B14" s="577" t="s">
        <v>374</v>
      </c>
      <c r="C14" s="578" t="s">
        <v>533</v>
      </c>
      <c r="D14" s="569" t="s">
        <v>534</v>
      </c>
      <c r="E14" s="564" t="s">
        <v>564</v>
      </c>
      <c r="F14" s="573" t="s">
        <v>535</v>
      </c>
      <c r="G14" s="546">
        <v>4987</v>
      </c>
      <c r="H14" s="546">
        <v>3713</v>
      </c>
      <c r="I14" s="546">
        <f>G14-H14</f>
        <v>1274</v>
      </c>
      <c r="J14" s="546"/>
      <c r="K14" s="598" t="s">
        <v>562</v>
      </c>
      <c r="L14" s="546"/>
      <c r="M14" s="546"/>
      <c r="N14" s="546"/>
      <c r="O14" s="546"/>
      <c r="P14" s="546"/>
      <c r="Q14" s="546">
        <v>148</v>
      </c>
      <c r="R14" s="546">
        <v>4840</v>
      </c>
      <c r="S14" s="546">
        <f>I14-Q14-R14</f>
        <v>-3714</v>
      </c>
      <c r="T14" s="546"/>
      <c r="U14" s="546"/>
      <c r="V14" s="546"/>
      <c r="W14" s="571" t="s">
        <v>560</v>
      </c>
    </row>
    <row r="15" spans="1:30" ht="25.5" customHeight="1" x14ac:dyDescent="0.2">
      <c r="A15" s="562">
        <v>10</v>
      </c>
      <c r="B15" s="577" t="s">
        <v>565</v>
      </c>
      <c r="C15" s="578" t="s">
        <v>533</v>
      </c>
      <c r="D15" s="569" t="s">
        <v>566</v>
      </c>
      <c r="E15" s="564"/>
      <c r="F15" s="565" t="s">
        <v>545</v>
      </c>
      <c r="G15" s="546">
        <v>45000</v>
      </c>
      <c r="H15" s="546"/>
      <c r="I15" s="546"/>
      <c r="J15" s="546"/>
      <c r="K15" s="598" t="s">
        <v>567</v>
      </c>
      <c r="L15" s="546"/>
      <c r="M15" s="546"/>
      <c r="N15" s="546"/>
      <c r="O15" s="546"/>
      <c r="P15" s="546"/>
      <c r="Q15" s="546"/>
      <c r="R15" s="546">
        <v>2500</v>
      </c>
      <c r="S15" s="546"/>
      <c r="T15" s="546"/>
      <c r="U15" s="631" t="s">
        <v>568</v>
      </c>
      <c r="V15" s="546"/>
      <c r="W15" s="571"/>
    </row>
    <row r="16" spans="1:30" ht="25.5" customHeight="1" x14ac:dyDescent="0.2">
      <c r="A16" s="562">
        <v>11</v>
      </c>
      <c r="B16" s="577" t="s">
        <v>569</v>
      </c>
      <c r="C16" s="580" t="s">
        <v>570</v>
      </c>
      <c r="D16" s="569" t="s">
        <v>534</v>
      </c>
      <c r="E16" s="564"/>
      <c r="F16" s="573" t="s">
        <v>571</v>
      </c>
      <c r="G16" s="546">
        <v>5700</v>
      </c>
      <c r="H16" s="546"/>
      <c r="I16" s="546"/>
      <c r="J16" s="546"/>
      <c r="K16" s="598" t="s">
        <v>572</v>
      </c>
      <c r="L16" s="546"/>
      <c r="M16" s="546"/>
      <c r="N16" s="546"/>
      <c r="O16" s="546"/>
      <c r="P16" s="546"/>
      <c r="Q16" s="546"/>
      <c r="R16" s="546">
        <v>3200</v>
      </c>
      <c r="S16" s="546">
        <f>G16-R16</f>
        <v>2500</v>
      </c>
      <c r="T16" s="546"/>
      <c r="U16" s="546"/>
      <c r="V16" s="546"/>
      <c r="W16" s="571" t="s">
        <v>573</v>
      </c>
    </row>
    <row r="17" spans="1:23" ht="25.5" customHeight="1" x14ac:dyDescent="0.2">
      <c r="A17" s="562">
        <v>12</v>
      </c>
      <c r="B17" s="577" t="s">
        <v>381</v>
      </c>
      <c r="C17" s="580" t="s">
        <v>570</v>
      </c>
      <c r="D17" s="581" t="s">
        <v>534</v>
      </c>
      <c r="E17" s="564"/>
      <c r="F17" s="573" t="s">
        <v>574</v>
      </c>
      <c r="G17" s="546">
        <v>10000</v>
      </c>
      <c r="H17" s="546"/>
      <c r="I17" s="546"/>
      <c r="J17" s="546"/>
      <c r="K17" s="598" t="s">
        <v>575</v>
      </c>
      <c r="L17" s="546"/>
      <c r="M17" s="546"/>
      <c r="N17" s="546"/>
      <c r="O17" s="546"/>
      <c r="P17" s="546"/>
      <c r="Q17" s="546">
        <v>296</v>
      </c>
      <c r="R17" s="546">
        <v>4500</v>
      </c>
      <c r="S17" s="546">
        <f>G17-Q17-R17</f>
        <v>5204</v>
      </c>
      <c r="T17" s="546"/>
      <c r="U17" s="654" t="s">
        <v>612</v>
      </c>
      <c r="V17" s="546"/>
      <c r="W17" s="571" t="s">
        <v>573</v>
      </c>
    </row>
    <row r="18" spans="1:23" ht="30.75" customHeight="1" thickBot="1" x14ac:dyDescent="0.25">
      <c r="A18" s="562">
        <v>13</v>
      </c>
      <c r="B18" s="577" t="s">
        <v>440</v>
      </c>
      <c r="C18" s="580" t="s">
        <v>570</v>
      </c>
      <c r="D18" s="569" t="s">
        <v>534</v>
      </c>
      <c r="E18" s="564" t="s">
        <v>576</v>
      </c>
      <c r="F18" s="573" t="s">
        <v>577</v>
      </c>
      <c r="G18" s="546">
        <v>1997</v>
      </c>
      <c r="H18" s="546">
        <v>1897</v>
      </c>
      <c r="I18" s="546">
        <f>G18-H18</f>
        <v>100</v>
      </c>
      <c r="J18" s="546"/>
      <c r="K18" s="598" t="s">
        <v>578</v>
      </c>
      <c r="L18" s="546"/>
      <c r="M18" s="546"/>
      <c r="N18" s="546"/>
      <c r="O18" s="546"/>
      <c r="P18" s="546"/>
      <c r="Q18" s="546">
        <v>-282</v>
      </c>
      <c r="R18" s="546">
        <v>87</v>
      </c>
      <c r="S18" s="546">
        <f>I18-Q18-R18</f>
        <v>295</v>
      </c>
      <c r="T18" s="546"/>
      <c r="U18" s="546"/>
      <c r="V18" s="546"/>
      <c r="W18" s="601" t="s">
        <v>579</v>
      </c>
    </row>
    <row r="19" spans="1:23" s="548" customFormat="1" ht="17.25" customHeight="1" thickBot="1" x14ac:dyDescent="0.25">
      <c r="B19" s="583" t="s">
        <v>580</v>
      </c>
      <c r="C19" s="584"/>
      <c r="D19" s="585"/>
      <c r="E19" s="585"/>
      <c r="F19" s="585"/>
      <c r="G19" s="586">
        <f t="shared" ref="G19:T19" si="0">SUM(G5:G18)</f>
        <v>192175</v>
      </c>
      <c r="H19" s="586">
        <f t="shared" si="0"/>
        <v>24915</v>
      </c>
      <c r="I19" s="586">
        <f t="shared" si="0"/>
        <v>64185</v>
      </c>
      <c r="J19" s="586">
        <f t="shared" si="0"/>
        <v>19527</v>
      </c>
      <c r="K19" s="586">
        <f t="shared" si="0"/>
        <v>0</v>
      </c>
      <c r="L19" s="586">
        <f t="shared" si="0"/>
        <v>425</v>
      </c>
      <c r="M19" s="586">
        <f t="shared" si="0"/>
        <v>8793</v>
      </c>
      <c r="N19" s="586">
        <f t="shared" si="0"/>
        <v>5042</v>
      </c>
      <c r="O19" s="586">
        <f t="shared" si="0"/>
        <v>3367</v>
      </c>
      <c r="P19" s="586">
        <f t="shared" si="0"/>
        <v>6636</v>
      </c>
      <c r="Q19" s="586">
        <f t="shared" si="0"/>
        <v>28289</v>
      </c>
      <c r="R19" s="586">
        <f t="shared" si="0"/>
        <v>37219</v>
      </c>
      <c r="S19" s="586">
        <f t="shared" si="0"/>
        <v>11972</v>
      </c>
      <c r="T19" s="586">
        <f t="shared" si="0"/>
        <v>2079</v>
      </c>
      <c r="U19" s="587"/>
      <c r="V19" s="588"/>
      <c r="W19" s="589"/>
    </row>
    <row r="20" spans="1:23" s="548" customFormat="1" ht="17.25" customHeight="1" thickBot="1" x14ac:dyDescent="0.25">
      <c r="B20" s="602"/>
      <c r="C20" s="602"/>
      <c r="D20" s="602"/>
      <c r="E20" s="602"/>
      <c r="F20" s="602"/>
      <c r="G20" s="603"/>
      <c r="H20" s="603"/>
      <c r="I20" s="603"/>
      <c r="J20" s="603"/>
      <c r="K20" s="603"/>
      <c r="L20" s="603"/>
      <c r="M20" s="603"/>
      <c r="N20" s="603"/>
      <c r="O20" s="603"/>
      <c r="P20" s="603"/>
      <c r="Q20" s="603"/>
      <c r="R20" s="603"/>
      <c r="S20" s="603"/>
      <c r="T20" s="603"/>
      <c r="U20" s="604"/>
      <c r="V20" s="604"/>
      <c r="W20" s="602"/>
    </row>
    <row r="21" spans="1:23" ht="26.25" customHeight="1" thickBot="1" x14ac:dyDescent="0.25">
      <c r="B21" s="605" t="s">
        <v>596</v>
      </c>
      <c r="C21" s="606"/>
      <c r="D21" s="607"/>
      <c r="E21" s="607"/>
      <c r="F21" s="608" t="s">
        <v>214</v>
      </c>
      <c r="G21" s="608" t="s">
        <v>581</v>
      </c>
      <c r="H21" s="608" t="s">
        <v>582</v>
      </c>
      <c r="I21" s="608" t="s">
        <v>583</v>
      </c>
      <c r="J21" s="609"/>
      <c r="K21" s="609"/>
      <c r="L21" s="610" t="s">
        <v>531</v>
      </c>
      <c r="M21" s="611">
        <v>2015</v>
      </c>
      <c r="N21" s="611">
        <v>2016</v>
      </c>
      <c r="O21" s="611">
        <v>2017</v>
      </c>
      <c r="P21" s="611">
        <v>2018</v>
      </c>
      <c r="Q21" s="611">
        <v>2019</v>
      </c>
      <c r="R21" s="611">
        <v>2020</v>
      </c>
      <c r="S21" s="611">
        <v>2021</v>
      </c>
      <c r="T21" s="611">
        <v>2022</v>
      </c>
      <c r="U21" s="609"/>
      <c r="V21" s="609"/>
      <c r="W21" s="612"/>
    </row>
    <row r="22" spans="1:23" ht="25.5" customHeight="1" x14ac:dyDescent="0.2">
      <c r="A22" s="562">
        <v>1</v>
      </c>
      <c r="B22" s="613" t="s">
        <v>584</v>
      </c>
      <c r="C22" s="538" t="s">
        <v>533</v>
      </c>
      <c r="D22" s="591" t="s">
        <v>534</v>
      </c>
      <c r="E22" s="614" t="s">
        <v>585</v>
      </c>
      <c r="F22" s="593" t="s">
        <v>444</v>
      </c>
      <c r="G22" s="615"/>
      <c r="H22" s="615"/>
      <c r="I22" s="616">
        <v>4000</v>
      </c>
      <c r="J22" s="615"/>
      <c r="K22" s="615"/>
      <c r="L22" s="615"/>
      <c r="M22" s="615"/>
      <c r="N22" s="615"/>
      <c r="O22" s="615"/>
      <c r="P22" s="616">
        <v>4000</v>
      </c>
      <c r="Q22" s="616"/>
      <c r="R22" s="616"/>
      <c r="S22" s="616"/>
      <c r="T22" s="616"/>
      <c r="U22" s="594" t="s">
        <v>586</v>
      </c>
      <c r="V22" s="617" t="s">
        <v>587</v>
      </c>
      <c r="W22" s="597" t="s">
        <v>536</v>
      </c>
    </row>
    <row r="23" spans="1:23" ht="25.5" customHeight="1" x14ac:dyDescent="0.2">
      <c r="A23" s="562">
        <v>2</v>
      </c>
      <c r="B23" s="579" t="s">
        <v>322</v>
      </c>
      <c r="C23" s="580" t="s">
        <v>570</v>
      </c>
      <c r="D23" s="569" t="s">
        <v>534</v>
      </c>
      <c r="E23" s="581" t="s">
        <v>588</v>
      </c>
      <c r="F23" s="573" t="s">
        <v>444</v>
      </c>
      <c r="G23" s="599">
        <v>2180</v>
      </c>
      <c r="H23" s="599">
        <v>2017</v>
      </c>
      <c r="I23" s="599">
        <f>G23-H23</f>
        <v>163</v>
      </c>
      <c r="J23" s="599"/>
      <c r="K23" s="600" t="s">
        <v>559</v>
      </c>
      <c r="L23" s="599"/>
      <c r="M23" s="599"/>
      <c r="N23" s="599"/>
      <c r="O23" s="599">
        <v>236</v>
      </c>
      <c r="P23" s="599">
        <v>-53</v>
      </c>
      <c r="Q23" s="599">
        <f>I23-O23-P23</f>
        <v>-20</v>
      </c>
      <c r="R23" s="599"/>
      <c r="S23" s="599"/>
      <c r="T23" s="599"/>
      <c r="U23" s="546"/>
      <c r="V23" s="546"/>
      <c r="W23" s="582" t="s">
        <v>579</v>
      </c>
    </row>
    <row r="24" spans="1:23" ht="33.75" x14ac:dyDescent="0.2">
      <c r="A24" s="562">
        <v>3</v>
      </c>
      <c r="B24" s="577" t="s">
        <v>589</v>
      </c>
      <c r="C24" s="580" t="s">
        <v>570</v>
      </c>
      <c r="D24" s="569" t="s">
        <v>534</v>
      </c>
      <c r="E24" s="581" t="s">
        <v>588</v>
      </c>
      <c r="F24" s="573" t="s">
        <v>590</v>
      </c>
      <c r="G24" s="599">
        <v>2341</v>
      </c>
      <c r="H24" s="599">
        <v>2188</v>
      </c>
      <c r="I24" s="599">
        <f>G24-H24</f>
        <v>153</v>
      </c>
      <c r="J24" s="599"/>
      <c r="K24" s="600" t="s">
        <v>559</v>
      </c>
      <c r="L24" s="599"/>
      <c r="M24" s="599"/>
      <c r="N24" s="599"/>
      <c r="O24" s="599">
        <v>-463</v>
      </c>
      <c r="P24" s="599">
        <v>207</v>
      </c>
      <c r="Q24" s="599">
        <v>-616</v>
      </c>
      <c r="R24" s="599">
        <f>I24-O24-P24-Q24</f>
        <v>1025</v>
      </c>
      <c r="S24" s="599"/>
      <c r="T24" s="599"/>
      <c r="U24" s="546"/>
      <c r="V24" s="546"/>
      <c r="W24" s="582" t="s">
        <v>579</v>
      </c>
    </row>
    <row r="25" spans="1:23" ht="25.5" customHeight="1" x14ac:dyDescent="0.2">
      <c r="A25" s="562">
        <v>4</v>
      </c>
      <c r="B25" s="577" t="s">
        <v>315</v>
      </c>
      <c r="C25" s="578" t="s">
        <v>548</v>
      </c>
      <c r="D25" s="569" t="s">
        <v>534</v>
      </c>
      <c r="E25" s="564" t="s">
        <v>591</v>
      </c>
      <c r="F25" s="573" t="s">
        <v>444</v>
      </c>
      <c r="G25" s="599">
        <v>8589</v>
      </c>
      <c r="H25" s="599">
        <v>2305</v>
      </c>
      <c r="I25" s="599">
        <f>G25-H25</f>
        <v>6284</v>
      </c>
      <c r="J25" s="599"/>
      <c r="K25" s="600"/>
      <c r="L25" s="599"/>
      <c r="M25" s="599"/>
      <c r="N25" s="599"/>
      <c r="O25" s="599">
        <v>298</v>
      </c>
      <c r="P25" s="599">
        <v>3927</v>
      </c>
      <c r="Q25" s="599">
        <f>I25-O25-P25</f>
        <v>2059</v>
      </c>
      <c r="R25" s="599"/>
      <c r="S25" s="599"/>
      <c r="T25" s="599"/>
      <c r="U25" s="546"/>
      <c r="V25" s="546"/>
      <c r="W25" s="571" t="s">
        <v>592</v>
      </c>
    </row>
    <row r="26" spans="1:23" ht="37.5" customHeight="1" thickBot="1" x14ac:dyDescent="0.25">
      <c r="A26" s="562">
        <v>5</v>
      </c>
      <c r="B26" s="618" t="s">
        <v>593</v>
      </c>
      <c r="C26" s="619" t="s">
        <v>533</v>
      </c>
      <c r="D26" s="620" t="s">
        <v>534</v>
      </c>
      <c r="E26" s="620" t="s">
        <v>594</v>
      </c>
      <c r="F26" s="621" t="s">
        <v>444</v>
      </c>
      <c r="G26" s="622">
        <v>34508</v>
      </c>
      <c r="H26" s="622">
        <v>22156</v>
      </c>
      <c r="I26" s="622">
        <f>G26-H26</f>
        <v>12352</v>
      </c>
      <c r="J26" s="622"/>
      <c r="K26" s="623" t="s">
        <v>595</v>
      </c>
      <c r="L26" s="622"/>
      <c r="M26" s="622">
        <f>1227+2855+1037</f>
        <v>5119</v>
      </c>
      <c r="N26" s="624">
        <v>1627</v>
      </c>
      <c r="O26" s="624">
        <v>1</v>
      </c>
      <c r="P26" s="624">
        <v>20855</v>
      </c>
      <c r="Q26" s="632">
        <f>I26-M26-N26-O26-P26</f>
        <v>-15250</v>
      </c>
      <c r="R26" s="624"/>
      <c r="S26" s="624"/>
      <c r="T26" s="624"/>
      <c r="U26" s="625" t="s">
        <v>543</v>
      </c>
      <c r="V26" s="626"/>
      <c r="W26" s="627" t="s">
        <v>536</v>
      </c>
    </row>
    <row r="28" spans="1:23" x14ac:dyDescent="0.2">
      <c r="D28" s="628"/>
    </row>
    <row r="30" spans="1:23" x14ac:dyDescent="0.2">
      <c r="B30" s="629"/>
    </row>
    <row r="31" spans="1:23" x14ac:dyDescent="0.2">
      <c r="B31" s="629"/>
    </row>
    <row r="32" spans="1:23" x14ac:dyDescent="0.2">
      <c r="B32" s="629"/>
    </row>
    <row r="33" spans="2:20" x14ac:dyDescent="0.2">
      <c r="B33" s="629"/>
    </row>
    <row r="38" spans="2:20" x14ac:dyDescent="0.2">
      <c r="B38" s="539"/>
      <c r="C38" s="539"/>
      <c r="M38" s="539"/>
      <c r="N38" s="539"/>
      <c r="O38" s="539"/>
      <c r="P38" s="539"/>
      <c r="Q38" s="539"/>
      <c r="R38" s="539"/>
      <c r="S38" s="539"/>
      <c r="T38" s="539"/>
    </row>
    <row r="39" spans="2:20" x14ac:dyDescent="0.2">
      <c r="B39" s="539"/>
      <c r="C39" s="539"/>
      <c r="M39" s="539"/>
      <c r="N39" s="539"/>
      <c r="O39" s="539"/>
      <c r="P39" s="539"/>
      <c r="Q39" s="539"/>
      <c r="R39" s="539"/>
      <c r="S39" s="539"/>
      <c r="T39" s="539"/>
    </row>
    <row r="40" spans="2:20" x14ac:dyDescent="0.2">
      <c r="B40" s="539"/>
      <c r="C40" s="539"/>
      <c r="M40" s="539"/>
      <c r="N40" s="539"/>
      <c r="O40" s="539"/>
      <c r="P40" s="539"/>
      <c r="Q40" s="539"/>
      <c r="R40" s="539"/>
      <c r="S40" s="539"/>
      <c r="T40" s="539"/>
    </row>
    <row r="41" spans="2:20" x14ac:dyDescent="0.2">
      <c r="B41" s="539"/>
      <c r="C41" s="539"/>
      <c r="M41" s="539"/>
      <c r="N41" s="539"/>
      <c r="O41" s="539"/>
      <c r="P41" s="539"/>
      <c r="Q41" s="539"/>
      <c r="R41" s="539"/>
      <c r="S41" s="539"/>
      <c r="T41" s="539"/>
    </row>
  </sheetData>
  <mergeCells count="1">
    <mergeCell ref="U11:V11"/>
  </mergeCells>
  <pageMargins left="0.15748031496062992" right="0.15748031496062992" top="0.15748031496062992" bottom="0.15748031496062992" header="0.19685039370078741" footer="0.15748031496062992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sumář</vt:lpstr>
      <vt:lpstr>příjmy</vt:lpstr>
      <vt:lpstr>výdaje</vt:lpstr>
      <vt:lpstr>Závazné ukazatele rozpočtu</vt:lpstr>
      <vt:lpstr>okruhy rozpočtu</vt:lpstr>
      <vt:lpstr>Projekty</vt:lpstr>
      <vt:lpstr>příjmy!Názvy_tisku</vt:lpstr>
      <vt:lpstr>výdaje!Názvy_tisku</vt:lpstr>
      <vt:lpstr>Projekty!Oblast_tisku</vt:lpstr>
      <vt:lpstr>příjmy!Oblast_tisku</vt:lpstr>
      <vt:lpstr>výdaje!Oblast_tisku</vt:lpstr>
    </vt:vector>
  </TitlesOfParts>
  <Company>Jilemnice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Město Jilemnice</cp:lastModifiedBy>
  <cp:lastPrinted>2020-02-11T10:01:09Z</cp:lastPrinted>
  <dcterms:created xsi:type="dcterms:W3CDTF">1999-02-03T10:11:29Z</dcterms:created>
  <dcterms:modified xsi:type="dcterms:W3CDTF">2020-02-11T10:03:59Z</dcterms:modified>
</cp:coreProperties>
</file>