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ojanova\Documents\___Rok 2022\Rozpočet 2022\"/>
    </mc:Choice>
  </mc:AlternateContent>
  <bookViews>
    <workbookView xWindow="135" yWindow="765" windowWidth="16695" windowHeight="7365"/>
  </bookViews>
  <sheets>
    <sheet name="sumář" sheetId="1" r:id="rId1"/>
    <sheet name="příjmy" sheetId="2" r:id="rId2"/>
    <sheet name="výdaje" sheetId="3" r:id="rId3"/>
    <sheet name="Závazné ukazatele" sheetId="22" r:id="rId4"/>
    <sheet name="okruhy rozpočtu" sheetId="14" r:id="rId5"/>
    <sheet name="Projekty" sheetId="23" r:id="rId6"/>
  </sheets>
  <definedNames>
    <definedName name="_xlnm._FilterDatabase" localSheetId="1" hidden="1">příjmy!$A$1:$U$173</definedName>
    <definedName name="_xlnm.Print_Titles" localSheetId="1">příjmy!$A:$E,příjmy!$1:$3</definedName>
    <definedName name="_xlnm.Print_Titles" localSheetId="2">výdaje!$A:$D,výdaje!$1:$4</definedName>
    <definedName name="_xlnm.Print_Area" localSheetId="5">Projekty!$A$1:$V$24</definedName>
    <definedName name="_xlnm.Print_Area" localSheetId="1">příjmy!$A$1:$T$156</definedName>
    <definedName name="_xlnm.Print_Area" localSheetId="2">výdaje!$A$1:$AJ$131</definedName>
  </definedNames>
  <calcPr calcId="162913"/>
</workbook>
</file>

<file path=xl/calcChain.xml><?xml version="1.0" encoding="utf-8"?>
<calcChain xmlns="http://schemas.openxmlformats.org/spreadsheetml/2006/main">
  <c r="H14" i="23" l="1"/>
  <c r="R14" i="23"/>
  <c r="G14" i="23"/>
  <c r="I14" i="23" s="1"/>
  <c r="Q21" i="1" l="1"/>
  <c r="Q11" i="1"/>
  <c r="Q12" i="1"/>
  <c r="Q13" i="1"/>
  <c r="Q10" i="1"/>
  <c r="Q9" i="1"/>
  <c r="R25" i="23" l="1"/>
  <c r="I25" i="23"/>
  <c r="G24" i="23"/>
  <c r="I24" i="23" s="1"/>
  <c r="Q24" i="23" s="1"/>
  <c r="I23" i="23"/>
  <c r="G23" i="23"/>
  <c r="T20" i="23"/>
  <c r="R20" i="23"/>
  <c r="Q20" i="23"/>
  <c r="P20" i="23"/>
  <c r="O20" i="23"/>
  <c r="N20" i="23"/>
  <c r="M20" i="23"/>
  <c r="K20" i="23"/>
  <c r="G18" i="23"/>
  <c r="G20" i="23" s="1"/>
  <c r="H13" i="23"/>
  <c r="H20" i="23" s="1"/>
  <c r="S12" i="23"/>
  <c r="O11" i="23"/>
  <c r="J11" i="23"/>
  <c r="I11" i="23"/>
  <c r="J9" i="23"/>
  <c r="J20" i="23" s="1"/>
  <c r="G9" i="23"/>
  <c r="I9" i="23" s="1"/>
  <c r="L7" i="23"/>
  <c r="L20" i="23" s="1"/>
  <c r="S6" i="23"/>
  <c r="I6" i="23"/>
  <c r="I13" i="23" l="1"/>
  <c r="S13" i="23" s="1"/>
  <c r="S20" i="23" s="1"/>
  <c r="I20" i="23" l="1"/>
  <c r="C28" i="22"/>
  <c r="C7" i="22"/>
  <c r="C6" i="22"/>
  <c r="C5" i="22"/>
  <c r="C4" i="22"/>
  <c r="C8" i="22"/>
  <c r="F31" i="14" l="1"/>
  <c r="F30" i="14"/>
  <c r="E27" i="14"/>
  <c r="F99" i="2" l="1"/>
  <c r="G99" i="2"/>
  <c r="H99" i="2"/>
  <c r="I99" i="2"/>
  <c r="K99" i="2"/>
  <c r="M99" i="2"/>
  <c r="O99" i="2"/>
  <c r="Q99" i="2"/>
  <c r="S99" i="2"/>
  <c r="Q140" i="2" l="1"/>
  <c r="AF30" i="3"/>
  <c r="AF31" i="3"/>
  <c r="AF32" i="3"/>
  <c r="AF33" i="3"/>
  <c r="AF64" i="3"/>
  <c r="AE71" i="3"/>
  <c r="O61" i="2" l="1"/>
  <c r="AD29" i="3"/>
  <c r="AE29" i="3"/>
  <c r="AD78" i="3"/>
  <c r="AD130" i="3"/>
  <c r="AF29" i="3" l="1"/>
  <c r="AE61" i="3"/>
  <c r="AF100" i="3"/>
  <c r="AF65" i="3"/>
  <c r="AD116" i="3" l="1"/>
  <c r="O91" i="2" l="1"/>
  <c r="AD112" i="3" l="1"/>
  <c r="AD107" i="3"/>
  <c r="AD98" i="3"/>
  <c r="AD89" i="3"/>
  <c r="AD60" i="3"/>
  <c r="AD55" i="3"/>
  <c r="AD6" i="3"/>
  <c r="Y84" i="3" l="1"/>
  <c r="AD56" i="3" l="1"/>
  <c r="S58" i="2" l="1"/>
  <c r="AD93" i="3" l="1"/>
  <c r="H53" i="3" l="1"/>
  <c r="AD82" i="3" l="1"/>
  <c r="H150" i="2" l="1"/>
  <c r="O58" i="2"/>
  <c r="O86" i="2"/>
  <c r="H91" i="2"/>
  <c r="Q92" i="2" l="1"/>
  <c r="Q95" i="2"/>
  <c r="O75" i="2"/>
  <c r="O73" i="2" s="1"/>
  <c r="O68" i="2"/>
  <c r="O5" i="2" l="1"/>
  <c r="Y98" i="3"/>
  <c r="AC58" i="3" l="1"/>
  <c r="AC59" i="3"/>
  <c r="AC28" i="3"/>
  <c r="AC29" i="3"/>
  <c r="AA7" i="3"/>
  <c r="Y127" i="3"/>
  <c r="Y128" i="3"/>
  <c r="AA117" i="3"/>
  <c r="AA119" i="3"/>
  <c r="AA113" i="3"/>
  <c r="Y110" i="3"/>
  <c r="Y108" i="3"/>
  <c r="Y93" i="3"/>
  <c r="Z97" i="3"/>
  <c r="Y97" i="3"/>
  <c r="Y90" i="3"/>
  <c r="Y87" i="3"/>
  <c r="Y77" i="3"/>
  <c r="H66" i="3"/>
  <c r="Y48" i="3"/>
  <c r="Y56" i="3"/>
  <c r="Y41" i="3"/>
  <c r="Y39" i="3"/>
  <c r="Y35" i="3"/>
  <c r="K37" i="3"/>
  <c r="Z20" i="3"/>
  <c r="H6" i="3"/>
  <c r="O132" i="2"/>
  <c r="O108" i="2" l="1"/>
  <c r="O94" i="2"/>
  <c r="Q94" i="2" s="1"/>
  <c r="G112" i="2"/>
  <c r="G113" i="2"/>
  <c r="O60" i="2" l="1"/>
  <c r="O144" i="2"/>
  <c r="Q91" i="2"/>
  <c r="I130" i="3"/>
  <c r="H130" i="3"/>
  <c r="G153" i="2"/>
  <c r="G148" i="2" s="1"/>
  <c r="H124" i="2"/>
  <c r="Q124" i="2" s="1"/>
  <c r="P150" i="2"/>
  <c r="O142" i="2"/>
  <c r="O143" i="2"/>
  <c r="O150" i="2"/>
  <c r="Q150" i="2" s="1"/>
  <c r="O123" i="2"/>
  <c r="O64" i="2"/>
  <c r="Q85" i="2"/>
  <c r="P124" i="2" l="1"/>
  <c r="O55" i="2"/>
  <c r="O53" i="2"/>
  <c r="O57" i="2"/>
  <c r="O98" i="2"/>
  <c r="G138" i="2"/>
  <c r="G131" i="2"/>
  <c r="O121" i="2" l="1"/>
  <c r="O81" i="2" l="1"/>
  <c r="O22" i="2"/>
  <c r="O34" i="2"/>
  <c r="O20" i="2"/>
  <c r="O84" i="2"/>
  <c r="O17" i="2"/>
  <c r="O54" i="2"/>
  <c r="O15" i="2"/>
  <c r="O28" i="2"/>
  <c r="O29" i="2" l="1"/>
  <c r="Y40" i="3"/>
  <c r="AA22" i="3"/>
  <c r="AC22" i="3" s="1"/>
  <c r="AA23" i="3"/>
  <c r="H98" i="2" l="1"/>
  <c r="Q98" i="2" s="1"/>
  <c r="P98" i="2" l="1"/>
  <c r="G73" i="2"/>
  <c r="H74" i="2"/>
  <c r="Q74" i="2" s="1"/>
  <c r="H104" i="2"/>
  <c r="Q104" i="2" s="1"/>
  <c r="G121" i="2"/>
  <c r="G116" i="2"/>
  <c r="H114" i="3"/>
  <c r="H107" i="3"/>
  <c r="H7" i="3"/>
  <c r="H97" i="2" l="1"/>
  <c r="Q97" i="2" s="1"/>
  <c r="H141" i="2"/>
  <c r="H136" i="2"/>
  <c r="P141" i="2" l="1"/>
  <c r="Q141" i="2"/>
  <c r="P136" i="2"/>
  <c r="Q136" i="2"/>
  <c r="P97" i="2"/>
  <c r="H93" i="2"/>
  <c r="Q93" i="2" s="1"/>
  <c r="G88" i="2"/>
  <c r="P93" i="2" l="1"/>
  <c r="AD99" i="3"/>
  <c r="AD23" i="3"/>
  <c r="AE23" i="3"/>
  <c r="AE14" i="3" s="1"/>
  <c r="G79" i="2" l="1"/>
  <c r="AF28" i="3" l="1"/>
  <c r="AF15" i="3" l="1"/>
  <c r="S106" i="2" l="1"/>
  <c r="AD12" i="3" l="1"/>
  <c r="S81" i="2" l="1"/>
  <c r="S79" i="2" l="1"/>
  <c r="AF21" i="3" l="1"/>
  <c r="AD121" i="3" l="1"/>
  <c r="AD114" i="3" l="1"/>
  <c r="S57" i="2" l="1"/>
  <c r="G115" i="2" l="1"/>
  <c r="H108" i="3"/>
  <c r="G144" i="2"/>
  <c r="G146" i="2"/>
  <c r="AD72" i="3" l="1"/>
  <c r="AD77" i="3" l="1"/>
  <c r="AD59" i="3" l="1"/>
  <c r="AF59" i="3" s="1"/>
  <c r="AF58" i="3"/>
  <c r="AF129" i="3" l="1"/>
  <c r="AD110" i="3"/>
  <c r="U64" i="2" l="1"/>
  <c r="S69" i="2"/>
  <c r="M108" i="2" l="1"/>
  <c r="K108" i="2"/>
  <c r="G108" i="2"/>
  <c r="S73" i="2"/>
  <c r="F73" i="2"/>
  <c r="U71" i="2" l="1"/>
  <c r="AD91" i="3" l="1"/>
  <c r="AF91" i="3" s="1"/>
  <c r="AD79" i="3"/>
  <c r="AD67" i="3"/>
  <c r="S60" i="2" l="1"/>
  <c r="AD68" i="3"/>
  <c r="AD61" i="3" s="1"/>
  <c r="AF99" i="3" l="1"/>
  <c r="AF57" i="3"/>
  <c r="AF23" i="3" l="1"/>
  <c r="S108" i="2"/>
  <c r="S29" i="2" l="1"/>
  <c r="S17" i="2" l="1"/>
  <c r="AE95" i="3" l="1"/>
  <c r="S61" i="2"/>
  <c r="S67" i="2" l="1"/>
  <c r="K87" i="3" l="1"/>
  <c r="S54" i="2" l="1"/>
  <c r="AD108" i="3" l="1"/>
  <c r="AD40" i="3" l="1"/>
  <c r="S51" i="2" l="1"/>
  <c r="S20" i="2" l="1"/>
  <c r="G120" i="2" l="1"/>
  <c r="H35" i="3"/>
  <c r="H143" i="2"/>
  <c r="H5" i="3"/>
  <c r="AF117" i="3"/>
  <c r="AE5" i="3"/>
  <c r="AD5" i="3"/>
  <c r="Z5" i="3"/>
  <c r="Y5" i="3"/>
  <c r="F5" i="3"/>
  <c r="K7" i="3"/>
  <c r="J7" i="3"/>
  <c r="E8" i="3"/>
  <c r="F8" i="3"/>
  <c r="H8" i="3"/>
  <c r="I8" i="3"/>
  <c r="M8" i="3"/>
  <c r="N8" i="3"/>
  <c r="Q8" i="3"/>
  <c r="R8" i="3"/>
  <c r="U8" i="3"/>
  <c r="V8" i="3"/>
  <c r="Y8" i="3"/>
  <c r="Z8" i="3"/>
  <c r="AD8" i="3"/>
  <c r="AE8" i="3"/>
  <c r="H115" i="2"/>
  <c r="P115" i="2" l="1"/>
  <c r="Q115" i="2"/>
  <c r="Q143" i="2"/>
  <c r="P143" i="2"/>
  <c r="L7" i="3"/>
  <c r="AC7" i="3" l="1"/>
  <c r="AB7" i="3"/>
  <c r="P21" i="1" l="1"/>
  <c r="M68" i="2" l="1"/>
  <c r="M67" i="2"/>
  <c r="U97" i="3" l="1"/>
  <c r="U118" i="3"/>
  <c r="W118" i="3" s="1"/>
  <c r="W117" i="3"/>
  <c r="W119" i="3"/>
  <c r="W113" i="3"/>
  <c r="U110" i="3"/>
  <c r="V75" i="3"/>
  <c r="U56" i="3" l="1"/>
  <c r="U41" i="3"/>
  <c r="U40" i="3"/>
  <c r="U39" i="3"/>
  <c r="U35" i="3"/>
  <c r="V20" i="3"/>
  <c r="M132" i="2" l="1"/>
  <c r="M94" i="2"/>
  <c r="M75" i="2"/>
  <c r="M73" i="2" s="1"/>
  <c r="M58" i="2"/>
  <c r="M86" i="2"/>
  <c r="M60" i="2"/>
  <c r="M144" i="2"/>
  <c r="M91" i="2"/>
  <c r="M142" i="2"/>
  <c r="M61" i="2"/>
  <c r="M55" i="2"/>
  <c r="M53" i="2"/>
  <c r="M64" i="2"/>
  <c r="M57" i="2"/>
  <c r="N115" i="2"/>
  <c r="M98" i="2"/>
  <c r="M81" i="2"/>
  <c r="M22" i="2"/>
  <c r="M20" i="2"/>
  <c r="M84" i="2"/>
  <c r="M17" i="2"/>
  <c r="M54" i="2"/>
  <c r="M27" i="2"/>
  <c r="M15" i="2"/>
  <c r="M29" i="2"/>
  <c r="M28" i="2"/>
  <c r="M110" i="2" l="1"/>
  <c r="W21" i="3"/>
  <c r="W23" i="3"/>
  <c r="W24" i="3"/>
  <c r="W25" i="3"/>
  <c r="W129" i="3"/>
  <c r="I97" i="3" l="1"/>
  <c r="H97" i="3"/>
  <c r="H39" i="3"/>
  <c r="G142" i="2"/>
  <c r="J117" i="3"/>
  <c r="H114" i="2"/>
  <c r="H151" i="2"/>
  <c r="H138" i="2"/>
  <c r="I31" i="3"/>
  <c r="J23" i="3"/>
  <c r="K23" i="3"/>
  <c r="I32" i="3"/>
  <c r="P138" i="2" l="1"/>
  <c r="Q138" i="2"/>
  <c r="Q114" i="2"/>
  <c r="P114" i="2"/>
  <c r="P151" i="2"/>
  <c r="Q151" i="2"/>
  <c r="L117" i="3"/>
  <c r="L23" i="3"/>
  <c r="N138" i="2"/>
  <c r="N151" i="2"/>
  <c r="N114" i="2"/>
  <c r="AC23" i="3" l="1"/>
  <c r="AB23" i="3"/>
  <c r="AC117" i="3"/>
  <c r="AB117" i="3"/>
  <c r="X23" i="3"/>
  <c r="X117" i="3"/>
  <c r="H128" i="2"/>
  <c r="G122" i="2"/>
  <c r="G129" i="2"/>
  <c r="H126" i="2"/>
  <c r="P126" i="2" l="1"/>
  <c r="Q126" i="2"/>
  <c r="P128" i="2"/>
  <c r="Q128" i="2"/>
  <c r="N126" i="2"/>
  <c r="N128" i="2"/>
  <c r="L126" i="2"/>
  <c r="L128" i="2"/>
  <c r="H129" i="2" l="1"/>
  <c r="P129" i="2" l="1"/>
  <c r="Q129" i="2"/>
  <c r="N129" i="2"/>
  <c r="Q118" i="3"/>
  <c r="S113" i="3"/>
  <c r="Q110" i="3"/>
  <c r="Q56" i="3"/>
  <c r="Q39" i="3"/>
  <c r="Q35" i="3"/>
  <c r="R20" i="3"/>
  <c r="K44" i="2"/>
  <c r="K132" i="2"/>
  <c r="K75" i="2"/>
  <c r="K73" i="2" s="1"/>
  <c r="K58" i="2"/>
  <c r="K68" i="2"/>
  <c r="K67" i="2"/>
  <c r="K51" i="2"/>
  <c r="K64" i="2"/>
  <c r="K86" i="2"/>
  <c r="K116" i="2"/>
  <c r="K25" i="2"/>
  <c r="L129" i="2"/>
  <c r="K91" i="2"/>
  <c r="K61" i="2"/>
  <c r="K57" i="2"/>
  <c r="K94" i="2"/>
  <c r="K15" i="2"/>
  <c r="K81" i="2" l="1"/>
  <c r="K22" i="2"/>
  <c r="K20" i="2"/>
  <c r="K84" i="2"/>
  <c r="K17" i="2"/>
  <c r="K54" i="2"/>
  <c r="K29" i="2"/>
  <c r="K28" i="2"/>
  <c r="H142" i="2" l="1"/>
  <c r="H121" i="2"/>
  <c r="H130" i="2"/>
  <c r="H127" i="2"/>
  <c r="H118" i="2"/>
  <c r="H122" i="2"/>
  <c r="P130" i="2" l="1"/>
  <c r="Q130" i="2"/>
  <c r="P127" i="2"/>
  <c r="Q127" i="2"/>
  <c r="P121" i="2"/>
  <c r="Q121" i="2"/>
  <c r="P118" i="2"/>
  <c r="Q118" i="2"/>
  <c r="P122" i="2"/>
  <c r="Q122" i="2"/>
  <c r="Q142" i="2"/>
  <c r="P142" i="2"/>
  <c r="N130" i="2"/>
  <c r="N121" i="2"/>
  <c r="N122" i="2"/>
  <c r="N118" i="2"/>
  <c r="N127" i="2"/>
  <c r="N142" i="2"/>
  <c r="L130" i="2"/>
  <c r="L121" i="2"/>
  <c r="L122" i="2"/>
  <c r="L142" i="2"/>
  <c r="L118" i="2"/>
  <c r="L127" i="2"/>
  <c r="H152" i="2"/>
  <c r="O113" i="3"/>
  <c r="K113" i="3"/>
  <c r="H110" i="3"/>
  <c r="Q152" i="2" l="1"/>
  <c r="P152" i="2"/>
  <c r="L113" i="3"/>
  <c r="AC113" i="3" s="1"/>
  <c r="N152" i="2"/>
  <c r="L152" i="2"/>
  <c r="T113" i="3" l="1"/>
  <c r="X113" i="3"/>
  <c r="H137" i="2"/>
  <c r="H113" i="2"/>
  <c r="H131" i="2"/>
  <c r="P131" i="2" l="1"/>
  <c r="Q131" i="2"/>
  <c r="P137" i="2"/>
  <c r="Q137" i="2"/>
  <c r="Q113" i="2"/>
  <c r="P113" i="2"/>
  <c r="N113" i="2"/>
  <c r="N131" i="2"/>
  <c r="N137" i="2"/>
  <c r="L113" i="2"/>
  <c r="L131" i="2"/>
  <c r="L137" i="2"/>
  <c r="M118" i="3"/>
  <c r="M120" i="3"/>
  <c r="N76" i="3" l="1"/>
  <c r="M128" i="3" l="1"/>
  <c r="M110" i="3" l="1"/>
  <c r="M108" i="3"/>
  <c r="I132" i="2" l="1"/>
  <c r="I94" i="2"/>
  <c r="I75" i="2"/>
  <c r="I73" i="2" s="1"/>
  <c r="I58" i="2"/>
  <c r="I67" i="2"/>
  <c r="I51" i="2"/>
  <c r="I91" i="2"/>
  <c r="I86" i="2"/>
  <c r="I61" i="2"/>
  <c r="I81" i="2"/>
  <c r="I22" i="2"/>
  <c r="I20" i="2"/>
  <c r="I17" i="2"/>
  <c r="I54" i="2"/>
  <c r="I15" i="2"/>
  <c r="I29" i="2"/>
  <c r="I28" i="2"/>
  <c r="H145" i="2" l="1"/>
  <c r="H112" i="2"/>
  <c r="P145" i="2" l="1"/>
  <c r="Q145" i="2"/>
  <c r="Q112" i="2"/>
  <c r="P112" i="2"/>
  <c r="N112" i="2"/>
  <c r="N145" i="2"/>
  <c r="L112" i="2"/>
  <c r="J112" i="2"/>
  <c r="L145" i="2"/>
  <c r="J145" i="2"/>
  <c r="O129" i="3"/>
  <c r="C21" i="1" l="1"/>
  <c r="AF130" i="3"/>
  <c r="AF128" i="3"/>
  <c r="AF127" i="3"/>
  <c r="AF126" i="3"/>
  <c r="AF125" i="3"/>
  <c r="AF124" i="3"/>
  <c r="AF123" i="3"/>
  <c r="AE122" i="3"/>
  <c r="AD122" i="3"/>
  <c r="AF121" i="3"/>
  <c r="AF120" i="3"/>
  <c r="AF119" i="3"/>
  <c r="AF116" i="3"/>
  <c r="AF114" i="3"/>
  <c r="AF112" i="3"/>
  <c r="AF111" i="3"/>
  <c r="AF110" i="3"/>
  <c r="AE109" i="3"/>
  <c r="AD109" i="3"/>
  <c r="AF108" i="3"/>
  <c r="AF107" i="3"/>
  <c r="AF106" i="3"/>
  <c r="AF105" i="3"/>
  <c r="AF104" i="3"/>
  <c r="AE103" i="3"/>
  <c r="AD103" i="3"/>
  <c r="AF102" i="3"/>
  <c r="AF101" i="3"/>
  <c r="AF98" i="3"/>
  <c r="AF97" i="3"/>
  <c r="AF96" i="3"/>
  <c r="AF95" i="3"/>
  <c r="AF94" i="3"/>
  <c r="AF93" i="3"/>
  <c r="AE92" i="3"/>
  <c r="AD92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D71" i="3"/>
  <c r="AF70" i="3"/>
  <c r="AF69" i="3" s="1"/>
  <c r="C17" i="22" s="1"/>
  <c r="AE69" i="3"/>
  <c r="AD69" i="3"/>
  <c r="AF68" i="3"/>
  <c r="AF67" i="3"/>
  <c r="AF66" i="3"/>
  <c r="AF63" i="3"/>
  <c r="AF62" i="3"/>
  <c r="AF60" i="3"/>
  <c r="AF56" i="3"/>
  <c r="AF55" i="3"/>
  <c r="AF54" i="3"/>
  <c r="AF53" i="3"/>
  <c r="AF52" i="3"/>
  <c r="AF51" i="3"/>
  <c r="AF50" i="3"/>
  <c r="AF49" i="3"/>
  <c r="AE48" i="3"/>
  <c r="AD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E34" i="3"/>
  <c r="AD34" i="3"/>
  <c r="AF27" i="3"/>
  <c r="AF24" i="3"/>
  <c r="AF26" i="3"/>
  <c r="AF25" i="3"/>
  <c r="AF20" i="3"/>
  <c r="AF19" i="3"/>
  <c r="AF18" i="3"/>
  <c r="AF17" i="3"/>
  <c r="AF16" i="3"/>
  <c r="AD14" i="3"/>
  <c r="AF13" i="3"/>
  <c r="AF12" i="3"/>
  <c r="AF11" i="3"/>
  <c r="AF10" i="3"/>
  <c r="AF9" i="3"/>
  <c r="AF6" i="3"/>
  <c r="AF5" i="3" s="1"/>
  <c r="C11" i="22" s="1"/>
  <c r="G73" i="3"/>
  <c r="J73" i="3"/>
  <c r="O73" i="3"/>
  <c r="S73" i="3"/>
  <c r="W73" i="3"/>
  <c r="AA73" i="3"/>
  <c r="W130" i="3"/>
  <c r="W128" i="3"/>
  <c r="W127" i="3"/>
  <c r="W126" i="3"/>
  <c r="W125" i="3"/>
  <c r="W124" i="3"/>
  <c r="W123" i="3"/>
  <c r="V122" i="3"/>
  <c r="U122" i="3"/>
  <c r="W121" i="3"/>
  <c r="W120" i="3"/>
  <c r="W116" i="3"/>
  <c r="V115" i="3"/>
  <c r="U115" i="3"/>
  <c r="W114" i="3"/>
  <c r="W112" i="3"/>
  <c r="W111" i="3"/>
  <c r="W110" i="3"/>
  <c r="V109" i="3"/>
  <c r="U109" i="3"/>
  <c r="W108" i="3"/>
  <c r="W107" i="3"/>
  <c r="W106" i="3"/>
  <c r="W105" i="3"/>
  <c r="W104" i="3"/>
  <c r="V103" i="3"/>
  <c r="U103" i="3"/>
  <c r="W102" i="3"/>
  <c r="W101" i="3"/>
  <c r="W99" i="3"/>
  <c r="W98" i="3"/>
  <c r="W97" i="3"/>
  <c r="W96" i="3"/>
  <c r="W95" i="3"/>
  <c r="W94" i="3"/>
  <c r="W93" i="3"/>
  <c r="V92" i="3"/>
  <c r="U92" i="3"/>
  <c r="W91" i="3"/>
  <c r="W90" i="3"/>
  <c r="W89" i="3"/>
  <c r="W88" i="3"/>
  <c r="W87" i="3"/>
  <c r="W86" i="3"/>
  <c r="W85" i="3"/>
  <c r="W84" i="3"/>
  <c r="W83" i="3"/>
  <c r="W82" i="3"/>
  <c r="W81" i="3"/>
  <c r="W80" i="3"/>
  <c r="W79" i="3"/>
  <c r="W78" i="3"/>
  <c r="W77" i="3"/>
  <c r="W76" i="3"/>
  <c r="W75" i="3"/>
  <c r="W74" i="3"/>
  <c r="W72" i="3"/>
  <c r="V71" i="3"/>
  <c r="U71" i="3"/>
  <c r="W70" i="3"/>
  <c r="V69" i="3"/>
  <c r="U69" i="3"/>
  <c r="W68" i="3"/>
  <c r="W67" i="3"/>
  <c r="W66" i="3"/>
  <c r="W64" i="3"/>
  <c r="W63" i="3"/>
  <c r="W62" i="3"/>
  <c r="V61" i="3"/>
  <c r="U61" i="3"/>
  <c r="W60" i="3"/>
  <c r="W57" i="3"/>
  <c r="W56" i="3"/>
  <c r="W55" i="3"/>
  <c r="W54" i="3"/>
  <c r="W53" i="3"/>
  <c r="W52" i="3"/>
  <c r="W51" i="3"/>
  <c r="W50" i="3"/>
  <c r="W49" i="3"/>
  <c r="V48" i="3"/>
  <c r="U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V34" i="3"/>
  <c r="U34" i="3"/>
  <c r="W33" i="3"/>
  <c r="W32" i="3"/>
  <c r="W31" i="3"/>
  <c r="W30" i="3"/>
  <c r="W27" i="3"/>
  <c r="W26" i="3"/>
  <c r="W20" i="3"/>
  <c r="W19" i="3"/>
  <c r="W15" i="3"/>
  <c r="W18" i="3"/>
  <c r="W17" i="3"/>
  <c r="W16" i="3"/>
  <c r="V14" i="3"/>
  <c r="U14" i="3"/>
  <c r="W13" i="3"/>
  <c r="W12" i="3"/>
  <c r="W11" i="3"/>
  <c r="W10" i="3"/>
  <c r="W9" i="3"/>
  <c r="W6" i="3"/>
  <c r="W5" i="3" s="1"/>
  <c r="V5" i="3"/>
  <c r="U5" i="3"/>
  <c r="S130" i="3"/>
  <c r="S128" i="3"/>
  <c r="S127" i="3"/>
  <c r="S126" i="3"/>
  <c r="S125" i="3"/>
  <c r="S124" i="3"/>
  <c r="S123" i="3"/>
  <c r="R122" i="3"/>
  <c r="Q122" i="3"/>
  <c r="S121" i="3"/>
  <c r="S120" i="3"/>
  <c r="S119" i="3"/>
  <c r="S118" i="3"/>
  <c r="S116" i="3"/>
  <c r="R115" i="3"/>
  <c r="Q115" i="3"/>
  <c r="S114" i="3"/>
  <c r="S112" i="3"/>
  <c r="S111" i="3"/>
  <c r="S110" i="3"/>
  <c r="R109" i="3"/>
  <c r="Q109" i="3"/>
  <c r="S108" i="3"/>
  <c r="S107" i="3"/>
  <c r="S106" i="3"/>
  <c r="S105" i="3"/>
  <c r="S104" i="3"/>
  <c r="R103" i="3"/>
  <c r="Q103" i="3"/>
  <c r="S102" i="3"/>
  <c r="S101" i="3"/>
  <c r="S99" i="3"/>
  <c r="S98" i="3"/>
  <c r="S97" i="3"/>
  <c r="S96" i="3"/>
  <c r="S95" i="3"/>
  <c r="S94" i="3"/>
  <c r="S93" i="3"/>
  <c r="R92" i="3"/>
  <c r="Q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2" i="3"/>
  <c r="R71" i="3"/>
  <c r="Q71" i="3"/>
  <c r="S70" i="3"/>
  <c r="S69" i="3" s="1"/>
  <c r="R69" i="3"/>
  <c r="Q69" i="3"/>
  <c r="S68" i="3"/>
  <c r="S67" i="3"/>
  <c r="S66" i="3"/>
  <c r="S64" i="3"/>
  <c r="S63" i="3"/>
  <c r="S62" i="3"/>
  <c r="R61" i="3"/>
  <c r="Q61" i="3"/>
  <c r="S60" i="3"/>
  <c r="S57" i="3"/>
  <c r="S56" i="3"/>
  <c r="S55" i="3"/>
  <c r="S54" i="3"/>
  <c r="S53" i="3"/>
  <c r="S52" i="3"/>
  <c r="S51" i="3"/>
  <c r="S50" i="3"/>
  <c r="S49" i="3"/>
  <c r="R48" i="3"/>
  <c r="Q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R34" i="3"/>
  <c r="Q34" i="3"/>
  <c r="S33" i="3"/>
  <c r="S32" i="3"/>
  <c r="S31" i="3"/>
  <c r="S30" i="3"/>
  <c r="S27" i="3"/>
  <c r="S24" i="3"/>
  <c r="S26" i="3"/>
  <c r="S25" i="3"/>
  <c r="S21" i="3"/>
  <c r="S20" i="3"/>
  <c r="S19" i="3"/>
  <c r="S15" i="3"/>
  <c r="S18" i="3"/>
  <c r="S17" i="3"/>
  <c r="S16" i="3"/>
  <c r="R14" i="3"/>
  <c r="Q14" i="3"/>
  <c r="S13" i="3"/>
  <c r="S12" i="3"/>
  <c r="S11" i="3"/>
  <c r="S10" i="3"/>
  <c r="S9" i="3"/>
  <c r="S6" i="3"/>
  <c r="R5" i="3"/>
  <c r="Q5" i="3"/>
  <c r="O130" i="3"/>
  <c r="O128" i="3"/>
  <c r="O127" i="3"/>
  <c r="O126" i="3"/>
  <c r="O125" i="3"/>
  <c r="O124" i="3"/>
  <c r="O123" i="3"/>
  <c r="N122" i="3"/>
  <c r="M122" i="3"/>
  <c r="O121" i="3"/>
  <c r="O120" i="3"/>
  <c r="O119" i="3"/>
  <c r="O118" i="3"/>
  <c r="O116" i="3"/>
  <c r="N115" i="3"/>
  <c r="M115" i="3"/>
  <c r="O114" i="3"/>
  <c r="O112" i="3"/>
  <c r="O111" i="3"/>
  <c r="O110" i="3"/>
  <c r="N109" i="3"/>
  <c r="M109" i="3"/>
  <c r="O108" i="3"/>
  <c r="O107" i="3"/>
  <c r="O106" i="3"/>
  <c r="O105" i="3"/>
  <c r="O104" i="3"/>
  <c r="N103" i="3"/>
  <c r="M103" i="3"/>
  <c r="O102" i="3"/>
  <c r="O101" i="3"/>
  <c r="O99" i="3"/>
  <c r="O98" i="3"/>
  <c r="O97" i="3"/>
  <c r="O96" i="3"/>
  <c r="O95" i="3"/>
  <c r="O94" i="3"/>
  <c r="O93" i="3"/>
  <c r="N92" i="3"/>
  <c r="M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2" i="3"/>
  <c r="N71" i="3"/>
  <c r="M71" i="3"/>
  <c r="O70" i="3"/>
  <c r="O69" i="3" s="1"/>
  <c r="N69" i="3"/>
  <c r="M69" i="3"/>
  <c r="O68" i="3"/>
  <c r="O67" i="3"/>
  <c r="O66" i="3"/>
  <c r="O64" i="3"/>
  <c r="O63" i="3"/>
  <c r="O62" i="3"/>
  <c r="N61" i="3"/>
  <c r="M61" i="3"/>
  <c r="O60" i="3"/>
  <c r="O57" i="3"/>
  <c r="O56" i="3"/>
  <c r="O55" i="3"/>
  <c r="O54" i="3"/>
  <c r="O53" i="3"/>
  <c r="O52" i="3"/>
  <c r="O51" i="3"/>
  <c r="O50" i="3"/>
  <c r="O49" i="3"/>
  <c r="N48" i="3"/>
  <c r="M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N34" i="3"/>
  <c r="M34" i="3"/>
  <c r="O33" i="3"/>
  <c r="O32" i="3"/>
  <c r="O31" i="3"/>
  <c r="O30" i="3"/>
  <c r="O27" i="3"/>
  <c r="O24" i="3"/>
  <c r="O26" i="3"/>
  <c r="O25" i="3"/>
  <c r="O21" i="3"/>
  <c r="O20" i="3"/>
  <c r="O19" i="3"/>
  <c r="O15" i="3"/>
  <c r="O18" i="3"/>
  <c r="O17" i="3"/>
  <c r="O16" i="3"/>
  <c r="N14" i="3"/>
  <c r="M14" i="3"/>
  <c r="O13" i="3"/>
  <c r="O12" i="3"/>
  <c r="O11" i="3"/>
  <c r="O10" i="3"/>
  <c r="O9" i="3"/>
  <c r="O6" i="3"/>
  <c r="O5" i="3" s="1"/>
  <c r="N5" i="3"/>
  <c r="M5" i="3"/>
  <c r="J15" i="3"/>
  <c r="K15" i="3"/>
  <c r="J19" i="3"/>
  <c r="K19" i="3"/>
  <c r="J21" i="3"/>
  <c r="K21" i="3"/>
  <c r="J25" i="3"/>
  <c r="K25" i="3"/>
  <c r="J26" i="3"/>
  <c r="K26" i="3"/>
  <c r="J24" i="3"/>
  <c r="J27" i="3"/>
  <c r="K27" i="3"/>
  <c r="J95" i="3"/>
  <c r="K95" i="3"/>
  <c r="J96" i="3"/>
  <c r="K96" i="3"/>
  <c r="J97" i="3"/>
  <c r="K98" i="3"/>
  <c r="AA95" i="3"/>
  <c r="AA96" i="3"/>
  <c r="AA97" i="3"/>
  <c r="AA98" i="3"/>
  <c r="AA21" i="3"/>
  <c r="AA25" i="3"/>
  <c r="AA26" i="3"/>
  <c r="AA24" i="3"/>
  <c r="AA27" i="3"/>
  <c r="G130" i="3"/>
  <c r="E129" i="3"/>
  <c r="G129" i="3" s="1"/>
  <c r="G128" i="3"/>
  <c r="G127" i="3"/>
  <c r="G126" i="3"/>
  <c r="G125" i="3"/>
  <c r="E124" i="3"/>
  <c r="G124" i="3" s="1"/>
  <c r="G123" i="3"/>
  <c r="F122" i="3"/>
  <c r="G121" i="3"/>
  <c r="G120" i="3"/>
  <c r="G119" i="3"/>
  <c r="E116" i="3"/>
  <c r="G116" i="3" s="1"/>
  <c r="E114" i="3"/>
  <c r="G114" i="3" s="1"/>
  <c r="E112" i="3"/>
  <c r="G112" i="3" s="1"/>
  <c r="G111" i="3"/>
  <c r="E110" i="3"/>
  <c r="G110" i="3" s="1"/>
  <c r="F109" i="3"/>
  <c r="E108" i="3"/>
  <c r="G108" i="3" s="1"/>
  <c r="E107" i="3"/>
  <c r="G106" i="3"/>
  <c r="G105" i="3"/>
  <c r="G104" i="3"/>
  <c r="F103" i="3"/>
  <c r="G102" i="3"/>
  <c r="E101" i="3"/>
  <c r="G99" i="3"/>
  <c r="E98" i="3"/>
  <c r="J98" i="3" s="1"/>
  <c r="F97" i="3"/>
  <c r="K97" i="3" s="1"/>
  <c r="G96" i="3"/>
  <c r="G95" i="3"/>
  <c r="E94" i="3"/>
  <c r="G94" i="3" s="1"/>
  <c r="E93" i="3"/>
  <c r="G93" i="3" s="1"/>
  <c r="E91" i="3"/>
  <c r="G91" i="3" s="1"/>
  <c r="G90" i="3"/>
  <c r="E89" i="3"/>
  <c r="G89" i="3" s="1"/>
  <c r="G88" i="3"/>
  <c r="G87" i="3"/>
  <c r="G86" i="3"/>
  <c r="G85" i="3"/>
  <c r="G84" i="3"/>
  <c r="G83" i="3"/>
  <c r="G82" i="3"/>
  <c r="G81" i="3"/>
  <c r="G80" i="3"/>
  <c r="G79" i="3"/>
  <c r="G78" i="3"/>
  <c r="E77" i="3"/>
  <c r="G77" i="3" s="1"/>
  <c r="G76" i="3"/>
  <c r="F75" i="3"/>
  <c r="F71" i="3" s="1"/>
  <c r="G74" i="3"/>
  <c r="G72" i="3"/>
  <c r="G70" i="3"/>
  <c r="F69" i="3"/>
  <c r="E69" i="3"/>
  <c r="G68" i="3"/>
  <c r="G67" i="3"/>
  <c r="G66" i="3"/>
  <c r="G64" i="3"/>
  <c r="F63" i="3"/>
  <c r="F61" i="3" s="1"/>
  <c r="G62" i="3"/>
  <c r="E61" i="3"/>
  <c r="G60" i="3"/>
  <c r="E57" i="3"/>
  <c r="G57" i="3" s="1"/>
  <c r="G56" i="3"/>
  <c r="G55" i="3"/>
  <c r="G54" i="3"/>
  <c r="E53" i="3"/>
  <c r="G53" i="3" s="1"/>
  <c r="G52" i="3"/>
  <c r="G51" i="3"/>
  <c r="G50" i="3"/>
  <c r="E49" i="3"/>
  <c r="G49" i="3" s="1"/>
  <c r="F48" i="3"/>
  <c r="G47" i="3"/>
  <c r="G46" i="3"/>
  <c r="G45" i="3"/>
  <c r="G44" i="3"/>
  <c r="G43" i="3"/>
  <c r="G42" i="3"/>
  <c r="G41" i="3"/>
  <c r="E40" i="3"/>
  <c r="G40" i="3" s="1"/>
  <c r="G39" i="3"/>
  <c r="E38" i="3"/>
  <c r="G38" i="3" s="1"/>
  <c r="E37" i="3"/>
  <c r="G36" i="3"/>
  <c r="G35" i="3"/>
  <c r="F34" i="3"/>
  <c r="G33" i="3"/>
  <c r="G32" i="3"/>
  <c r="G31" i="3"/>
  <c r="G30" i="3"/>
  <c r="G27" i="3"/>
  <c r="F24" i="3"/>
  <c r="G24" i="3" s="1"/>
  <c r="G26" i="3"/>
  <c r="G25" i="3"/>
  <c r="G21" i="3"/>
  <c r="F20" i="3"/>
  <c r="E20" i="3"/>
  <c r="E14" i="3" s="1"/>
  <c r="G19" i="3"/>
  <c r="G15" i="3"/>
  <c r="G18" i="3"/>
  <c r="G17" i="3"/>
  <c r="G16" i="3"/>
  <c r="G13" i="3"/>
  <c r="G12" i="3"/>
  <c r="G11" i="3"/>
  <c r="G10" i="3"/>
  <c r="G9" i="3"/>
  <c r="E6" i="3"/>
  <c r="H154" i="2"/>
  <c r="H153" i="2"/>
  <c r="H149" i="2"/>
  <c r="H123" i="2"/>
  <c r="Q123" i="2" s="1"/>
  <c r="H125" i="2"/>
  <c r="Q125" i="2" s="1"/>
  <c r="H90" i="2"/>
  <c r="Q90" i="2" s="1"/>
  <c r="H44" i="2"/>
  <c r="Q44" i="2" s="1"/>
  <c r="S158" i="2"/>
  <c r="S148" i="2"/>
  <c r="S164" i="2" s="1"/>
  <c r="S110" i="2"/>
  <c r="S163" i="2"/>
  <c r="S88" i="2"/>
  <c r="S62" i="2"/>
  <c r="S40" i="2"/>
  <c r="S35" i="2"/>
  <c r="S26" i="2"/>
  <c r="S14" i="2"/>
  <c r="M158" i="2"/>
  <c r="M148" i="2"/>
  <c r="M164" i="2" s="1"/>
  <c r="M161" i="2"/>
  <c r="M163" i="2"/>
  <c r="M88" i="2"/>
  <c r="M79" i="2"/>
  <c r="M62" i="2"/>
  <c r="M40" i="2"/>
  <c r="M35" i="2"/>
  <c r="M26" i="2"/>
  <c r="M14" i="2"/>
  <c r="K158" i="2"/>
  <c r="K148" i="2"/>
  <c r="K164" i="2" s="1"/>
  <c r="K110" i="2"/>
  <c r="K161" i="2" s="1"/>
  <c r="K163" i="2"/>
  <c r="K88" i="2"/>
  <c r="K79" i="2"/>
  <c r="K62" i="2"/>
  <c r="K40" i="2"/>
  <c r="K35" i="2"/>
  <c r="K26" i="2"/>
  <c r="K14" i="2"/>
  <c r="I158" i="2"/>
  <c r="I148" i="2"/>
  <c r="I164" i="2" s="1"/>
  <c r="I110" i="2"/>
  <c r="I161" i="2" s="1"/>
  <c r="I108" i="2"/>
  <c r="I163" i="2" s="1"/>
  <c r="I88" i="2"/>
  <c r="I79" i="2"/>
  <c r="I62" i="2"/>
  <c r="I40" i="2"/>
  <c r="I35" i="2"/>
  <c r="I26" i="2"/>
  <c r="I14" i="2"/>
  <c r="O62" i="2"/>
  <c r="F148" i="2"/>
  <c r="F164" i="2" s="1"/>
  <c r="F133" i="2"/>
  <c r="F132" i="2"/>
  <c r="F106" i="2"/>
  <c r="F105" i="2"/>
  <c r="F88" i="2"/>
  <c r="F79" i="2"/>
  <c r="F64" i="2"/>
  <c r="F62" i="2" s="1"/>
  <c r="F61" i="2"/>
  <c r="F60" i="2"/>
  <c r="F59" i="2"/>
  <c r="F58" i="2"/>
  <c r="F57" i="2"/>
  <c r="F54" i="2"/>
  <c r="F46" i="2"/>
  <c r="F35" i="2"/>
  <c r="F29" i="2"/>
  <c r="F26" i="2"/>
  <c r="F22" i="2"/>
  <c r="F17" i="2"/>
  <c r="F5" i="2"/>
  <c r="AG95" i="3" l="1"/>
  <c r="AF61" i="3"/>
  <c r="C16" i="22" s="1"/>
  <c r="S161" i="2"/>
  <c r="G37" i="3"/>
  <c r="J37" i="3"/>
  <c r="P90" i="2"/>
  <c r="F14" i="3"/>
  <c r="P149" i="2"/>
  <c r="Q149" i="2"/>
  <c r="Q154" i="2"/>
  <c r="P154" i="2"/>
  <c r="P153" i="2"/>
  <c r="H148" i="2"/>
  <c r="Q153" i="2"/>
  <c r="F115" i="3"/>
  <c r="G69" i="3"/>
  <c r="AG120" i="3"/>
  <c r="G8" i="3"/>
  <c r="AG129" i="3"/>
  <c r="AG21" i="3"/>
  <c r="F108" i="2"/>
  <c r="F163" i="2" s="1"/>
  <c r="AG24" i="3"/>
  <c r="AF109" i="3"/>
  <c r="C21" i="22" s="1"/>
  <c r="O8" i="3"/>
  <c r="S8" i="3"/>
  <c r="W8" i="3"/>
  <c r="AF8" i="3"/>
  <c r="C12" i="22" s="1"/>
  <c r="G6" i="3"/>
  <c r="E5" i="3"/>
  <c r="AG119" i="3"/>
  <c r="L73" i="3"/>
  <c r="AC73" i="3" s="1"/>
  <c r="AF122" i="3"/>
  <c r="C23" i="22" s="1"/>
  <c r="N125" i="2"/>
  <c r="N154" i="2"/>
  <c r="S101" i="2"/>
  <c r="N123" i="2"/>
  <c r="N149" i="2"/>
  <c r="W69" i="3"/>
  <c r="AF48" i="3"/>
  <c r="C15" i="22" s="1"/>
  <c r="AF92" i="3"/>
  <c r="C19" i="22" s="1"/>
  <c r="AG73" i="3"/>
  <c r="L90" i="2"/>
  <c r="L153" i="2"/>
  <c r="J153" i="2"/>
  <c r="L149" i="2"/>
  <c r="J149" i="2"/>
  <c r="L125" i="2"/>
  <c r="J125" i="2"/>
  <c r="L154" i="2"/>
  <c r="J154" i="2"/>
  <c r="L123" i="2"/>
  <c r="J123" i="2"/>
  <c r="S5" i="3"/>
  <c r="AF103" i="3"/>
  <c r="C20" i="22" s="1"/>
  <c r="AF71" i="3"/>
  <c r="C18" i="22" s="1"/>
  <c r="AF34" i="3"/>
  <c r="C14" i="22" s="1"/>
  <c r="P44" i="2"/>
  <c r="AF14" i="3"/>
  <c r="C13" i="22" s="1"/>
  <c r="L25" i="3"/>
  <c r="AC25" i="3" s="1"/>
  <c r="G63" i="3"/>
  <c r="L96" i="3"/>
  <c r="L27" i="3"/>
  <c r="AC27" i="3" s="1"/>
  <c r="E48" i="3"/>
  <c r="W115" i="3"/>
  <c r="D2" i="3" s="1"/>
  <c r="W34" i="3"/>
  <c r="W48" i="3"/>
  <c r="O71" i="3"/>
  <c r="L95" i="3"/>
  <c r="AC95" i="3" s="1"/>
  <c r="S48" i="3"/>
  <c r="V131" i="3"/>
  <c r="L98" i="3"/>
  <c r="E103" i="3"/>
  <c r="E122" i="3"/>
  <c r="S115" i="3"/>
  <c r="F92" i="3"/>
  <c r="G97" i="3"/>
  <c r="E92" i="3"/>
  <c r="G107" i="3"/>
  <c r="L21" i="3"/>
  <c r="AC21" i="3" s="1"/>
  <c r="O48" i="3"/>
  <c r="O61" i="3"/>
  <c r="S34" i="3"/>
  <c r="S103" i="3"/>
  <c r="W71" i="3"/>
  <c r="W109" i="3"/>
  <c r="S71" i="3"/>
  <c r="L19" i="3"/>
  <c r="O34" i="3"/>
  <c r="S14" i="3"/>
  <c r="G98" i="3"/>
  <c r="N131" i="3"/>
  <c r="O115" i="3"/>
  <c r="O122" i="3"/>
  <c r="J129" i="3"/>
  <c r="K24" i="3"/>
  <c r="L15" i="3"/>
  <c r="M131" i="3"/>
  <c r="O109" i="3"/>
  <c r="S92" i="3"/>
  <c r="W14" i="3"/>
  <c r="W103" i="3"/>
  <c r="G122" i="3"/>
  <c r="L97" i="3"/>
  <c r="O14" i="3"/>
  <c r="O103" i="3"/>
  <c r="R131" i="3"/>
  <c r="S61" i="3"/>
  <c r="S122" i="3"/>
  <c r="W92" i="3"/>
  <c r="G109" i="3"/>
  <c r="L26" i="3"/>
  <c r="AC26" i="3" s="1"/>
  <c r="O92" i="3"/>
  <c r="Q131" i="3"/>
  <c r="S109" i="3"/>
  <c r="U131" i="3"/>
  <c r="W61" i="3"/>
  <c r="W122" i="3"/>
  <c r="G48" i="3"/>
  <c r="E34" i="3"/>
  <c r="E71" i="3"/>
  <c r="G75" i="3"/>
  <c r="G101" i="3"/>
  <c r="E109" i="3"/>
  <c r="G20" i="3"/>
  <c r="P125" i="2"/>
  <c r="F14" i="2"/>
  <c r="F37" i="2" s="1"/>
  <c r="F159" i="2" s="1"/>
  <c r="F110" i="2"/>
  <c r="F161" i="2" s="1"/>
  <c r="I101" i="2"/>
  <c r="I160" i="2" s="1"/>
  <c r="L44" i="2"/>
  <c r="K101" i="2"/>
  <c r="K160" i="2" s="1"/>
  <c r="M101" i="2"/>
  <c r="M160" i="2" s="1"/>
  <c r="N44" i="2"/>
  <c r="J44" i="2"/>
  <c r="S155" i="2"/>
  <c r="M155" i="2"/>
  <c r="K155" i="2"/>
  <c r="I155" i="2"/>
  <c r="F40" i="2"/>
  <c r="F101" i="2" s="1"/>
  <c r="F160" i="2" s="1"/>
  <c r="G34" i="3" l="1"/>
  <c r="G118" i="3"/>
  <c r="S160" i="2"/>
  <c r="AG8" i="3"/>
  <c r="P27" i="3"/>
  <c r="T96" i="3"/>
  <c r="AC96" i="3"/>
  <c r="T98" i="3"/>
  <c r="AC98" i="3"/>
  <c r="T97" i="3"/>
  <c r="AC97" i="3"/>
  <c r="F131" i="3"/>
  <c r="G61" i="3"/>
  <c r="G5" i="3"/>
  <c r="G71" i="3"/>
  <c r="G103" i="3"/>
  <c r="G14" i="3"/>
  <c r="X73" i="3"/>
  <c r="P73" i="3"/>
  <c r="X96" i="3"/>
  <c r="T73" i="3"/>
  <c r="X97" i="3"/>
  <c r="AB73" i="3"/>
  <c r="X21" i="3"/>
  <c r="X98" i="3"/>
  <c r="X25" i="3"/>
  <c r="X95" i="3"/>
  <c r="T95" i="3"/>
  <c r="T19" i="3"/>
  <c r="AB25" i="3"/>
  <c r="T25" i="3"/>
  <c r="T21" i="3"/>
  <c r="T15" i="3"/>
  <c r="AB96" i="3"/>
  <c r="P97" i="3"/>
  <c r="AB98" i="3"/>
  <c r="P95" i="3"/>
  <c r="P96" i="3"/>
  <c r="F155" i="2"/>
  <c r="F156" i="2" s="1"/>
  <c r="AB27" i="3"/>
  <c r="AB26" i="3"/>
  <c r="AB21" i="3"/>
  <c r="AB95" i="3"/>
  <c r="O131" i="3"/>
  <c r="G92" i="3"/>
  <c r="AB97" i="3"/>
  <c r="S131" i="3"/>
  <c r="W131" i="3"/>
  <c r="L129" i="3"/>
  <c r="AC129" i="3" s="1"/>
  <c r="L24" i="3"/>
  <c r="AC24" i="3" s="1"/>
  <c r="E115" i="3"/>
  <c r="E131" i="3" s="1"/>
  <c r="F162" i="2"/>
  <c r="F165" i="2" s="1"/>
  <c r="G115" i="3" l="1"/>
  <c r="AG14" i="3"/>
  <c r="G132" i="3"/>
  <c r="G131" i="3"/>
  <c r="T129" i="3"/>
  <c r="X129" i="3"/>
  <c r="P129" i="3"/>
  <c r="X24" i="3"/>
  <c r="T24" i="3"/>
  <c r="AB24" i="3"/>
  <c r="O29" i="1"/>
  <c r="O27" i="1"/>
  <c r="O22" i="1"/>
  <c r="AA16" i="3" l="1"/>
  <c r="Z14" i="3"/>
  <c r="AA112" i="3"/>
  <c r="AA114" i="3"/>
  <c r="AA110" i="3"/>
  <c r="AA111" i="3"/>
  <c r="AA108" i="3"/>
  <c r="AA107" i="3"/>
  <c r="H30" i="14" s="1"/>
  <c r="AA106" i="3"/>
  <c r="AA105" i="3"/>
  <c r="AA104" i="3"/>
  <c r="AA77" i="3"/>
  <c r="AA78" i="3"/>
  <c r="AA79" i="3"/>
  <c r="AA80" i="3"/>
  <c r="AA82" i="3"/>
  <c r="AA83" i="3"/>
  <c r="AA84" i="3"/>
  <c r="AA85" i="3"/>
  <c r="AA86" i="3"/>
  <c r="AA91" i="3"/>
  <c r="AA87" i="3"/>
  <c r="AA88" i="3"/>
  <c r="AA89" i="3"/>
  <c r="AA90" i="3"/>
  <c r="AA75" i="3"/>
  <c r="AA43" i="3"/>
  <c r="AA45" i="3"/>
  <c r="AA38" i="3"/>
  <c r="AA39" i="3"/>
  <c r="AA40" i="3"/>
  <c r="AA41" i="3"/>
  <c r="AA46" i="3"/>
  <c r="AA47" i="3"/>
  <c r="AA32" i="3"/>
  <c r="AA30" i="3"/>
  <c r="AA31" i="3"/>
  <c r="AA33" i="3"/>
  <c r="AA20" i="3"/>
  <c r="AA15" i="3"/>
  <c r="AA128" i="3"/>
  <c r="AA127" i="3"/>
  <c r="AA126" i="3"/>
  <c r="AA125" i="3"/>
  <c r="AA124" i="3"/>
  <c r="AA123" i="3"/>
  <c r="AA121" i="3"/>
  <c r="AA120" i="3"/>
  <c r="AA116" i="3"/>
  <c r="AA102" i="3"/>
  <c r="AA99" i="3"/>
  <c r="AA94" i="3"/>
  <c r="AA93" i="3"/>
  <c r="AA76" i="3"/>
  <c r="AA74" i="3"/>
  <c r="AA72" i="3"/>
  <c r="AA70" i="3"/>
  <c r="AA69" i="3" s="1"/>
  <c r="AA68" i="3"/>
  <c r="AA67" i="3"/>
  <c r="AA66" i="3"/>
  <c r="AA64" i="3"/>
  <c r="AA63" i="3"/>
  <c r="AA62" i="3"/>
  <c r="AA60" i="3"/>
  <c r="AA57" i="3"/>
  <c r="J56" i="3"/>
  <c r="AA55" i="3"/>
  <c r="H22" i="14" s="1"/>
  <c r="AA54" i="3"/>
  <c r="AA53" i="3"/>
  <c r="AA52" i="3"/>
  <c r="AA51" i="3"/>
  <c r="AA50" i="3"/>
  <c r="AA49" i="3"/>
  <c r="AA37" i="3"/>
  <c r="AA36" i="3"/>
  <c r="AA35" i="3"/>
  <c r="AA19" i="3"/>
  <c r="AC19" i="3" s="1"/>
  <c r="AA18" i="3"/>
  <c r="AA17" i="3"/>
  <c r="AA13" i="3"/>
  <c r="AA12" i="3"/>
  <c r="AA11" i="3"/>
  <c r="AA10" i="3"/>
  <c r="AA9" i="3"/>
  <c r="AA6" i="3"/>
  <c r="AA5" i="3" s="1"/>
  <c r="O148" i="2"/>
  <c r="O164" i="2" s="1"/>
  <c r="F12" i="14"/>
  <c r="O110" i="2"/>
  <c r="H144" i="2"/>
  <c r="P123" i="2"/>
  <c r="H31" i="2"/>
  <c r="H32" i="2"/>
  <c r="Q32" i="2" s="1"/>
  <c r="H33" i="2"/>
  <c r="Q33" i="2" s="1"/>
  <c r="H34" i="2"/>
  <c r="Q34" i="2" s="1"/>
  <c r="O14" i="2"/>
  <c r="O40" i="2"/>
  <c r="O163" i="2"/>
  <c r="M11" i="1" s="1"/>
  <c r="O26" i="2"/>
  <c r="H30" i="2"/>
  <c r="Q30" i="2" s="1"/>
  <c r="H23" i="2"/>
  <c r="Q23" i="2" s="1"/>
  <c r="H22" i="2"/>
  <c r="Q22" i="2" s="1"/>
  <c r="H21" i="2"/>
  <c r="Q21" i="2" s="1"/>
  <c r="H20" i="2"/>
  <c r="Q20" i="2" s="1"/>
  <c r="H19" i="2"/>
  <c r="Q19" i="2" s="1"/>
  <c r="H18" i="2"/>
  <c r="Q18" i="2" s="1"/>
  <c r="H17" i="2"/>
  <c r="Q17" i="2" s="1"/>
  <c r="H16" i="2"/>
  <c r="Q16" i="2" s="1"/>
  <c r="H15" i="2"/>
  <c r="Q15" i="2" s="1"/>
  <c r="H7" i="2"/>
  <c r="Q7" i="2" s="1"/>
  <c r="H8" i="2"/>
  <c r="Q8" i="2" s="1"/>
  <c r="H9" i="2"/>
  <c r="Q9" i="2" s="1"/>
  <c r="H10" i="2"/>
  <c r="Q10" i="2" s="1"/>
  <c r="H12" i="2"/>
  <c r="H6" i="2"/>
  <c r="Q6" i="2" s="1"/>
  <c r="H122" i="3"/>
  <c r="J119" i="3"/>
  <c r="H139" i="2"/>
  <c r="Q139" i="2" s="1"/>
  <c r="H71" i="3"/>
  <c r="H103" i="3"/>
  <c r="AG91" i="3"/>
  <c r="G40" i="2"/>
  <c r="C10" i="1"/>
  <c r="C12" i="1"/>
  <c r="C9" i="1"/>
  <c r="C11" i="1"/>
  <c r="H14" i="3"/>
  <c r="I71" i="3"/>
  <c r="I14" i="3"/>
  <c r="J35" i="3"/>
  <c r="J121" i="3"/>
  <c r="H109" i="3"/>
  <c r="AG32" i="3"/>
  <c r="T46" i="2"/>
  <c r="AG64" i="3"/>
  <c r="AG74" i="3"/>
  <c r="AG33" i="3"/>
  <c r="AG116" i="3"/>
  <c r="T60" i="2"/>
  <c r="AG106" i="3"/>
  <c r="AG105" i="3"/>
  <c r="AG57" i="3"/>
  <c r="T62" i="2"/>
  <c r="T6" i="2"/>
  <c r="T7" i="2"/>
  <c r="T8" i="2"/>
  <c r="T9" i="2"/>
  <c r="T10" i="2"/>
  <c r="T11" i="2"/>
  <c r="T12" i="2"/>
  <c r="T15" i="2"/>
  <c r="T16" i="2"/>
  <c r="T18" i="2"/>
  <c r="T19" i="2"/>
  <c r="T20" i="2"/>
  <c r="T21" i="2"/>
  <c r="T23" i="2"/>
  <c r="T28" i="2"/>
  <c r="T30" i="2"/>
  <c r="T31" i="2"/>
  <c r="T32" i="2"/>
  <c r="T33" i="2"/>
  <c r="T36" i="2"/>
  <c r="T42" i="2"/>
  <c r="T43" i="2"/>
  <c r="T45" i="2"/>
  <c r="T47" i="2"/>
  <c r="T48" i="2"/>
  <c r="T49" i="2"/>
  <c r="T51" i="2"/>
  <c r="T52" i="2"/>
  <c r="T53" i="2"/>
  <c r="T55" i="2"/>
  <c r="T56" i="2"/>
  <c r="T59" i="2"/>
  <c r="T63" i="2"/>
  <c r="T65" i="2"/>
  <c r="T66" i="2"/>
  <c r="T67" i="2"/>
  <c r="T68" i="2"/>
  <c r="T69" i="2"/>
  <c r="T71" i="2"/>
  <c r="T72" i="2"/>
  <c r="T75" i="2"/>
  <c r="T77" i="2"/>
  <c r="T78" i="2"/>
  <c r="T80" i="2"/>
  <c r="T81" i="2"/>
  <c r="T82" i="2"/>
  <c r="T83" i="2"/>
  <c r="T84" i="2"/>
  <c r="T87" i="2"/>
  <c r="T91" i="2"/>
  <c r="T106" i="2"/>
  <c r="T107" i="2"/>
  <c r="T116" i="2"/>
  <c r="T117" i="2"/>
  <c r="T119" i="2"/>
  <c r="T120" i="2"/>
  <c r="T134" i="2"/>
  <c r="T135" i="2"/>
  <c r="T146" i="2"/>
  <c r="T88" i="2"/>
  <c r="T79" i="2"/>
  <c r="T35" i="2"/>
  <c r="S5" i="2"/>
  <c r="J13" i="3"/>
  <c r="K107" i="3"/>
  <c r="K110" i="3"/>
  <c r="K112" i="3"/>
  <c r="H92" i="3"/>
  <c r="H48" i="3"/>
  <c r="J32" i="3"/>
  <c r="K32" i="3"/>
  <c r="G110" i="2"/>
  <c r="G164" i="2"/>
  <c r="J111" i="3"/>
  <c r="K111" i="3"/>
  <c r="E24" i="1"/>
  <c r="O24" i="1" s="1"/>
  <c r="E25" i="1"/>
  <c r="J6" i="3"/>
  <c r="J5" i="3" s="1"/>
  <c r="K6" i="3"/>
  <c r="K5" i="3" s="1"/>
  <c r="AG130" i="3"/>
  <c r="AG128" i="3"/>
  <c r="AG125" i="3"/>
  <c r="AG124" i="3"/>
  <c r="AG101" i="3"/>
  <c r="AG93" i="3"/>
  <c r="AG90" i="3"/>
  <c r="AG88" i="3"/>
  <c r="AG87" i="3"/>
  <c r="AG84" i="3"/>
  <c r="AG72" i="3"/>
  <c r="AG67" i="3"/>
  <c r="AG66" i="3"/>
  <c r="AG60" i="3"/>
  <c r="AG55" i="3"/>
  <c r="AG54" i="3"/>
  <c r="AG52" i="3"/>
  <c r="AG47" i="3"/>
  <c r="AG46" i="3"/>
  <c r="AG44" i="3"/>
  <c r="AG42" i="3"/>
  <c r="AG38" i="3"/>
  <c r="AG17" i="3"/>
  <c r="AG16" i="3"/>
  <c r="AG13" i="3"/>
  <c r="AG12" i="3"/>
  <c r="AG11" i="3"/>
  <c r="AG9" i="3"/>
  <c r="AA130" i="3"/>
  <c r="Z122" i="3"/>
  <c r="Y122" i="3"/>
  <c r="Z109" i="3"/>
  <c r="Y109" i="3"/>
  <c r="Z103" i="3"/>
  <c r="Y92" i="3"/>
  <c r="AA81" i="3"/>
  <c r="H15" i="14" s="1"/>
  <c r="H13" i="14"/>
  <c r="Z71" i="3"/>
  <c r="Y71" i="3"/>
  <c r="Z69" i="3"/>
  <c r="Y69" i="3"/>
  <c r="Z61" i="3"/>
  <c r="Y61" i="3"/>
  <c r="Z48" i="3"/>
  <c r="AA44" i="3"/>
  <c r="Z34" i="3"/>
  <c r="Y14" i="3"/>
  <c r="K49" i="3"/>
  <c r="J120" i="3"/>
  <c r="K94" i="3"/>
  <c r="K76" i="3"/>
  <c r="K83" i="3"/>
  <c r="J74" i="3"/>
  <c r="J75" i="3"/>
  <c r="J76" i="3"/>
  <c r="J78" i="3"/>
  <c r="J79" i="3"/>
  <c r="J80" i="3"/>
  <c r="J81" i="3"/>
  <c r="J82" i="3"/>
  <c r="J84" i="3"/>
  <c r="J83" i="3"/>
  <c r="J85" i="3"/>
  <c r="J87" i="3"/>
  <c r="J88" i="3"/>
  <c r="K43" i="3"/>
  <c r="K44" i="3"/>
  <c r="J41" i="3"/>
  <c r="J42" i="3"/>
  <c r="J43" i="3"/>
  <c r="J44" i="3"/>
  <c r="J17" i="3"/>
  <c r="K17" i="3"/>
  <c r="J20" i="3"/>
  <c r="J18" i="3"/>
  <c r="K18" i="3"/>
  <c r="J30" i="3"/>
  <c r="K30" i="3"/>
  <c r="J31" i="3"/>
  <c r="K31" i="3"/>
  <c r="J106" i="3"/>
  <c r="L106" i="3" s="1"/>
  <c r="AC106" i="3" s="1"/>
  <c r="J104" i="3"/>
  <c r="J127" i="3"/>
  <c r="J114" i="3"/>
  <c r="J112" i="3"/>
  <c r="J91" i="3"/>
  <c r="J86" i="3"/>
  <c r="AG68" i="3"/>
  <c r="AG51" i="3"/>
  <c r="AG45" i="3"/>
  <c r="H116" i="2"/>
  <c r="Q116" i="2" s="1"/>
  <c r="H117" i="2"/>
  <c r="Q117" i="2" s="1"/>
  <c r="H119" i="2"/>
  <c r="Q119" i="2" s="1"/>
  <c r="H120" i="2"/>
  <c r="Q120" i="2" s="1"/>
  <c r="H135" i="2"/>
  <c r="Q135" i="2" s="1"/>
  <c r="H134" i="2"/>
  <c r="Q134" i="2" s="1"/>
  <c r="H146" i="2"/>
  <c r="Q146" i="2" s="1"/>
  <c r="H147" i="2"/>
  <c r="O35" i="2"/>
  <c r="K12" i="1"/>
  <c r="M5" i="2"/>
  <c r="M37" i="2" s="1"/>
  <c r="I10" i="1"/>
  <c r="K5" i="2"/>
  <c r="K37" i="2" s="1"/>
  <c r="G163" i="2"/>
  <c r="D11" i="1" s="1"/>
  <c r="G62" i="2"/>
  <c r="G35" i="2"/>
  <c r="G29" i="2"/>
  <c r="G26" i="2"/>
  <c r="G14" i="2"/>
  <c r="G5" i="2"/>
  <c r="T73" i="2"/>
  <c r="T70" i="2"/>
  <c r="T64" i="2"/>
  <c r="T61" i="2"/>
  <c r="T58" i="2"/>
  <c r="T54" i="2"/>
  <c r="T41" i="2"/>
  <c r="T29" i="2"/>
  <c r="T26" i="2"/>
  <c r="T22" i="2"/>
  <c r="T17" i="2"/>
  <c r="H133" i="2"/>
  <c r="Q133" i="2" s="1"/>
  <c r="T133" i="2"/>
  <c r="H132" i="2"/>
  <c r="T132" i="2"/>
  <c r="T148" i="2"/>
  <c r="J38" i="3"/>
  <c r="K20" i="3"/>
  <c r="J70" i="3"/>
  <c r="J69" i="3" s="1"/>
  <c r="J64" i="3"/>
  <c r="J77" i="3"/>
  <c r="J40" i="3"/>
  <c r="T164" i="2"/>
  <c r="T14" i="2"/>
  <c r="S22" i="1"/>
  <c r="G15" i="1"/>
  <c r="K82" i="3"/>
  <c r="K74" i="3"/>
  <c r="K78" i="3"/>
  <c r="K66" i="3"/>
  <c r="J67" i="3"/>
  <c r="J52" i="3"/>
  <c r="J51" i="3"/>
  <c r="AE115" i="3"/>
  <c r="AE131" i="3" s="1"/>
  <c r="G11" i="1"/>
  <c r="G10" i="1"/>
  <c r="I5" i="2"/>
  <c r="I37" i="2" s="1"/>
  <c r="H46" i="2"/>
  <c r="Q46" i="2" s="1"/>
  <c r="H47" i="2"/>
  <c r="Q47" i="2" s="1"/>
  <c r="H48" i="2"/>
  <c r="Q48" i="2" s="1"/>
  <c r="H49" i="2"/>
  <c r="Q49" i="2" s="1"/>
  <c r="H51" i="2"/>
  <c r="Q51" i="2" s="1"/>
  <c r="H52" i="2"/>
  <c r="Q52" i="2" s="1"/>
  <c r="H53" i="2"/>
  <c r="Q53" i="2" s="1"/>
  <c r="H55" i="2"/>
  <c r="Q55" i="2" s="1"/>
  <c r="H56" i="2"/>
  <c r="Q56" i="2" s="1"/>
  <c r="H59" i="2"/>
  <c r="Q59" i="2" s="1"/>
  <c r="H78" i="2"/>
  <c r="Q78" i="2" s="1"/>
  <c r="H77" i="2"/>
  <c r="Q77" i="2" s="1"/>
  <c r="H76" i="2"/>
  <c r="Q76" i="2" s="1"/>
  <c r="H75" i="2"/>
  <c r="H96" i="2"/>
  <c r="Q96" i="2" s="1"/>
  <c r="H60" i="2"/>
  <c r="Q60" i="2" s="1"/>
  <c r="H58" i="2"/>
  <c r="Q58" i="2" s="1"/>
  <c r="H57" i="2"/>
  <c r="Q57" i="2" s="1"/>
  <c r="H54" i="2"/>
  <c r="Q54" i="2" s="1"/>
  <c r="K56" i="3"/>
  <c r="K101" i="3"/>
  <c r="J99" i="3"/>
  <c r="J62" i="3"/>
  <c r="K62" i="3"/>
  <c r="J63" i="3"/>
  <c r="K64" i="3"/>
  <c r="J54" i="3"/>
  <c r="J57" i="3"/>
  <c r="K46" i="3"/>
  <c r="K47" i="3"/>
  <c r="K42" i="3"/>
  <c r="K41" i="3"/>
  <c r="K10" i="3"/>
  <c r="AG79" i="3"/>
  <c r="K108" i="3"/>
  <c r="G158" i="2"/>
  <c r="H106" i="2"/>
  <c r="Q106" i="2" s="1"/>
  <c r="H65" i="2"/>
  <c r="Q65" i="2" s="1"/>
  <c r="H66" i="2"/>
  <c r="Q66" i="2" s="1"/>
  <c r="H67" i="2"/>
  <c r="Q67" i="2" s="1"/>
  <c r="H43" i="2"/>
  <c r="Q43" i="2" s="1"/>
  <c r="H45" i="2"/>
  <c r="Q45" i="2" s="1"/>
  <c r="O158" i="2"/>
  <c r="K11" i="1"/>
  <c r="J55" i="3"/>
  <c r="U70" i="2"/>
  <c r="U108" i="2" s="1"/>
  <c r="H89" i="2"/>
  <c r="Q89" i="2" s="1"/>
  <c r="I5" i="3"/>
  <c r="I34" i="3"/>
  <c r="I48" i="3"/>
  <c r="H61" i="3"/>
  <c r="I61" i="3"/>
  <c r="I69" i="3"/>
  <c r="H69" i="3"/>
  <c r="I92" i="3"/>
  <c r="I103" i="3"/>
  <c r="I122" i="3"/>
  <c r="F35" i="14"/>
  <c r="F20" i="14"/>
  <c r="F17" i="14"/>
  <c r="F19" i="14" s="1"/>
  <c r="K70" i="3"/>
  <c r="F7" i="14"/>
  <c r="F8" i="14" s="1"/>
  <c r="F10" i="14"/>
  <c r="F14" i="14"/>
  <c r="F15" i="14"/>
  <c r="F21" i="14"/>
  <c r="F23" i="14"/>
  <c r="F24" i="14"/>
  <c r="F27" i="14"/>
  <c r="F29" i="14"/>
  <c r="H29" i="14"/>
  <c r="F32" i="14"/>
  <c r="F33" i="14" s="1"/>
  <c r="F34" i="14"/>
  <c r="J9" i="3"/>
  <c r="K9" i="3"/>
  <c r="J11" i="3"/>
  <c r="K11" i="3"/>
  <c r="J12" i="3"/>
  <c r="K13" i="3"/>
  <c r="J16" i="3"/>
  <c r="K16" i="3"/>
  <c r="J33" i="3"/>
  <c r="K33" i="3"/>
  <c r="J36" i="3"/>
  <c r="J45" i="3"/>
  <c r="K45" i="3"/>
  <c r="J46" i="3"/>
  <c r="J47" i="3"/>
  <c r="J50" i="3"/>
  <c r="J53" i="3"/>
  <c r="J60" i="3"/>
  <c r="J66" i="3"/>
  <c r="J68" i="3"/>
  <c r="J72" i="3"/>
  <c r="K75" i="3"/>
  <c r="K84" i="3"/>
  <c r="J89" i="3"/>
  <c r="J90" i="3"/>
  <c r="J102" i="3"/>
  <c r="J101" i="3"/>
  <c r="J105" i="3"/>
  <c r="J116" i="3"/>
  <c r="K121" i="3"/>
  <c r="AG121" i="3"/>
  <c r="J123" i="3"/>
  <c r="J124" i="3"/>
  <c r="J125" i="3"/>
  <c r="J126" i="3"/>
  <c r="J128" i="3"/>
  <c r="H11" i="2"/>
  <c r="Q11" i="2" s="1"/>
  <c r="H24" i="2"/>
  <c r="Q24" i="2" s="1"/>
  <c r="H25" i="2"/>
  <c r="Q25" i="2" s="1"/>
  <c r="H27" i="2"/>
  <c r="Q27" i="2" s="1"/>
  <c r="H28" i="2"/>
  <c r="Q28" i="2" s="1"/>
  <c r="H36" i="2"/>
  <c r="Q36" i="2" s="1"/>
  <c r="H41" i="2"/>
  <c r="H42" i="2"/>
  <c r="Q42" i="2" s="1"/>
  <c r="H61" i="2"/>
  <c r="Q61" i="2" s="1"/>
  <c r="H63" i="2"/>
  <c r="Q63" i="2" s="1"/>
  <c r="H64" i="2"/>
  <c r="Q64" i="2" s="1"/>
  <c r="H68" i="2"/>
  <c r="Q68" i="2" s="1"/>
  <c r="H69" i="2"/>
  <c r="Q69" i="2" s="1"/>
  <c r="H71" i="2"/>
  <c r="Q71" i="2" s="1"/>
  <c r="H72" i="2"/>
  <c r="H80" i="2"/>
  <c r="Q80" i="2" s="1"/>
  <c r="H81" i="2"/>
  <c r="Q81" i="2" s="1"/>
  <c r="H82" i="2"/>
  <c r="Q82" i="2" s="1"/>
  <c r="H83" i="2"/>
  <c r="Q83" i="2" s="1"/>
  <c r="H84" i="2"/>
  <c r="Q84" i="2" s="1"/>
  <c r="H86" i="2"/>
  <c r="Q86" i="2" s="1"/>
  <c r="H87" i="2"/>
  <c r="Q87" i="2" s="1"/>
  <c r="H105" i="2"/>
  <c r="H107" i="2"/>
  <c r="Q107" i="2" s="1"/>
  <c r="H111" i="2"/>
  <c r="E21" i="1"/>
  <c r="O21" i="1" s="1"/>
  <c r="E23" i="1"/>
  <c r="S23" i="1" s="1"/>
  <c r="E26" i="1"/>
  <c r="AG10" i="3"/>
  <c r="J10" i="3"/>
  <c r="H70" i="2"/>
  <c r="Q70" i="2" s="1"/>
  <c r="AG41" i="3"/>
  <c r="AG36" i="3"/>
  <c r="F13" i="14"/>
  <c r="J94" i="3"/>
  <c r="J93" i="3"/>
  <c r="H21" i="1"/>
  <c r="O23" i="1"/>
  <c r="N21" i="1"/>
  <c r="K130" i="3"/>
  <c r="Q41" i="2" l="1"/>
  <c r="E7" i="14"/>
  <c r="S37" i="2"/>
  <c r="S156" i="2" s="1"/>
  <c r="Q14" i="2"/>
  <c r="AA8" i="3"/>
  <c r="AA109" i="3"/>
  <c r="H17" i="14"/>
  <c r="H19" i="14" s="1"/>
  <c r="AC15" i="3"/>
  <c r="AA14" i="3"/>
  <c r="S24" i="1"/>
  <c r="AA61" i="3"/>
  <c r="AA122" i="3"/>
  <c r="H25" i="14"/>
  <c r="H27" i="14"/>
  <c r="J27" i="14" s="1"/>
  <c r="P75" i="2"/>
  <c r="Q75" i="2"/>
  <c r="Q73" i="2" s="1"/>
  <c r="H73" i="2"/>
  <c r="Q31" i="2"/>
  <c r="Q29" i="2" s="1"/>
  <c r="Q72" i="2"/>
  <c r="Q12" i="2"/>
  <c r="Q5" i="2" s="1"/>
  <c r="Q144" i="2"/>
  <c r="P144" i="2"/>
  <c r="T111" i="2"/>
  <c r="Q111" i="2"/>
  <c r="P96" i="2"/>
  <c r="Q132" i="2"/>
  <c r="P132" i="2"/>
  <c r="Q105" i="2"/>
  <c r="Q108" i="2" s="1"/>
  <c r="Q163" i="2" s="1"/>
  <c r="H108" i="2"/>
  <c r="AB19" i="3"/>
  <c r="H10" i="14"/>
  <c r="J10" i="14" s="1"/>
  <c r="Q147" i="2"/>
  <c r="H88" i="2"/>
  <c r="H79" i="2"/>
  <c r="O26" i="1"/>
  <c r="K26" i="1"/>
  <c r="G26" i="1"/>
  <c r="H26" i="1" s="1"/>
  <c r="I26" i="1"/>
  <c r="J26" i="1" s="1"/>
  <c r="O25" i="1"/>
  <c r="H25" i="1"/>
  <c r="J25" i="1"/>
  <c r="L61" i="2"/>
  <c r="AF118" i="3"/>
  <c r="AD115" i="3"/>
  <c r="AD131" i="3" s="1"/>
  <c r="J8" i="3"/>
  <c r="K8" i="3"/>
  <c r="L13" i="3"/>
  <c r="AC13" i="3" s="1"/>
  <c r="L12" i="3"/>
  <c r="AC12" i="3" s="1"/>
  <c r="N117" i="2"/>
  <c r="N139" i="2"/>
  <c r="N135" i="2"/>
  <c r="N116" i="2"/>
  <c r="N144" i="2"/>
  <c r="N132" i="2"/>
  <c r="N133" i="2"/>
  <c r="N120" i="2"/>
  <c r="N134" i="2"/>
  <c r="N146" i="2"/>
  <c r="N119" i="2"/>
  <c r="L72" i="2"/>
  <c r="N31" i="2"/>
  <c r="L51" i="3"/>
  <c r="AC51" i="3" s="1"/>
  <c r="P53" i="2"/>
  <c r="L134" i="2"/>
  <c r="J134" i="2"/>
  <c r="L42" i="2"/>
  <c r="L96" i="2"/>
  <c r="J96" i="2"/>
  <c r="L135" i="2"/>
  <c r="L116" i="2"/>
  <c r="J116" i="2"/>
  <c r="L132" i="2"/>
  <c r="J132" i="2"/>
  <c r="L91" i="2"/>
  <c r="L133" i="2"/>
  <c r="J133" i="2"/>
  <c r="L120" i="2"/>
  <c r="J120" i="2"/>
  <c r="L139" i="2"/>
  <c r="J139" i="2"/>
  <c r="L117" i="2"/>
  <c r="J117" i="2"/>
  <c r="L146" i="2"/>
  <c r="L119" i="2"/>
  <c r="J119" i="2"/>
  <c r="L144" i="2"/>
  <c r="F36" i="14"/>
  <c r="L31" i="2"/>
  <c r="L33" i="2"/>
  <c r="E31" i="14"/>
  <c r="J135" i="2"/>
  <c r="E30" i="14"/>
  <c r="J146" i="2"/>
  <c r="J144" i="2"/>
  <c r="P63" i="2"/>
  <c r="P66" i="2"/>
  <c r="E17" i="14"/>
  <c r="E19" i="14" s="1"/>
  <c r="P59" i="2"/>
  <c r="N47" i="2"/>
  <c r="P65" i="2"/>
  <c r="L60" i="2"/>
  <c r="N52" i="2"/>
  <c r="P49" i="2"/>
  <c r="P135" i="2"/>
  <c r="P116" i="2"/>
  <c r="P58" i="2"/>
  <c r="N64" i="2"/>
  <c r="P48" i="2"/>
  <c r="P120" i="2"/>
  <c r="L10" i="2"/>
  <c r="P33" i="2"/>
  <c r="P23" i="2"/>
  <c r="L8" i="2"/>
  <c r="P17" i="2"/>
  <c r="P31" i="2"/>
  <c r="N21" i="2"/>
  <c r="L6" i="2"/>
  <c r="S26" i="1"/>
  <c r="N26" i="1"/>
  <c r="S25" i="1"/>
  <c r="L25" i="1"/>
  <c r="L26" i="1"/>
  <c r="J21" i="1"/>
  <c r="S21" i="1"/>
  <c r="L21" i="1"/>
  <c r="L87" i="3"/>
  <c r="AC87" i="3" s="1"/>
  <c r="AG5" i="3"/>
  <c r="K103" i="3"/>
  <c r="L57" i="3"/>
  <c r="AC57" i="3" s="1"/>
  <c r="K92" i="3"/>
  <c r="H33" i="14"/>
  <c r="J33" i="14" s="1"/>
  <c r="L80" i="3"/>
  <c r="AC80" i="3" s="1"/>
  <c r="L33" i="3"/>
  <c r="AC33" i="3" s="1"/>
  <c r="AG6" i="3"/>
  <c r="AB15" i="3"/>
  <c r="AB106" i="3"/>
  <c r="H7" i="14"/>
  <c r="H8" i="14" s="1"/>
  <c r="J8" i="14" s="1"/>
  <c r="L125" i="3"/>
  <c r="AC125" i="3" s="1"/>
  <c r="L126" i="3"/>
  <c r="AC126" i="3" s="1"/>
  <c r="K122" i="3"/>
  <c r="L123" i="3"/>
  <c r="AC123" i="3" s="1"/>
  <c r="L116" i="3"/>
  <c r="AC116" i="3" s="1"/>
  <c r="L119" i="3"/>
  <c r="X106" i="3"/>
  <c r="L104" i="3"/>
  <c r="AC104" i="3" s="1"/>
  <c r="L105" i="3"/>
  <c r="AC105" i="3" s="1"/>
  <c r="T106" i="3"/>
  <c r="L99" i="3"/>
  <c r="AC99" i="3" s="1"/>
  <c r="L93" i="3"/>
  <c r="AC93" i="3" s="1"/>
  <c r="G29" i="14"/>
  <c r="L81" i="3"/>
  <c r="AC81" i="3" s="1"/>
  <c r="L88" i="3"/>
  <c r="AC88" i="3" s="1"/>
  <c r="L90" i="3"/>
  <c r="AC90" i="3" s="1"/>
  <c r="L75" i="3"/>
  <c r="AC75" i="3" s="1"/>
  <c r="L85" i="3"/>
  <c r="AC85" i="3" s="1"/>
  <c r="L68" i="3"/>
  <c r="AC68" i="3" s="1"/>
  <c r="L50" i="3"/>
  <c r="AC50" i="3" s="1"/>
  <c r="L60" i="3"/>
  <c r="AC60" i="3" s="1"/>
  <c r="L55" i="3"/>
  <c r="AC55" i="3" s="1"/>
  <c r="L54" i="3"/>
  <c r="AC54" i="3" s="1"/>
  <c r="L52" i="3"/>
  <c r="AC52" i="3" s="1"/>
  <c r="L47" i="3"/>
  <c r="AC47" i="3" s="1"/>
  <c r="L42" i="3"/>
  <c r="L40" i="3"/>
  <c r="AC40" i="3" s="1"/>
  <c r="L67" i="3"/>
  <c r="AC67" i="3" s="1"/>
  <c r="L38" i="3"/>
  <c r="AC38" i="3" s="1"/>
  <c r="L70" i="3"/>
  <c r="AC70" i="3" s="1"/>
  <c r="L112" i="3"/>
  <c r="AC112" i="3" s="1"/>
  <c r="L53" i="3"/>
  <c r="AC53" i="3" s="1"/>
  <c r="K48" i="3"/>
  <c r="L101" i="3"/>
  <c r="L37" i="3"/>
  <c r="AC37" i="3" s="1"/>
  <c r="AA103" i="3"/>
  <c r="L91" i="3"/>
  <c r="AC91" i="3" s="1"/>
  <c r="AG49" i="3"/>
  <c r="AA42" i="3"/>
  <c r="AA34" i="3" s="1"/>
  <c r="Y34" i="3"/>
  <c r="L35" i="3"/>
  <c r="AC35" i="3" s="1"/>
  <c r="J107" i="3"/>
  <c r="H34" i="14"/>
  <c r="H36" i="14" s="1"/>
  <c r="J49" i="3"/>
  <c r="J15" i="14"/>
  <c r="H34" i="3"/>
  <c r="K63" i="3"/>
  <c r="I15" i="1"/>
  <c r="AG99" i="3"/>
  <c r="L111" i="3"/>
  <c r="AC111" i="3" s="1"/>
  <c r="AG104" i="3"/>
  <c r="J130" i="3"/>
  <c r="L120" i="3"/>
  <c r="AC120" i="3" s="1"/>
  <c r="J110" i="3"/>
  <c r="K69" i="3"/>
  <c r="J29" i="14"/>
  <c r="Y103" i="3"/>
  <c r="L121" i="3"/>
  <c r="AC121" i="3" s="1"/>
  <c r="AG89" i="3"/>
  <c r="AG108" i="3"/>
  <c r="I109" i="3"/>
  <c r="K114" i="3"/>
  <c r="L56" i="3"/>
  <c r="L102" i="3"/>
  <c r="AC102" i="3" s="1"/>
  <c r="L45" i="3"/>
  <c r="AC45" i="3" s="1"/>
  <c r="J19" i="14"/>
  <c r="AG86" i="3"/>
  <c r="L6" i="3"/>
  <c r="AC6" i="3" s="1"/>
  <c r="L32" i="3"/>
  <c r="AC32" i="3" s="1"/>
  <c r="L127" i="3"/>
  <c r="AC127" i="3" s="1"/>
  <c r="J108" i="3"/>
  <c r="L43" i="3"/>
  <c r="AC43" i="3" s="1"/>
  <c r="J39" i="3"/>
  <c r="L86" i="3"/>
  <c r="AC86" i="3" s="1"/>
  <c r="L74" i="3"/>
  <c r="AC74" i="3" s="1"/>
  <c r="L76" i="3"/>
  <c r="AC76" i="3" s="1"/>
  <c r="AG78" i="3"/>
  <c r="AG82" i="3"/>
  <c r="AG112" i="3"/>
  <c r="K71" i="3"/>
  <c r="L46" i="3"/>
  <c r="AC46" i="3" s="1"/>
  <c r="AG114" i="3"/>
  <c r="L77" i="3"/>
  <c r="AC77" i="3" s="1"/>
  <c r="L82" i="3"/>
  <c r="AC82" i="3" s="1"/>
  <c r="AG39" i="3"/>
  <c r="AA56" i="3"/>
  <c r="AA48" i="3" s="1"/>
  <c r="L10" i="3"/>
  <c r="AC10" i="3" s="1"/>
  <c r="J61" i="3"/>
  <c r="AG53" i="3"/>
  <c r="L83" i="3"/>
  <c r="AC83" i="3" s="1"/>
  <c r="AG25" i="3"/>
  <c r="AG19" i="3"/>
  <c r="AG77" i="3"/>
  <c r="AG75" i="3"/>
  <c r="L44" i="3"/>
  <c r="AC44" i="3" s="1"/>
  <c r="AG81" i="3"/>
  <c r="AG85" i="3"/>
  <c r="AG126" i="3"/>
  <c r="AG30" i="3"/>
  <c r="L48" i="2"/>
  <c r="N48" i="2"/>
  <c r="L78" i="2"/>
  <c r="P78" i="2"/>
  <c r="P57" i="2"/>
  <c r="P133" i="2"/>
  <c r="J69" i="2"/>
  <c r="L28" i="2"/>
  <c r="J64" i="2"/>
  <c r="L53" i="2"/>
  <c r="J48" i="2"/>
  <c r="J18" i="2"/>
  <c r="E21" i="14"/>
  <c r="E32" i="14"/>
  <c r="J53" i="2"/>
  <c r="J57" i="2"/>
  <c r="J91" i="2"/>
  <c r="P83" i="2"/>
  <c r="N53" i="2"/>
  <c r="N78" i="2"/>
  <c r="J78" i="2"/>
  <c r="E10" i="14"/>
  <c r="N57" i="2"/>
  <c r="L57" i="2"/>
  <c r="N80" i="2"/>
  <c r="P18" i="2"/>
  <c r="N66" i="2"/>
  <c r="L46" i="2"/>
  <c r="J56" i="2"/>
  <c r="L22" i="2"/>
  <c r="L66" i="2"/>
  <c r="L80" i="2"/>
  <c r="P60" i="2"/>
  <c r="L18" i="2"/>
  <c r="N18" i="2"/>
  <c r="J66" i="2"/>
  <c r="N30" i="2"/>
  <c r="T5" i="2"/>
  <c r="E35" i="14"/>
  <c r="P30" i="2"/>
  <c r="P28" i="2"/>
  <c r="P61" i="2"/>
  <c r="J30" i="2"/>
  <c r="N20" i="2"/>
  <c r="L20" i="2"/>
  <c r="J20" i="2"/>
  <c r="L69" i="2"/>
  <c r="P69" i="2"/>
  <c r="E24" i="14"/>
  <c r="L30" i="2"/>
  <c r="J9" i="2"/>
  <c r="J61" i="2"/>
  <c r="P20" i="2"/>
  <c r="N28" i="2"/>
  <c r="N61" i="2"/>
  <c r="E23" i="14"/>
  <c r="L16" i="2"/>
  <c r="L9" i="2"/>
  <c r="N16" i="2"/>
  <c r="N69" i="2"/>
  <c r="P87" i="2"/>
  <c r="J111" i="2"/>
  <c r="J87" i="2"/>
  <c r="P111" i="2"/>
  <c r="N111" i="2"/>
  <c r="N72" i="2"/>
  <c r="J83" i="2"/>
  <c r="N9" i="2"/>
  <c r="N67" i="2"/>
  <c r="J16" i="2"/>
  <c r="P16" i="2"/>
  <c r="J72" i="2"/>
  <c r="L64" i="2"/>
  <c r="N83" i="2"/>
  <c r="E8" i="14"/>
  <c r="P9" i="2"/>
  <c r="L67" i="2"/>
  <c r="J67" i="2"/>
  <c r="P22" i="2"/>
  <c r="L45" i="2"/>
  <c r="G37" i="2"/>
  <c r="G159" i="2" s="1"/>
  <c r="D9" i="1" s="1"/>
  <c r="E9" i="1" s="1"/>
  <c r="J49" i="2"/>
  <c r="P72" i="2"/>
  <c r="L83" i="2"/>
  <c r="J19" i="2"/>
  <c r="E12" i="14"/>
  <c r="J54" i="2"/>
  <c r="N49" i="2"/>
  <c r="J77" i="2"/>
  <c r="P80" i="2"/>
  <c r="N84" i="2"/>
  <c r="N77" i="2"/>
  <c r="N54" i="2"/>
  <c r="L84" i="2"/>
  <c r="P106" i="2"/>
  <c r="J106" i="2"/>
  <c r="E11" i="1"/>
  <c r="N11" i="1" s="1"/>
  <c r="L49" i="2"/>
  <c r="L55" i="2"/>
  <c r="J80" i="2"/>
  <c r="L54" i="2"/>
  <c r="P55" i="2"/>
  <c r="N55" i="2"/>
  <c r="P105" i="2"/>
  <c r="L105" i="2"/>
  <c r="N42" i="2"/>
  <c r="P6" i="2"/>
  <c r="L77" i="2"/>
  <c r="E20" i="14"/>
  <c r="J105" i="2"/>
  <c r="P43" i="2"/>
  <c r="L43" i="2"/>
  <c r="G155" i="2"/>
  <c r="P77" i="2"/>
  <c r="J33" i="2"/>
  <c r="J55" i="2"/>
  <c r="J84" i="2"/>
  <c r="N33" i="2"/>
  <c r="N6" i="2"/>
  <c r="P54" i="2"/>
  <c r="J6" i="2"/>
  <c r="L68" i="2"/>
  <c r="N43" i="2"/>
  <c r="J43" i="2"/>
  <c r="M156" i="2"/>
  <c r="M159" i="2"/>
  <c r="M162" i="2" s="1"/>
  <c r="M165" i="2" s="1"/>
  <c r="K156" i="2"/>
  <c r="K159" i="2"/>
  <c r="K162" i="2" s="1"/>
  <c r="K165" i="2" s="1"/>
  <c r="I156" i="2"/>
  <c r="I159" i="2"/>
  <c r="I162" i="2" s="1"/>
  <c r="I165" i="2" s="1"/>
  <c r="G161" i="2"/>
  <c r="D12" i="1" s="1"/>
  <c r="E12" i="1" s="1"/>
  <c r="N106" i="2"/>
  <c r="F25" i="14"/>
  <c r="J25" i="14" s="1"/>
  <c r="O37" i="2"/>
  <c r="O159" i="2" s="1"/>
  <c r="M9" i="1" s="1"/>
  <c r="N60" i="2"/>
  <c r="J60" i="2"/>
  <c r="N56" i="2"/>
  <c r="J51" i="2"/>
  <c r="L56" i="2"/>
  <c r="J46" i="2"/>
  <c r="L41" i="2"/>
  <c r="P56" i="2"/>
  <c r="N51" i="2"/>
  <c r="L51" i="2"/>
  <c r="J41" i="2"/>
  <c r="P41" i="2"/>
  <c r="E13" i="14"/>
  <c r="N41" i="2"/>
  <c r="E29" i="14"/>
  <c r="N46" i="2"/>
  <c r="J28" i="2"/>
  <c r="L17" i="2"/>
  <c r="P11" i="2"/>
  <c r="P139" i="2"/>
  <c r="P71" i="2"/>
  <c r="L71" i="2"/>
  <c r="N71" i="2"/>
  <c r="J63" i="2"/>
  <c r="N63" i="2"/>
  <c r="L63" i="2"/>
  <c r="Q35" i="2"/>
  <c r="L36" i="2"/>
  <c r="N36" i="2"/>
  <c r="P36" i="2"/>
  <c r="J36" i="2"/>
  <c r="H35" i="2"/>
  <c r="H164" i="2"/>
  <c r="P164" i="2" s="1"/>
  <c r="N148" i="2"/>
  <c r="P117" i="2"/>
  <c r="I12" i="1"/>
  <c r="T40" i="2"/>
  <c r="O79" i="2"/>
  <c r="P84" i="2"/>
  <c r="O155" i="2"/>
  <c r="O161" i="2"/>
  <c r="M12" i="1" s="1"/>
  <c r="J71" i="2"/>
  <c r="J81" i="2"/>
  <c r="P81" i="2"/>
  <c r="L81" i="2"/>
  <c r="N81" i="2"/>
  <c r="J148" i="2"/>
  <c r="P146" i="2"/>
  <c r="J22" i="2"/>
  <c r="G12" i="1"/>
  <c r="H40" i="2"/>
  <c r="P40" i="2" s="1"/>
  <c r="N58" i="2"/>
  <c r="J58" i="2"/>
  <c r="J59" i="2"/>
  <c r="N59" i="2"/>
  <c r="L59" i="2"/>
  <c r="E15" i="14"/>
  <c r="J52" i="2"/>
  <c r="L52" i="2"/>
  <c r="T57" i="2"/>
  <c r="G101" i="2"/>
  <c r="G160" i="2" s="1"/>
  <c r="D10" i="1" s="1"/>
  <c r="E10" i="1" s="1"/>
  <c r="I11" i="1"/>
  <c r="L106" i="2"/>
  <c r="L58" i="2"/>
  <c r="L7" i="2"/>
  <c r="J7" i="2"/>
  <c r="N7" i="2"/>
  <c r="P7" i="2"/>
  <c r="N22" i="2"/>
  <c r="T105" i="2"/>
  <c r="O88" i="2"/>
  <c r="L111" i="2"/>
  <c r="H26" i="2"/>
  <c r="P26" i="2" s="1"/>
  <c r="P67" i="2"/>
  <c r="N91" i="2"/>
  <c r="R11" i="1"/>
  <c r="Q26" i="2"/>
  <c r="N68" i="2"/>
  <c r="P82" i="2"/>
  <c r="P107" i="2"/>
  <c r="J11" i="2"/>
  <c r="N107" i="2"/>
  <c r="P70" i="2"/>
  <c r="P64" i="2"/>
  <c r="L75" i="2"/>
  <c r="J75" i="2"/>
  <c r="N75" i="2"/>
  <c r="J47" i="2"/>
  <c r="P134" i="2"/>
  <c r="P119" i="2"/>
  <c r="P52" i="2"/>
  <c r="P148" i="2"/>
  <c r="J68" i="2"/>
  <c r="P68" i="2"/>
  <c r="J82" i="2"/>
  <c r="P42" i="2"/>
  <c r="L11" i="2"/>
  <c r="H110" i="2"/>
  <c r="L107" i="2"/>
  <c r="E14" i="14"/>
  <c r="J107" i="2"/>
  <c r="P45" i="2"/>
  <c r="J45" i="2"/>
  <c r="N45" i="2"/>
  <c r="J65" i="2"/>
  <c r="L65" i="2"/>
  <c r="P47" i="2"/>
  <c r="L148" i="2"/>
  <c r="J42" i="2"/>
  <c r="L82" i="2"/>
  <c r="H62" i="2"/>
  <c r="N11" i="2"/>
  <c r="N82" i="2"/>
  <c r="E34" i="14"/>
  <c r="L87" i="2"/>
  <c r="N87" i="2"/>
  <c r="N70" i="2"/>
  <c r="N105" i="2"/>
  <c r="J70" i="2"/>
  <c r="L70" i="2"/>
  <c r="N65" i="2"/>
  <c r="L47" i="2"/>
  <c r="P32" i="2"/>
  <c r="N32" i="2"/>
  <c r="L32" i="2"/>
  <c r="P91" i="2"/>
  <c r="P51" i="2"/>
  <c r="P46" i="2"/>
  <c r="L16" i="3"/>
  <c r="AC16" i="3" s="1"/>
  <c r="L62" i="3"/>
  <c r="AC62" i="3" s="1"/>
  <c r="L84" i="3"/>
  <c r="AC84" i="3" s="1"/>
  <c r="H14" i="14"/>
  <c r="J14" i="14" s="1"/>
  <c r="L11" i="3"/>
  <c r="AC11" i="3" s="1"/>
  <c r="L79" i="3"/>
  <c r="AC79" i="3" s="1"/>
  <c r="L78" i="3"/>
  <c r="AC78" i="3" s="1"/>
  <c r="AG35" i="3"/>
  <c r="AG40" i="3"/>
  <c r="AG43" i="3"/>
  <c r="AG50" i="3"/>
  <c r="AG27" i="3"/>
  <c r="L36" i="3"/>
  <c r="AC36" i="3" s="1"/>
  <c r="L18" i="3"/>
  <c r="AC18" i="3" s="1"/>
  <c r="AG63" i="3"/>
  <c r="L94" i="3"/>
  <c r="AC94" i="3" s="1"/>
  <c r="L89" i="3"/>
  <c r="AC89" i="3" s="1"/>
  <c r="L72" i="3"/>
  <c r="AC72" i="3" s="1"/>
  <c r="L66" i="3"/>
  <c r="AC66" i="3" s="1"/>
  <c r="L64" i="3"/>
  <c r="AC64" i="3" s="1"/>
  <c r="AG26" i="3"/>
  <c r="J13" i="14"/>
  <c r="AG31" i="3"/>
  <c r="AG56" i="3"/>
  <c r="AG62" i="3"/>
  <c r="AG80" i="3"/>
  <c r="L30" i="3"/>
  <c r="AC30" i="3" s="1"/>
  <c r="L17" i="3"/>
  <c r="AC17" i="3" s="1"/>
  <c r="AG18" i="3"/>
  <c r="AG98" i="3"/>
  <c r="AG92" i="3"/>
  <c r="AG123" i="3"/>
  <c r="L9" i="3"/>
  <c r="AC9" i="3" s="1"/>
  <c r="L124" i="3"/>
  <c r="AC124" i="3" s="1"/>
  <c r="J71" i="3"/>
  <c r="L128" i="3"/>
  <c r="AC128" i="3" s="1"/>
  <c r="J14" i="3"/>
  <c r="L41" i="3"/>
  <c r="AC41" i="3" s="1"/>
  <c r="L20" i="3"/>
  <c r="AC20" i="3" s="1"/>
  <c r="AG107" i="3"/>
  <c r="AG103" i="3"/>
  <c r="AG76" i="3"/>
  <c r="AG94" i="3"/>
  <c r="AG37" i="3"/>
  <c r="AG110" i="3"/>
  <c r="L12" i="2"/>
  <c r="N23" i="2"/>
  <c r="L23" i="2"/>
  <c r="C13" i="1"/>
  <c r="F10" i="1" s="1"/>
  <c r="J23" i="2"/>
  <c r="H29" i="2"/>
  <c r="J31" i="2"/>
  <c r="P8" i="2"/>
  <c r="P12" i="2"/>
  <c r="P10" i="2"/>
  <c r="J10" i="2"/>
  <c r="N10" i="2"/>
  <c r="L19" i="2"/>
  <c r="N19" i="2"/>
  <c r="P19" i="2"/>
  <c r="P15" i="2"/>
  <c r="H14" i="2"/>
  <c r="J15" i="2"/>
  <c r="N15" i="2"/>
  <c r="N12" i="2"/>
  <c r="L15" i="2"/>
  <c r="H5" i="2"/>
  <c r="J8" i="2"/>
  <c r="N8" i="2"/>
  <c r="J21" i="2"/>
  <c r="P21" i="2"/>
  <c r="J12" i="2"/>
  <c r="L21" i="2"/>
  <c r="F22" i="14"/>
  <c r="J22" i="14" s="1"/>
  <c r="N17" i="2"/>
  <c r="J17" i="2"/>
  <c r="K34" i="3"/>
  <c r="AA71" i="3"/>
  <c r="H12" i="14"/>
  <c r="F16" i="14"/>
  <c r="T161" i="2"/>
  <c r="P12" i="1"/>
  <c r="T110" i="2"/>
  <c r="K14" i="3"/>
  <c r="L31" i="3"/>
  <c r="AC31" i="3" s="1"/>
  <c r="C15" i="1"/>
  <c r="Q15" i="1" s="1"/>
  <c r="Z115" i="3"/>
  <c r="P15" i="1"/>
  <c r="AB12" i="3" l="1"/>
  <c r="S159" i="2"/>
  <c r="S162" i="2" s="1"/>
  <c r="S165" i="2" s="1"/>
  <c r="T37" i="2"/>
  <c r="E25" i="14"/>
  <c r="AC56" i="3"/>
  <c r="AB67" i="3"/>
  <c r="AB83" i="3"/>
  <c r="AB66" i="3"/>
  <c r="AC119" i="3"/>
  <c r="AB119" i="3"/>
  <c r="AC42" i="3"/>
  <c r="AB84" i="3"/>
  <c r="P125" i="3"/>
  <c r="O101" i="2"/>
  <c r="O160" i="2" s="1"/>
  <c r="M10" i="1" s="1"/>
  <c r="P81" i="3"/>
  <c r="X13" i="3"/>
  <c r="I115" i="3"/>
  <c r="I131" i="3" s="1"/>
  <c r="D15" i="1" s="1"/>
  <c r="E15" i="1" s="1"/>
  <c r="X55" i="3"/>
  <c r="T50" i="3"/>
  <c r="AB51" i="3"/>
  <c r="T51" i="3"/>
  <c r="AF115" i="3"/>
  <c r="AG118" i="3"/>
  <c r="AB13" i="3"/>
  <c r="X42" i="3"/>
  <c r="P37" i="3"/>
  <c r="X51" i="3"/>
  <c r="P51" i="3"/>
  <c r="T13" i="3"/>
  <c r="P13" i="3"/>
  <c r="AC8" i="3"/>
  <c r="L8" i="3"/>
  <c r="AC5" i="3"/>
  <c r="L5" i="3"/>
  <c r="AC69" i="3"/>
  <c r="AB105" i="3"/>
  <c r="X57" i="3"/>
  <c r="X94" i="3"/>
  <c r="T12" i="3"/>
  <c r="T67" i="3"/>
  <c r="X76" i="3"/>
  <c r="X43" i="3"/>
  <c r="X12" i="3"/>
  <c r="AB40" i="3"/>
  <c r="X119" i="3"/>
  <c r="T119" i="3"/>
  <c r="T123" i="3"/>
  <c r="P38" i="3"/>
  <c r="P12" i="3"/>
  <c r="AB104" i="3"/>
  <c r="X91" i="3"/>
  <c r="J36" i="14"/>
  <c r="X120" i="3"/>
  <c r="T120" i="3"/>
  <c r="T44" i="3"/>
  <c r="T83" i="3"/>
  <c r="T64" i="3"/>
  <c r="T66" i="3"/>
  <c r="T94" i="3"/>
  <c r="T18" i="3"/>
  <c r="T20" i="3"/>
  <c r="T16" i="3"/>
  <c r="X32" i="3"/>
  <c r="P32" i="3"/>
  <c r="E33" i="14"/>
  <c r="T79" i="3"/>
  <c r="X83" i="3"/>
  <c r="P83" i="3"/>
  <c r="AB38" i="3"/>
  <c r="X88" i="3"/>
  <c r="AB87" i="3"/>
  <c r="AB72" i="3"/>
  <c r="P77" i="3"/>
  <c r="T76" i="3"/>
  <c r="P76" i="3"/>
  <c r="AB35" i="3"/>
  <c r="P53" i="3"/>
  <c r="P52" i="3"/>
  <c r="AB55" i="3"/>
  <c r="P31" i="3"/>
  <c r="AB78" i="3"/>
  <c r="T11" i="3"/>
  <c r="AB57" i="3"/>
  <c r="AB45" i="3"/>
  <c r="T55" i="3"/>
  <c r="X37" i="3"/>
  <c r="AB112" i="3"/>
  <c r="T68" i="3"/>
  <c r="P90" i="3"/>
  <c r="T80" i="3"/>
  <c r="P93" i="3"/>
  <c r="AB30" i="3"/>
  <c r="P30" i="3"/>
  <c r="P10" i="3"/>
  <c r="AB75" i="3"/>
  <c r="P33" i="3"/>
  <c r="P44" i="3"/>
  <c r="P43" i="3"/>
  <c r="AB17" i="3"/>
  <c r="X66" i="3"/>
  <c r="T62" i="3"/>
  <c r="AB52" i="3"/>
  <c r="X46" i="3"/>
  <c r="X86" i="3"/>
  <c r="X54" i="3"/>
  <c r="X60" i="3"/>
  <c r="T85" i="3"/>
  <c r="P99" i="3"/>
  <c r="X87" i="3"/>
  <c r="P87" i="3"/>
  <c r="T87" i="3"/>
  <c r="E22" i="14"/>
  <c r="AB20" i="3"/>
  <c r="X50" i="3"/>
  <c r="AB50" i="3"/>
  <c r="T91" i="3"/>
  <c r="T37" i="3"/>
  <c r="X81" i="3"/>
  <c r="AB116" i="3"/>
  <c r="X52" i="3"/>
  <c r="P50" i="3"/>
  <c r="G22" i="14"/>
  <c r="AB125" i="3"/>
  <c r="P55" i="3"/>
  <c r="P91" i="3"/>
  <c r="AB11" i="3"/>
  <c r="L110" i="3"/>
  <c r="AC110" i="3" s="1"/>
  <c r="AB89" i="3"/>
  <c r="AB16" i="3"/>
  <c r="P89" i="3"/>
  <c r="T101" i="3"/>
  <c r="X85" i="3"/>
  <c r="AB85" i="3"/>
  <c r="T99" i="3"/>
  <c r="T89" i="3"/>
  <c r="X123" i="3"/>
  <c r="AB93" i="3"/>
  <c r="X93" i="3"/>
  <c r="T47" i="3"/>
  <c r="T93" i="3"/>
  <c r="AB47" i="3"/>
  <c r="G25" i="14"/>
  <c r="I25" i="14" s="1"/>
  <c r="K25" i="14" s="1"/>
  <c r="T42" i="3"/>
  <c r="X64" i="3"/>
  <c r="X125" i="3"/>
  <c r="X101" i="3"/>
  <c r="X80" i="3"/>
  <c r="AB79" i="3"/>
  <c r="T125" i="3"/>
  <c r="P80" i="3"/>
  <c r="P116" i="3"/>
  <c r="P75" i="3"/>
  <c r="P42" i="3"/>
  <c r="T38" i="3"/>
  <c r="X38" i="3"/>
  <c r="T43" i="3"/>
  <c r="AB80" i="3"/>
  <c r="X116" i="3"/>
  <c r="G14" i="14"/>
  <c r="I14" i="14" s="1"/>
  <c r="X47" i="3"/>
  <c r="P126" i="3"/>
  <c r="P88" i="3"/>
  <c r="X68" i="3"/>
  <c r="AB88" i="3"/>
  <c r="T104" i="3"/>
  <c r="P123" i="3"/>
  <c r="X40" i="3"/>
  <c r="AB123" i="3"/>
  <c r="X33" i="3"/>
  <c r="T33" i="3"/>
  <c r="X104" i="3"/>
  <c r="AB33" i="3"/>
  <c r="T40" i="3"/>
  <c r="T88" i="3"/>
  <c r="T126" i="3"/>
  <c r="AB126" i="3"/>
  <c r="AB68" i="3"/>
  <c r="X67" i="3"/>
  <c r="AB111" i="3"/>
  <c r="X111" i="3"/>
  <c r="AB42" i="3"/>
  <c r="X99" i="3"/>
  <c r="P40" i="3"/>
  <c r="X72" i="3"/>
  <c r="X126" i="3"/>
  <c r="P47" i="3"/>
  <c r="T35" i="3"/>
  <c r="P68" i="3"/>
  <c r="T111" i="3"/>
  <c r="T57" i="3"/>
  <c r="P57" i="3"/>
  <c r="J122" i="3"/>
  <c r="AB54" i="3"/>
  <c r="AB81" i="3"/>
  <c r="T81" i="3"/>
  <c r="AB60" i="3"/>
  <c r="T54" i="3"/>
  <c r="G34" i="14"/>
  <c r="G36" i="14" s="1"/>
  <c r="AB99" i="3"/>
  <c r="AB77" i="3"/>
  <c r="T36" i="3"/>
  <c r="T60" i="3"/>
  <c r="P54" i="3"/>
  <c r="G15" i="14"/>
  <c r="I15" i="14" s="1"/>
  <c r="T121" i="3"/>
  <c r="P60" i="3"/>
  <c r="X112" i="3"/>
  <c r="P85" i="3"/>
  <c r="AB74" i="3"/>
  <c r="AB31" i="3"/>
  <c r="AG71" i="3"/>
  <c r="T77" i="3"/>
  <c r="X77" i="3"/>
  <c r="I29" i="14"/>
  <c r="K29" i="14" s="1"/>
  <c r="L130" i="3"/>
  <c r="AC130" i="3" s="1"/>
  <c r="AB76" i="3"/>
  <c r="P112" i="3"/>
  <c r="L108" i="3"/>
  <c r="AC108" i="3" s="1"/>
  <c r="T105" i="3"/>
  <c r="P105" i="3"/>
  <c r="X105" i="3"/>
  <c r="X82" i="3"/>
  <c r="X90" i="3"/>
  <c r="AB90" i="3"/>
  <c r="X75" i="3"/>
  <c r="T90" i="3"/>
  <c r="G13" i="14"/>
  <c r="I13" i="14" s="1"/>
  <c r="T75" i="3"/>
  <c r="AB64" i="3"/>
  <c r="T52" i="3"/>
  <c r="L49" i="3"/>
  <c r="AC49" i="3" s="1"/>
  <c r="X53" i="3"/>
  <c r="J34" i="3"/>
  <c r="X16" i="3"/>
  <c r="P16" i="3"/>
  <c r="X10" i="3"/>
  <c r="T27" i="3"/>
  <c r="P35" i="3"/>
  <c r="T46" i="3"/>
  <c r="X70" i="3"/>
  <c r="AB70" i="3"/>
  <c r="X121" i="3"/>
  <c r="X27" i="3"/>
  <c r="P46" i="3"/>
  <c r="P120" i="3"/>
  <c r="X35" i="3"/>
  <c r="G10" i="14"/>
  <c r="I10" i="14" s="1"/>
  <c r="K10" i="14" s="1"/>
  <c r="L114" i="3"/>
  <c r="AC114" i="3" s="1"/>
  <c r="K109" i="3"/>
  <c r="P101" i="3"/>
  <c r="AB120" i="3"/>
  <c r="AB10" i="3"/>
  <c r="AB43" i="3"/>
  <c r="T10" i="3"/>
  <c r="L69" i="3"/>
  <c r="T53" i="3"/>
  <c r="AB53" i="3"/>
  <c r="T112" i="3"/>
  <c r="L63" i="3"/>
  <c r="AC63" i="3" s="1"/>
  <c r="L107" i="3"/>
  <c r="AC107" i="3" s="1"/>
  <c r="AB86" i="3"/>
  <c r="J92" i="3"/>
  <c r="J48" i="3"/>
  <c r="P121" i="3"/>
  <c r="AB121" i="3"/>
  <c r="AG109" i="3"/>
  <c r="P86" i="3"/>
  <c r="K61" i="3"/>
  <c r="X89" i="3"/>
  <c r="K15" i="1"/>
  <c r="J109" i="3"/>
  <c r="AG122" i="3"/>
  <c r="T86" i="3"/>
  <c r="AB91" i="3"/>
  <c r="G14" i="1"/>
  <c r="G16" i="1" s="1"/>
  <c r="O132" i="3"/>
  <c r="T127" i="3"/>
  <c r="P127" i="3"/>
  <c r="X127" i="3"/>
  <c r="X6" i="3"/>
  <c r="T6" i="3"/>
  <c r="AB6" i="3"/>
  <c r="P6" i="3"/>
  <c r="G7" i="14"/>
  <c r="G8" i="14" s="1"/>
  <c r="I8" i="14" s="1"/>
  <c r="K8" i="14" s="1"/>
  <c r="AB56" i="3"/>
  <c r="T56" i="3"/>
  <c r="P66" i="3"/>
  <c r="P94" i="3"/>
  <c r="AG20" i="3"/>
  <c r="P74" i="3"/>
  <c r="X44" i="3"/>
  <c r="L39" i="3"/>
  <c r="AC39" i="3" s="1"/>
  <c r="P82" i="3"/>
  <c r="AB94" i="3"/>
  <c r="G27" i="14"/>
  <c r="I27" i="14" s="1"/>
  <c r="K27" i="14" s="1"/>
  <c r="AB46" i="3"/>
  <c r="T116" i="3"/>
  <c r="P56" i="3"/>
  <c r="X45" i="3"/>
  <c r="P45" i="3"/>
  <c r="T45" i="3"/>
  <c r="AB127" i="3"/>
  <c r="X74" i="3"/>
  <c r="AB82" i="3"/>
  <c r="T82" i="3"/>
  <c r="T74" i="3"/>
  <c r="T31" i="3"/>
  <c r="AB44" i="3"/>
  <c r="X56" i="3"/>
  <c r="J103" i="3"/>
  <c r="AB32" i="3"/>
  <c r="J164" i="2"/>
  <c r="L164" i="2"/>
  <c r="E36" i="14"/>
  <c r="H11" i="1"/>
  <c r="L11" i="1"/>
  <c r="N26" i="2"/>
  <c r="O11" i="1"/>
  <c r="E16" i="14"/>
  <c r="J11" i="1"/>
  <c r="S11" i="1"/>
  <c r="L26" i="2"/>
  <c r="N164" i="2"/>
  <c r="N9" i="1"/>
  <c r="Q40" i="2"/>
  <c r="D13" i="1"/>
  <c r="H10" i="1"/>
  <c r="J10" i="1"/>
  <c r="H101" i="2"/>
  <c r="H160" i="2" s="1"/>
  <c r="Q88" i="2"/>
  <c r="Q62" i="2"/>
  <c r="Q79" i="2"/>
  <c r="J35" i="2"/>
  <c r="L35" i="2"/>
  <c r="P35" i="2"/>
  <c r="J26" i="2"/>
  <c r="T108" i="2"/>
  <c r="N35" i="2"/>
  <c r="K10" i="1"/>
  <c r="L10" i="1" s="1"/>
  <c r="I9" i="1"/>
  <c r="L40" i="2"/>
  <c r="J40" i="2"/>
  <c r="G156" i="2"/>
  <c r="O9" i="1"/>
  <c r="H12" i="1"/>
  <c r="Q110" i="2"/>
  <c r="Q161" i="2" s="1"/>
  <c r="N40" i="2"/>
  <c r="G162" i="2"/>
  <c r="G165" i="2" s="1"/>
  <c r="J110" i="2"/>
  <c r="H155" i="2"/>
  <c r="H161" i="2"/>
  <c r="N110" i="2"/>
  <c r="P110" i="2"/>
  <c r="L110" i="2"/>
  <c r="N88" i="2"/>
  <c r="P88" i="2"/>
  <c r="J88" i="2"/>
  <c r="L88" i="2"/>
  <c r="J73" i="2"/>
  <c r="P73" i="2"/>
  <c r="N73" i="2"/>
  <c r="L73" i="2"/>
  <c r="N108" i="2"/>
  <c r="J108" i="2"/>
  <c r="H163" i="2"/>
  <c r="P108" i="2"/>
  <c r="L108" i="2"/>
  <c r="L62" i="2"/>
  <c r="J62" i="2"/>
  <c r="P62" i="2"/>
  <c r="N62" i="2"/>
  <c r="Q148" i="2"/>
  <c r="Q164" i="2" s="1"/>
  <c r="P79" i="2"/>
  <c r="N79" i="2"/>
  <c r="J79" i="2"/>
  <c r="L79" i="2"/>
  <c r="X78" i="3"/>
  <c r="P78" i="3"/>
  <c r="T78" i="3"/>
  <c r="L92" i="3"/>
  <c r="P92" i="3" s="1"/>
  <c r="X62" i="3"/>
  <c r="X18" i="3"/>
  <c r="AG34" i="3"/>
  <c r="P62" i="3"/>
  <c r="P98" i="3"/>
  <c r="X79" i="3"/>
  <c r="P79" i="3"/>
  <c r="P84" i="3"/>
  <c r="T84" i="3"/>
  <c r="X84" i="3"/>
  <c r="AB62" i="3"/>
  <c r="L71" i="3"/>
  <c r="P71" i="3" s="1"/>
  <c r="AG48" i="3"/>
  <c r="G12" i="14"/>
  <c r="T72" i="3"/>
  <c r="P72" i="3"/>
  <c r="P64" i="3"/>
  <c r="AB36" i="3"/>
  <c r="X36" i="3"/>
  <c r="P36" i="3"/>
  <c r="X11" i="3"/>
  <c r="P11" i="3"/>
  <c r="AB18" i="3"/>
  <c r="P25" i="3"/>
  <c r="T41" i="3"/>
  <c r="P41" i="3"/>
  <c r="AB41" i="3"/>
  <c r="X41" i="3"/>
  <c r="T128" i="3"/>
  <c r="X128" i="3"/>
  <c r="P128" i="3"/>
  <c r="AB128" i="3"/>
  <c r="T9" i="3"/>
  <c r="AB9" i="3"/>
  <c r="P9" i="3"/>
  <c r="X9" i="3"/>
  <c r="T30" i="3"/>
  <c r="X30" i="3"/>
  <c r="AB124" i="3"/>
  <c r="X124" i="3"/>
  <c r="T124" i="3"/>
  <c r="P124" i="3"/>
  <c r="X20" i="3"/>
  <c r="X19" i="3"/>
  <c r="AG61" i="3"/>
  <c r="L14" i="3"/>
  <c r="T14" i="3" s="1"/>
  <c r="X31" i="3"/>
  <c r="T17" i="3"/>
  <c r="P17" i="3"/>
  <c r="X17" i="3"/>
  <c r="X26" i="3"/>
  <c r="T26" i="3"/>
  <c r="P26" i="3"/>
  <c r="P5" i="2"/>
  <c r="N5" i="2"/>
  <c r="H37" i="2"/>
  <c r="J5" i="2"/>
  <c r="L5" i="2"/>
  <c r="E13" i="1"/>
  <c r="J29" i="2"/>
  <c r="P29" i="2"/>
  <c r="N29" i="2"/>
  <c r="L29" i="2"/>
  <c r="F9" i="1"/>
  <c r="F12" i="1"/>
  <c r="F11" i="1"/>
  <c r="L14" i="2"/>
  <c r="P14" i="2"/>
  <c r="N14" i="2"/>
  <c r="J14" i="2"/>
  <c r="O12" i="1"/>
  <c r="J12" i="1"/>
  <c r="L12" i="1"/>
  <c r="N12" i="1"/>
  <c r="T101" i="2"/>
  <c r="T160" i="2"/>
  <c r="P10" i="1"/>
  <c r="T165" i="2"/>
  <c r="P9" i="1"/>
  <c r="T159" i="2"/>
  <c r="P14" i="1"/>
  <c r="H16" i="14"/>
  <c r="J16" i="14" s="1"/>
  <c r="J12" i="14"/>
  <c r="T156" i="2"/>
  <c r="T155" i="2"/>
  <c r="AF131" i="3" l="1"/>
  <c r="C22" i="22"/>
  <c r="C24" i="22" s="1"/>
  <c r="C25" i="22" s="1"/>
  <c r="P16" i="1"/>
  <c r="Y115" i="3"/>
  <c r="Y131" i="3" s="1"/>
  <c r="M14" i="1" s="1"/>
  <c r="O162" i="2"/>
  <c r="O165" i="2" s="1"/>
  <c r="O156" i="2"/>
  <c r="P160" i="2"/>
  <c r="T108" i="3"/>
  <c r="T8" i="3"/>
  <c r="X8" i="3"/>
  <c r="AB8" i="3"/>
  <c r="P8" i="3"/>
  <c r="T63" i="3"/>
  <c r="X107" i="3"/>
  <c r="FR55" i="3"/>
  <c r="L34" i="3"/>
  <c r="AB34" i="3" s="1"/>
  <c r="AB110" i="3"/>
  <c r="I22" i="14"/>
  <c r="K22" i="14" s="1"/>
  <c r="X108" i="3"/>
  <c r="H115" i="3"/>
  <c r="H131" i="3" s="1"/>
  <c r="P110" i="3"/>
  <c r="AB108" i="3"/>
  <c r="T110" i="3"/>
  <c r="I36" i="14"/>
  <c r="K36" i="14" s="1"/>
  <c r="X110" i="3"/>
  <c r="L122" i="3"/>
  <c r="AB122" i="3" s="1"/>
  <c r="P130" i="3"/>
  <c r="AB69" i="3"/>
  <c r="T130" i="3"/>
  <c r="AC109" i="3"/>
  <c r="AB130" i="3"/>
  <c r="X130" i="3"/>
  <c r="X92" i="3"/>
  <c r="AB114" i="3"/>
  <c r="P108" i="3"/>
  <c r="T92" i="3"/>
  <c r="AC71" i="3"/>
  <c r="AC48" i="3"/>
  <c r="AB49" i="3"/>
  <c r="P49" i="3"/>
  <c r="T49" i="3"/>
  <c r="L48" i="3"/>
  <c r="X48" i="3" s="1"/>
  <c r="G17" i="14"/>
  <c r="G19" i="14" s="1"/>
  <c r="I19" i="14" s="1"/>
  <c r="K19" i="14" s="1"/>
  <c r="X49" i="3"/>
  <c r="X14" i="3"/>
  <c r="X114" i="3"/>
  <c r="L103" i="3"/>
  <c r="L109" i="3"/>
  <c r="P109" i="3" s="1"/>
  <c r="T114" i="3"/>
  <c r="P114" i="3"/>
  <c r="X69" i="3"/>
  <c r="X63" i="3"/>
  <c r="AB63" i="3"/>
  <c r="AC61" i="3"/>
  <c r="P63" i="3"/>
  <c r="X71" i="3"/>
  <c r="L61" i="3"/>
  <c r="AB71" i="3"/>
  <c r="AC122" i="3"/>
  <c r="G33" i="14"/>
  <c r="I33" i="14" s="1"/>
  <c r="K33" i="14" s="1"/>
  <c r="P107" i="3"/>
  <c r="AB107" i="3"/>
  <c r="T107" i="3"/>
  <c r="T71" i="3"/>
  <c r="W132" i="3"/>
  <c r="K14" i="1"/>
  <c r="K16" i="1" s="1"/>
  <c r="S132" i="3"/>
  <c r="I14" i="1"/>
  <c r="I16" i="1" s="1"/>
  <c r="P39" i="3"/>
  <c r="T39" i="3"/>
  <c r="X39" i="3"/>
  <c r="AB39" i="3"/>
  <c r="AC34" i="3"/>
  <c r="X5" i="3"/>
  <c r="AB5" i="3"/>
  <c r="T5" i="3"/>
  <c r="P5" i="3"/>
  <c r="L101" i="2"/>
  <c r="J101" i="2"/>
  <c r="P101" i="2"/>
  <c r="N101" i="2"/>
  <c r="I13" i="1"/>
  <c r="J9" i="1"/>
  <c r="Q101" i="2"/>
  <c r="Q160" i="2" s="1"/>
  <c r="R10" i="1"/>
  <c r="S10" i="1" s="1"/>
  <c r="G9" i="1"/>
  <c r="P11" i="1"/>
  <c r="T163" i="2"/>
  <c r="K9" i="1"/>
  <c r="J160" i="2"/>
  <c r="L160" i="2"/>
  <c r="N160" i="2"/>
  <c r="Q155" i="2"/>
  <c r="L161" i="2"/>
  <c r="N161" i="2"/>
  <c r="P161" i="2"/>
  <c r="J161" i="2"/>
  <c r="N163" i="2"/>
  <c r="P163" i="2"/>
  <c r="J163" i="2"/>
  <c r="L163" i="2"/>
  <c r="R12" i="1"/>
  <c r="S12" i="1" s="1"/>
  <c r="J155" i="2"/>
  <c r="L155" i="2"/>
  <c r="N155" i="2"/>
  <c r="P155" i="2"/>
  <c r="AC14" i="3"/>
  <c r="G16" i="14"/>
  <c r="I16" i="14" s="1"/>
  <c r="K16" i="14" s="1"/>
  <c r="I12" i="14"/>
  <c r="P14" i="3"/>
  <c r="AB14" i="3"/>
  <c r="J37" i="2"/>
  <c r="H156" i="2"/>
  <c r="L37" i="2"/>
  <c r="H159" i="2"/>
  <c r="N37" i="2"/>
  <c r="F13" i="1"/>
  <c r="P37" i="2"/>
  <c r="T162" i="2"/>
  <c r="AF132" i="3"/>
  <c r="O10" i="1"/>
  <c r="M13" i="1"/>
  <c r="N10" i="1"/>
  <c r="H15" i="1"/>
  <c r="L15" i="1"/>
  <c r="J15" i="1"/>
  <c r="K115" i="3" l="1"/>
  <c r="K131" i="3" s="1"/>
  <c r="AA118" i="3"/>
  <c r="D14" i="1"/>
  <c r="D16" i="1" s="1"/>
  <c r="I133" i="3"/>
  <c r="X34" i="3"/>
  <c r="AC103" i="3"/>
  <c r="P34" i="3"/>
  <c r="T34" i="3"/>
  <c r="J115" i="3"/>
  <c r="J131" i="3" s="1"/>
  <c r="P122" i="3"/>
  <c r="X122" i="3"/>
  <c r="T122" i="3"/>
  <c r="P48" i="3"/>
  <c r="I18" i="1"/>
  <c r="I30" i="1" s="1"/>
  <c r="I28" i="1" s="1"/>
  <c r="T48" i="3"/>
  <c r="AB48" i="3"/>
  <c r="T109" i="3"/>
  <c r="AB109" i="3"/>
  <c r="X109" i="3"/>
  <c r="X103" i="3"/>
  <c r="AB103" i="3"/>
  <c r="P103" i="3"/>
  <c r="T103" i="3"/>
  <c r="P61" i="3"/>
  <c r="T61" i="3"/>
  <c r="X61" i="3"/>
  <c r="AB61" i="3"/>
  <c r="J13" i="1"/>
  <c r="K13" i="1"/>
  <c r="L9" i="1"/>
  <c r="G13" i="1"/>
  <c r="H9" i="1"/>
  <c r="P13" i="1"/>
  <c r="R9" i="1"/>
  <c r="S9" i="1" s="1"/>
  <c r="S13" i="1" s="1"/>
  <c r="J156" i="2"/>
  <c r="N156" i="2"/>
  <c r="L156" i="2"/>
  <c r="P156" i="2"/>
  <c r="N159" i="2"/>
  <c r="P159" i="2"/>
  <c r="H162" i="2"/>
  <c r="J159" i="2"/>
  <c r="L159" i="2"/>
  <c r="O13" i="1"/>
  <c r="N13" i="1"/>
  <c r="C14" i="1"/>
  <c r="Q14" i="1" s="1"/>
  <c r="AA115" i="3" l="1"/>
  <c r="D18" i="1"/>
  <c r="D30" i="1" s="1"/>
  <c r="D28" i="1" s="1"/>
  <c r="L118" i="3"/>
  <c r="R13" i="1"/>
  <c r="P18" i="1"/>
  <c r="C30" i="22" s="1"/>
  <c r="C31" i="22" s="1"/>
  <c r="K18" i="1"/>
  <c r="K30" i="1" s="1"/>
  <c r="K28" i="1" s="1"/>
  <c r="L13" i="1"/>
  <c r="G18" i="1"/>
  <c r="G30" i="1" s="1"/>
  <c r="G28" i="1" s="1"/>
  <c r="H13" i="1"/>
  <c r="R15" i="1"/>
  <c r="S15" i="1" s="1"/>
  <c r="L162" i="2"/>
  <c r="H165" i="2"/>
  <c r="N162" i="2"/>
  <c r="J162" i="2"/>
  <c r="P162" i="2"/>
  <c r="E14" i="1"/>
  <c r="C16" i="1"/>
  <c r="AG115" i="3"/>
  <c r="F14" i="1" l="1"/>
  <c r="Q16" i="1"/>
  <c r="P30" i="1"/>
  <c r="AC118" i="3"/>
  <c r="AC115" i="3" s="1"/>
  <c r="AB118" i="3"/>
  <c r="X118" i="3"/>
  <c r="T118" i="3"/>
  <c r="L115" i="3"/>
  <c r="AB115" i="3" s="1"/>
  <c r="P118" i="3"/>
  <c r="J165" i="2"/>
  <c r="L165" i="2"/>
  <c r="N165" i="2"/>
  <c r="P165" i="2"/>
  <c r="C18" i="1"/>
  <c r="C30" i="1" s="1"/>
  <c r="C28" i="1" s="1"/>
  <c r="F15" i="1"/>
  <c r="L132" i="3"/>
  <c r="AG131" i="3"/>
  <c r="N14" i="1"/>
  <c r="J14" i="1"/>
  <c r="E16" i="1"/>
  <c r="L14" i="1"/>
  <c r="O14" i="1"/>
  <c r="H14" i="1"/>
  <c r="R14" i="1" l="1"/>
  <c r="R16" i="1" s="1"/>
  <c r="R18" i="1" s="1"/>
  <c r="P28" i="1"/>
  <c r="L131" i="3"/>
  <c r="X131" i="3" s="1"/>
  <c r="P115" i="3"/>
  <c r="X115" i="3"/>
  <c r="T115" i="3"/>
  <c r="J16" i="1"/>
  <c r="L16" i="1"/>
  <c r="H16" i="1"/>
  <c r="E18" i="1"/>
  <c r="S14" i="1" l="1"/>
  <c r="S16" i="1" s="1"/>
  <c r="P131" i="3"/>
  <c r="T131" i="3"/>
  <c r="R30" i="1"/>
  <c r="S18" i="1"/>
  <c r="E30" i="1"/>
  <c r="E28" i="1" l="1"/>
  <c r="R28" i="1"/>
  <c r="S30" i="1"/>
  <c r="S28" i="1" l="1"/>
  <c r="Q37" i="2" l="1"/>
  <c r="Q156" i="2" s="1"/>
  <c r="Q159" i="2" l="1"/>
  <c r="Q162" i="2" s="1"/>
  <c r="Q165" i="2" s="1"/>
  <c r="Z92" i="3"/>
  <c r="Z131" i="3" s="1"/>
  <c r="AA101" i="3"/>
  <c r="AA92" i="3" s="1"/>
  <c r="AB92" i="3" l="1"/>
  <c r="AA131" i="3"/>
  <c r="M15" i="1"/>
  <c r="AA132" i="3"/>
  <c r="AB101" i="3"/>
  <c r="AC101" i="3"/>
  <c r="AC92" i="3" s="1"/>
  <c r="AC131" i="3" s="1"/>
  <c r="AB131" i="3" l="1"/>
  <c r="N15" i="1"/>
  <c r="O15" i="1"/>
  <c r="M16" i="1"/>
  <c r="O16" i="1" l="1"/>
  <c r="M18" i="1"/>
  <c r="N16" i="1"/>
  <c r="M30" i="1" l="1"/>
  <c r="O18" i="1"/>
  <c r="M28" i="1" l="1"/>
  <c r="O28" i="1" s="1"/>
  <c r="O30" i="1"/>
</calcChain>
</file>

<file path=xl/comments1.xml><?xml version="1.0" encoding="utf-8"?>
<comments xmlns="http://schemas.openxmlformats.org/spreadsheetml/2006/main">
  <authors>
    <author>Kynčlová Miroslava, Ing.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-2255 splátka EPC
-2000 splátka ZŠ Harracha</t>
        </r>
      </text>
    </comment>
    <comment ref="P21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-2291 splátka EPC za rok 2022
-2000 splátka úvěru projekt ZŠ Harracha</t>
        </r>
      </text>
    </comment>
  </commentList>
</comments>
</file>

<file path=xl/comments2.xml><?xml version="1.0" encoding="utf-8"?>
<comments xmlns="http://schemas.openxmlformats.org/spreadsheetml/2006/main">
  <authors>
    <author>Ing. Miroslava Kynčlová</author>
    <author>Kynčlová</author>
    <author>Trojanová Hana, Ing.</author>
    <author>Město Jilemnice</author>
    <author>Kynčlová Miroslava, Ing.</author>
  </authors>
  <commentList>
    <comment ref="E15" authorId="0" shapeId="0">
      <text>
        <r>
          <rPr>
            <sz val="8"/>
            <color indexed="81"/>
            <rFont val="Tahoma"/>
            <family val="2"/>
            <charset val="238"/>
          </rPr>
          <t>3-trvalý pobyt
4-ověřování
6-změna jména
8-sňatky
9-video</t>
        </r>
      </text>
    </comment>
    <comment ref="E17" authorId="1" shapeId="0">
      <text>
        <r>
          <rPr>
            <sz val="10"/>
            <color indexed="81"/>
            <rFont val="Tahoma"/>
            <family val="2"/>
            <charset val="238"/>
          </rPr>
          <t>10 rybářské lístky</t>
        </r>
        <r>
          <rPr>
            <sz val="10"/>
            <color indexed="81"/>
            <rFont val="Tahoma"/>
            <family val="2"/>
            <charset val="238"/>
          </rPr>
          <t xml:space="preserve">
23 životní prostředí </t>
        </r>
      </text>
    </comment>
    <comment ref="E22" authorId="0" shapeId="0">
      <text>
        <r>
          <rPr>
            <sz val="8"/>
            <color indexed="81"/>
            <rFont val="Tahoma"/>
            <family val="2"/>
            <charset val="238"/>
          </rPr>
          <t xml:space="preserve">32-pasy
33-občanské průkazy
</t>
        </r>
      </text>
    </comment>
    <comment ref="E25" authorId="0" shapeId="0">
      <text>
        <r>
          <rPr>
            <sz val="8"/>
            <color indexed="81"/>
            <rFont val="Tahoma"/>
            <family val="2"/>
            <charset val="238"/>
          </rPr>
          <t xml:space="preserve">13- 
19-vydání průkazů-soc
27-povolení tomboly
314-správa
</t>
        </r>
      </text>
    </comment>
    <comment ref="E27" authorId="0" shapeId="0">
      <text>
        <r>
          <rPr>
            <sz val="8"/>
            <color indexed="81"/>
            <rFont val="Tahoma"/>
            <family val="2"/>
            <charset val="238"/>
          </rPr>
          <t xml:space="preserve">23 1332- za znečištní žp
12 1334 org 12 za odnětí půdy
</t>
        </r>
      </text>
    </comment>
    <comment ref="O3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prominut do 31.12.21
</t>
        </r>
      </text>
    </comment>
    <comment ref="E3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1349 zrušené poplatky
1344 poplatek ze vstupného
</t>
        </r>
      </text>
    </comment>
    <comment ref="U41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DPH spočítané na příjem 400tis
</t>
        </r>
      </text>
    </comment>
    <comment ref="F46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115 přefakturace energie
5 příjmy za využívání areálu
</t>
        </r>
      </text>
    </comment>
    <comment ref="R4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128,571 služby (prodej pytlů,..)
52,78 motivační prgm ELEKTROWIN
20 dar soutěž odměna</t>
        </r>
      </text>
    </comment>
    <comment ref="K53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v tom 39,855 náhrady</t>
        </r>
      </text>
    </comment>
    <comment ref="M53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82,908 náhrady</t>
        </r>
      </text>
    </comment>
    <comment ref="S5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dle uzavřených smluv
</t>
        </r>
      </text>
    </comment>
    <comment ref="F54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36 - org. 319 restaurace pod radnicí
91 - org. 21 (DC, KRNAP, Kiosek)</t>
        </r>
      </text>
    </comment>
    <comment ref="S54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10 - org. 319 restaurace pod radnicí
96 - org. 21 (DC, KRNAP, Kiosek)</t>
        </r>
      </text>
    </comment>
    <comment ref="U5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DPH pouze z restaurace, kiosek NE</t>
        </r>
      </text>
    </comment>
    <comment ref="M55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3,821 náhrada</t>
        </r>
      </text>
    </comment>
    <comment ref="S5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komunální služby a rozvoj Furi
</t>
        </r>
      </text>
    </comment>
    <comment ref="S5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110
orj18  1000
orj 19  5
dary 2321  150
</t>
        </r>
      </text>
    </comment>
    <comment ref="E5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2111
2324
</t>
        </r>
      </text>
    </comment>
    <comment ref="F58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180 služby sňatky
30 ostatní</t>
        </r>
      </text>
    </comment>
    <comment ref="I58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13 služby sňatky
1,2 recepty
13,176 soc. fond
1,815 služby
2,4 prodej majetku
6,54819 náhrady
</t>
        </r>
      </text>
    </comment>
    <comment ref="K58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10 služby sňatky
1,2 recepty
12,325 exekuce Tužová
13,176 soc fond náhrada
2,4 prodej majetku
6,54819 náhrady
0,275 kopírování</t>
        </r>
      </text>
    </comment>
    <comment ref="M58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10 služby sňatky
1,36 recepty
13,176 soc. fond
19,4656 exekuce Tužová
1,855 služby
8,8 prodej dr. Majetku
6,64819 náhrada
6,176 náhrada z pojištění
0,275 kopírování</t>
        </r>
      </text>
    </comment>
    <comment ref="O58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10 služby sňatky
1,44 recepty
13,176 soc. fond
16,8886 exekuce Tužová
1,855 služby
8,8 prodej dr. Majetku
8,73819 6171 náhrada
6,176 náhrada z pojištění
1,3 propagace města náhrada
0,867 kopírování</t>
        </r>
      </text>
    </comment>
    <comment ref="S5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tech popl.sńatky zrušeny
končí exekuce Tužová
250 kniha Jilemnice
</t>
        </r>
      </text>
    </comment>
    <comment ref="F60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231 MŠ
661 ZŠ I
655 SDJilm
540 ZŠ II
66 ZUŠ</t>
        </r>
      </text>
    </comment>
    <comment ref="S6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660 ZŠ Harr
888 ZŠ Kom
338 MŠ
66 ZUŠ
655 SD Jilm
</t>
        </r>
      </text>
    </comment>
    <comment ref="F61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290 příjmy za třídění door to door</t>
        </r>
      </text>
    </comment>
    <comment ref="G6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200 vyšší příjmyproti vyšším očekávaným výdajům
</t>
        </r>
      </text>
    </comment>
    <comment ref="O6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128,571 služby (prodej pytlů,..)
52,78 motivační prgm ELEKTROWIN
10 dar PMH soutěž odměna na nákup pro elektrosběr
</t>
        </r>
      </text>
    </comment>
    <comment ref="S6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1300 kompenzace za tř. odpad
100 služby</t>
        </r>
      </text>
    </comment>
    <comment ref="U6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Od Marcely tabulka dle smluv  2121/237 areál služeb
</t>
        </r>
      </text>
    </comment>
    <comment ref="S6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826 nájem
195 90%zelený bonus
+ DPH 21%</t>
        </r>
      </text>
    </comment>
    <comment ref="U6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1005 * 0,21%</t>
        </r>
      </text>
    </comment>
    <comment ref="S7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24+2+54+1+7+275+27+34+8+15+6+5=458
</t>
        </r>
      </text>
    </comment>
    <comment ref="U70" authorId="1" shapeId="0">
      <text>
        <r>
          <rPr>
            <sz val="10"/>
            <color indexed="81"/>
            <rFont val="Tahoma"/>
            <family val="2"/>
            <charset val="238"/>
          </rPr>
          <t xml:space="preserve">48 jilemnická obch.
22 Žalý operátoři
</t>
        </r>
      </text>
    </comment>
    <comment ref="U71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48 DPH z nájemného
</t>
        </r>
      </text>
    </comment>
    <comment ref="E81" authorId="1" shapeId="0">
      <text>
        <r>
          <rPr>
            <sz val="8"/>
            <color indexed="81"/>
            <rFont val="Tahoma"/>
            <family val="2"/>
            <charset val="238"/>
          </rPr>
          <t>32 pasy
33 občanské průkazy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14 přestupky
13 památky
</t>
        </r>
      </text>
    </comment>
    <comment ref="I86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20 komunální služby - nedodržení pomínek zimní údržby
</t>
        </r>
      </text>
    </comment>
    <comment ref="K86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20 komunální služby - nedodržení pomínek zimní údržby
0,1+6 přestupky na úseku školství (ORP - org. 311)
2 správa (nedodržení nošení roušek)</t>
        </r>
      </text>
    </comment>
    <comment ref="M86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20 komunální služby
0,1+6 na úseku školství
2 správa - za nedodržení nošení roušek</t>
        </r>
      </text>
    </comment>
    <comment ref="O86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0,1+6,1 na úseku školství
0,443 byty
0,021 nebyty
20 komunální služby
4 správa za nenošení roušek</t>
        </r>
      </text>
    </comment>
    <comment ref="F91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dotace?</t>
        </r>
      </text>
    </comment>
    <comment ref="I91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124,11417 zelený bonus za rok 2020</t>
        </r>
      </text>
    </comment>
    <comment ref="K91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124,11417 zelený bonus za rok 2020</t>
        </r>
      </text>
    </comment>
    <comment ref="M91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124,11417 zelený bonus za rok 2020 - dotace na výrobu elektřiny z plynu (fakturačně na ZS)
283 přímo náhrada za neplnění
</t>
        </r>
      </text>
    </comment>
    <comment ref="O91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124,11417 zelený bonus za rok 2020</t>
        </r>
      </text>
    </comment>
    <comment ref="O9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490 kiosek</t>
        </r>
      </text>
    </comment>
    <comment ref="G9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167,752 potravinová pomoc MŠ vratka 202</t>
        </r>
      </text>
    </comment>
    <comment ref="I94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2,32 vratka GP sport
5,7 GP zdravé město
50 vratka dotace ICM
63 vratka dotace VHS</t>
        </r>
      </text>
    </comment>
    <comment ref="K94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2,32 vratka GP sport
5,7 GP zdravé město
28 vratka GP soc. služby
50 vratka dotace ICM
63 vratka dotace VHS vyúčtování po ukončení akce</t>
        </r>
      </text>
    </comment>
    <comment ref="M94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22,720 vratka GP sport
5,7 vratka GP zdavé město
64,393 vratka GP sociální služby
50 vratka dotace ICM
63 vratka dotace VHS</t>
        </r>
      </text>
    </comment>
    <comment ref="O94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22,720 vratka GP sport
5,7 vratka GP zdavé město
64,393 vratka GP sociální služby
50 vratka dotace ICM
63 vratka dotace VHS</t>
        </r>
      </text>
    </comment>
    <comment ref="I96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střecha čp 70
</t>
        </r>
      </text>
    </comment>
    <comment ref="S96" authorId="4" shapeId="0">
      <text>
        <r>
          <rPr>
            <sz val="9"/>
            <color indexed="81"/>
            <rFont val="Tahoma"/>
            <family val="2"/>
            <charset val="238"/>
          </rPr>
          <t xml:space="preserve">33,6 pojistná náhrada požární ochrana
</t>
        </r>
      </text>
    </comment>
    <comment ref="G105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1978,39 pozemek pro HZS LB</t>
        </r>
      </text>
    </comment>
    <comment ref="O105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1978,39 pozemek pro HZS LB</t>
        </r>
      </text>
    </comment>
    <comment ref="F106" authorId="4" shapeId="0">
      <text>
        <r>
          <rPr>
            <sz val="9"/>
            <color indexed="81"/>
            <rFont val="Tahoma"/>
            <family val="2"/>
            <charset val="238"/>
          </rPr>
          <t xml:space="preserve">
5000 prodej bytů
</t>
        </r>
      </text>
    </comment>
    <comment ref="S10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2080 Petrovická
1500 dražba byt 1+1
2080 Holec
</t>
        </r>
      </text>
    </comment>
    <comment ref="G11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11/21 53443,49
</t>
        </r>
      </text>
    </comment>
    <comment ref="G11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537,372 MŽPČR lesní hosp. osnovy</t>
        </r>
      </text>
    </comment>
    <comment ref="G11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-270 nevyčerpaná dotace</t>
        </r>
      </text>
    </comment>
    <comment ref="G120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225 nerealizuje se vratka dotace Spořitelna</t>
        </r>
      </text>
    </comment>
    <comment ref="G121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37,02 dotace MZeČR
14,42 dotace MŽP
180,681 dotace MZE kůrovc. Kalamita 2020
122,923 MŽP ČR dotace pro městské lesy
29,424 MZ ČR dotace na výchovu lesních porostů
</t>
        </r>
      </text>
    </comment>
    <comment ref="O121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37,02 dotace MZeČR
14,42 dotace MŽP
180,681 dotace MZE kůrovc. Kalamita 2020
122,923 MŽP ČR dotace pro městské lesy
29,424 MZ ČR dotace na výchovu lesních porostů
</t>
        </r>
      </text>
    </comment>
    <comment ref="G12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151,7 investice</t>
        </r>
      </text>
    </comment>
    <comment ref="G144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1877,148 od KHK
1251,432 od KHK
82 od MPSV od LK</t>
        </r>
      </text>
    </comment>
    <comment ref="G14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90tis MPSV od LK dotace
</t>
        </r>
      </text>
    </comment>
    <comment ref="G15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část dotace investiční</t>
        </r>
      </text>
    </comment>
  </commentList>
</comments>
</file>

<file path=xl/comments3.xml><?xml version="1.0" encoding="utf-8"?>
<comments xmlns="http://schemas.openxmlformats.org/spreadsheetml/2006/main">
  <authors>
    <author>Kynčlová Miroslava, Ing.</author>
    <author>Notebook pracovní</author>
    <author>Trojanová Hana, Ing.</author>
    <author>Město Jilemnice</author>
    <author>Hanka</author>
    <author>Šolcová Ilona, Ing.</author>
    <author>notebook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612 upr.R 2020
623 mzdy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  <charset val="238"/>
          </rPr>
          <t>Notebook pracovní:</t>
        </r>
        <r>
          <rPr>
            <sz val="9"/>
            <color indexed="81"/>
            <rFont val="Tahoma"/>
            <family val="2"/>
            <charset val="238"/>
          </rPr>
          <t xml:space="preserve">
160 LHP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52,705 dotace LK
37,02 dotace Mze ČR
14,42 dotace MŽP
29,424 Mze ČR dotace na výchovu lesních porostů
</t>
        </r>
      </text>
    </comment>
    <comment ref="AD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630 provoz
653
 mzdy
</t>
        </r>
      </text>
    </comment>
    <comment ref="H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MŽP ČR lesní hospod. Osnovy
</t>
        </r>
      </text>
    </comment>
    <comment ref="AD1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137 propagace
350 služby z toho kniha a komiks Jilemnice</t>
        </r>
      </text>
    </comment>
    <comment ref="AD1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450 oprava padající zdi pod kopečkem
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122 dotace VHS
78 ostatní
</t>
        </r>
      </text>
    </comment>
    <comment ref="F20" authorId="0" shapeId="0">
      <text>
        <r>
          <rPr>
            <sz val="9"/>
            <color indexed="81"/>
            <rFont val="Tahoma"/>
            <family val="2"/>
            <charset val="238"/>
          </rPr>
          <t>1800 VO
11834 dotace - podíl města VHS</t>
        </r>
      </text>
    </comment>
    <comment ref="AE2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doplatek avizovaný vícepráce
</t>
        </r>
      </text>
    </comment>
    <comment ref="AD2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5000 dotace od nás VHS
500 ostatní</t>
        </r>
      </text>
    </comment>
    <comment ref="AE2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2500 veřejné osvětlení
3000 VHS od nás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112 dotace LK</t>
        </r>
      </text>
    </comment>
    <comment ref="AD2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730 mzdy
107 maketa rep.m. zařízení 2 prac. Míst
300 hybrid.pošta
39 kalibrace ČMI
100 uprava prostor pro 2 prac.místa
95 progr. vyb.
90 změny dle gemos na polic.služ.
80 úprava migrace dat
35 napojení na ČP
34 roční poplatek</t>
        </r>
      </text>
    </comment>
    <comment ref="AE2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766 repr. modul+příslušenství
405 software Srvdata center 2x
246 licence GINIS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60 RO č.4/21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-190 RO č. 4/21
-2480 RO ZM č. 3/21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14,08 dotace MŠMT
83,721 dotace  LK na COVID
24,475 dotace LK potravinová pomoc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5200 I. Etapa MŠ Zámecká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2260 oprava střechy čp. 101,103
250 PD Sevastopol
1000 Sevastopol I. etapa
140 ostatní</t>
        </r>
      </text>
    </comment>
    <comment ref="AD3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2300 střechy 101,103
300 opravy
</t>
        </r>
      </text>
    </comment>
    <comment ref="AF3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oprava střechy 101,103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723,189 dotace MŠMT (šablony)
29,1543 +131,6521 dotace LK péče o děti při COVID</t>
        </r>
      </text>
    </comment>
    <comment ref="E40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661 ZŠ I
540 ZŠ II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347,975 ZŠ Harr</t>
        </r>
      </text>
    </comment>
    <comment ref="AD4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ZŠ Harr 887,975
ZŠ Kom 660,227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688,797 dotace MŠMT - šablony</t>
        </r>
      </text>
    </comment>
    <comment ref="E42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109 úroky z úvěru</t>
        </r>
      </text>
    </comment>
    <comment ref="AD4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3tis úroky z úvěru</t>
        </r>
      </text>
    </comment>
    <comment ref="H4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nedočerpáno kvůli uzvření převedeno na dotaci SKI</t>
        </r>
      </text>
    </comment>
    <comment ref="AE4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135 projektová dokumentace kuchyň
</t>
        </r>
      </text>
    </comment>
    <comment ref="E49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342 provoz 
1376 mzdy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225 vratka dotace nerealizováno spořitelna
300 výměna krytiny střechy ZŠ Kom</t>
        </r>
      </text>
    </comment>
    <comment ref="AD5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75 mzdy
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15,55215 dotace na projrkt "Alternativa bez hranic"</t>
        </r>
      </text>
    </comment>
    <comment ref="AD5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2275 knihovna
3659 SD Jilm</t>
        </r>
      </text>
    </comment>
    <comment ref="AD6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15 mzdy</t>
        </r>
      </text>
    </comment>
    <comment ref="F63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7500 reko malý bazén
1550 hřiště s umělým povrchem
</t>
        </r>
      </text>
    </comment>
    <comment ref="H6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převedeno z IC
</t>
        </r>
      </text>
    </comment>
    <comment ref="E67" authorId="0" shapeId="0">
      <text>
        <r>
          <rPr>
            <sz val="9"/>
            <color indexed="81"/>
            <rFont val="Tahoma"/>
            <family val="2"/>
            <charset val="238"/>
          </rPr>
          <t>20 letní pohár v biatlonu
50 SKI - Jilemnická 50
30 SKI Hančův memoriál (v roce 2021 se nekonal)</t>
        </r>
      </text>
    </comment>
    <comment ref="AD67" authorId="0" shapeId="0">
      <text>
        <r>
          <rPr>
            <sz val="9"/>
            <color indexed="81"/>
            <rFont val="Tahoma"/>
            <family val="2"/>
            <charset val="238"/>
          </rPr>
          <t xml:space="preserve">
50 SKI - Jilemnická 50
30 SKI Hančův memoriál 
20 biatlon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130 ocenění akcií
</t>
        </r>
      </text>
    </comment>
    <comment ref="AE7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ročně 13 308 036,85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207 úroky
146 en. Management
62 softwear Porsena</t>
        </r>
      </text>
    </comment>
    <comment ref="H7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55 energ. Man. Projekt
</t>
        </r>
      </text>
    </comment>
    <comment ref="Y77" authorId="4" shapeId="0">
      <text>
        <r>
          <rPr>
            <b/>
            <sz val="9"/>
            <color indexed="81"/>
            <rFont val="Tahoma"/>
            <family val="2"/>
            <charset val="238"/>
          </rPr>
          <t>Hanka:</t>
        </r>
        <r>
          <rPr>
            <sz val="9"/>
            <color indexed="81"/>
            <rFont val="Tahoma"/>
            <family val="2"/>
            <charset val="238"/>
          </rPr>
          <t xml:space="preserve">
207 úroky
249 ostatní
</t>
        </r>
      </text>
    </comment>
    <comment ref="AD77" authorId="5" shapeId="0">
      <text>
        <r>
          <rPr>
            <b/>
            <sz val="9"/>
            <color indexed="81"/>
            <rFont val="Tahoma"/>
            <family val="2"/>
            <charset val="238"/>
          </rPr>
          <t>Šolcová Ilona, Ing.:
171 úroky</t>
        </r>
        <r>
          <rPr>
            <sz val="9"/>
            <color indexed="81"/>
            <rFont val="Tahoma"/>
            <family val="2"/>
            <charset val="238"/>
          </rPr>
          <t xml:space="preserve">
146 000 Kč - MVV energetický management
54 000 Kč - RIB analýza vhodnosti objektů pro EPC (10%)
250 000 - vypracování energetických auditů</t>
        </r>
      </text>
    </comment>
    <comment ref="AD7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291 provoz
200 oprava projekt</t>
        </r>
      </text>
    </comment>
    <comment ref="AD8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500 tis na navýšení el. energie Elektros 70%
</t>
        </r>
      </text>
    </comment>
    <comment ref="H8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36,16925 dotace LK Evropský týden mobility</t>
        </r>
      </text>
    </comment>
    <comment ref="H87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166,759 z pojistné náhrady za čp 70</t>
        </r>
      </text>
    </comment>
    <comment ref="I8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400tis  - Háze kiosek
</t>
        </r>
      </text>
    </comment>
    <comment ref="E89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61 provoz
308 mzdy</t>
        </r>
      </text>
    </comment>
    <comment ref="AD8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73 provoz
442 mzdy</t>
        </r>
      </text>
    </comment>
    <comment ref="E91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36 org. 319 (restaurace pod radnicí)
91 org. 21 (DC, KRNAP, Kiosek)</t>
        </r>
      </text>
    </comment>
    <comment ref="AD91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org. 319 (restaurace pod radnicí)
96 org. 21 (DC, KRNAP, Kiosek)</t>
        </r>
      </text>
    </comment>
    <comment ref="AF91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org. 319 (restaurace pod radnicí)
96 org. 21 (DC, KRNAP, Kiosek)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455 navýšení - systém door to door</t>
        </r>
      </text>
    </comment>
    <comment ref="H9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200 navýšen příjem za tříděný odpad
</t>
        </r>
      </text>
    </comment>
    <comment ref="E94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541 provoz kompostárny
135 obnova majetku
259 doplatek za rok 2020</t>
        </r>
      </text>
    </comment>
    <comment ref="F94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177 příspěvek na projekt "Door to door"
</t>
        </r>
      </text>
    </comment>
    <comment ref="AD9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135 obnova majetku
358 záloha na rok 2022 (o 10% navýšena skutečnost 2021 - 306tis)
-183 přeplatek 2021</t>
        </r>
      </text>
    </comment>
    <comment ref="AE9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2x dotace inv. 915tis, 31.3.22 a 30.9.22</t>
        </r>
      </text>
    </comment>
    <comment ref="H97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RO č. 4/21
</t>
        </r>
      </text>
    </comment>
    <comment ref="I97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90 RO č.4/21</t>
        </r>
      </text>
    </comment>
    <comment ref="E98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2316 mzdy
-200 snížení o strom na náměstí (již hotov)</t>
        </r>
      </text>
    </comment>
    <comment ref="H9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-120 snížen rozpočet na mzdy
</t>
        </r>
      </text>
    </comment>
    <comment ref="AD9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2317 mzdy
300 soutěž na sekání navíc
300 kruhový objezd výsadba
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36 doplatek studie
100 PD ohradní zeď
14 ostatní</t>
        </r>
      </text>
    </comment>
    <comment ref="AD104" authorId="6" shapeId="0">
      <text>
        <r>
          <rPr>
            <b/>
            <sz val="9"/>
            <color indexed="81"/>
            <rFont val="Tahoma"/>
            <family val="2"/>
            <charset val="238"/>
          </rPr>
          <t>notebook:</t>
        </r>
        <r>
          <rPr>
            <sz val="9"/>
            <color indexed="81"/>
            <rFont val="Tahoma"/>
            <family val="2"/>
            <charset val="238"/>
          </rPr>
          <t xml:space="preserve">
podíl města 220tis</t>
        </r>
      </text>
    </comment>
    <comment ref="E107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5447 mzdy
596 provoz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-380 snížení dotace LK(MPSV)
729,210 dotace COVID
47,221 dotace MPSV (COVID)
90 dotace MPSV
120 navýšen rozpočet na výdaje
</t>
        </r>
      </text>
    </comment>
    <comment ref="AD10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mzdy  5733
ostatní 591</t>
        </r>
      </text>
    </comment>
    <comment ref="AE10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elektromobil 95% by měla být dotace, dle žádosti o dotaci může být cena za pořízení až 880tis - budeme řešit rozp. opatřením
</t>
        </r>
      </text>
    </comment>
    <comment ref="H108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1877,148 od KHK
3063 dotace LK
1081,372 dotace COVID na odměny
2024 dotace LK
1251,432 dotace KHK
170 dotace MPSV
82 dotace MPSV
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138 § 5272
100 §5213</t>
        </r>
      </text>
    </comment>
    <comment ref="H110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42,06 dotace LK pro Červený kříž
</t>
        </r>
      </text>
    </comment>
    <comment ref="AD110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Trojanová Hana
</t>
        </r>
        <r>
          <rPr>
            <sz val="9"/>
            <color indexed="81"/>
            <rFont val="Tahoma"/>
            <family val="2"/>
            <charset val="238"/>
          </rPr>
          <t xml:space="preserve">par 5213   250tisKč
par 5272 203tisKč
</t>
        </r>
      </text>
    </comment>
    <comment ref="H111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1000 RO ZM č.1/2021</t>
        </r>
      </text>
    </comment>
    <comment ref="Y112" authorId="4" shapeId="0">
      <text>
        <r>
          <rPr>
            <b/>
            <sz val="9"/>
            <color indexed="81"/>
            <rFont val="Tahoma"/>
            <family val="2"/>
            <charset val="238"/>
          </rPr>
          <t>Hanka:</t>
        </r>
        <r>
          <rPr>
            <sz val="9"/>
            <color indexed="81"/>
            <rFont val="Tahoma"/>
            <family val="2"/>
            <charset val="238"/>
          </rPr>
          <t xml:space="preserve">
1289 mzdy
</t>
        </r>
      </text>
    </comment>
    <comment ref="AD11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448
1979 mzdy 3 zam
</t>
        </r>
      </text>
    </comment>
    <comment ref="E114" authorId="1" shapeId="0">
      <text>
        <r>
          <rPr>
            <b/>
            <sz val="9"/>
            <color indexed="81"/>
            <rFont val="Tahoma"/>
            <family val="2"/>
            <charset val="238"/>
          </rPr>
          <t>Notebook pracovní:</t>
        </r>
        <r>
          <rPr>
            <sz val="9"/>
            <color indexed="81"/>
            <rFont val="Tahoma"/>
            <family val="2"/>
            <charset val="238"/>
          </rPr>
          <t xml:space="preserve">
50 oprava soc. zařízení
</t>
        </r>
      </text>
    </comment>
    <comment ref="H114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150 dotace na akceschopnost
170 na opravu soc. zařízení RO ZM č. 3/21
41 dotace KL ochranné pomůcky
143,376 dotace LK pohonné hmoty, opravy, ochranné pomůlcky
78,4 navýšen příjem za přijaté pojistné náhrady proti navýšeny výdaje
</t>
        </r>
      </text>
    </comment>
    <comment ref="AD11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18 voda na Kozinci
</t>
        </r>
      </text>
    </comment>
    <comment ref="AD12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oprava EZS budov - alarm
230tis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54 za podání žaloby Nálevková</t>
        </r>
      </text>
    </comment>
    <comment ref="H12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167,752 potravinová pomoc MŠ vratka 2020
</t>
        </r>
      </text>
    </comment>
    <comment ref="AD127" authorId="4" shapeId="0">
      <text>
        <r>
          <rPr>
            <b/>
            <sz val="9"/>
            <color indexed="81"/>
            <rFont val="Tahoma"/>
            <family val="2"/>
            <charset val="238"/>
          </rPr>
          <t>Hanka:</t>
        </r>
        <r>
          <rPr>
            <sz val="9"/>
            <color indexed="81"/>
            <rFont val="Tahoma"/>
            <family val="2"/>
            <charset val="238"/>
          </rPr>
          <t xml:space="preserve">
31 dotace retnč.nádž</t>
        </r>
      </text>
    </comment>
    <comment ref="E129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1098 na odvod z projektu zateplení 2008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248,07929 kompenzační bonus 1.Q.2021
969,5999 kompenzační bonus MFČR II.Q.2021
53,44349 kompenzační bonus doplatek 11/21
180,681  dotace MZE kůrovc. Kalamita 2020
-55 energet. Management
-270 IT firewall
122,923 MŽP ČR dotace na kůrovce 2020
</t>
        </r>
      </text>
    </comment>
    <comment ref="I13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-656 retenční nádrž - dotace nakonec doběhla 2022
</t>
        </r>
      </text>
    </comment>
    <comment ref="AD13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400 rezerva odchodné
550 rezerva ostatní</t>
        </r>
      </text>
    </comment>
    <comment ref="AE13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rezerva na spoluúčast na projektech, kde se žádá o dotaci Workout.hř. Hraběnka, Rekonstr. A výst. dětských hřišť, Rekonstr. hřiště na stadionu, Rekuperace - 5 projektů, Podpora předcházení vzniku odpadů</t>
        </r>
      </text>
    </comment>
  </commentList>
</comments>
</file>

<file path=xl/comments4.xml><?xml version="1.0" encoding="utf-8"?>
<comments xmlns="http://schemas.openxmlformats.org/spreadsheetml/2006/main">
  <authors>
    <author>Město Jilemnice</author>
    <author>Kynčlová Miroslava, Ing.</author>
    <author>Trojanová Hana, Ing.</author>
  </authors>
  <commentList>
    <comment ref="J6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prodej pozemků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7763 výkup r. 2015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7998 podíl VHS
</t>
        </r>
      </text>
    </comment>
    <comment ref="J1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Kynčlová Miroslava, Ing.:
847 náhrada v roce 2019
</t>
        </r>
        <r>
          <rPr>
            <sz val="9"/>
            <color indexed="81"/>
            <rFont val="Tahoma"/>
            <family val="2"/>
            <charset val="238"/>
          </rPr>
          <t xml:space="preserve">
1053 náhrada v roce 2020
284 náhrada v roce 2021
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bez služeb en. Magagementu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bez služeb en. Magagementu
</t>
        </r>
      </text>
    </comment>
    <comment ref="R1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11170+2735 příjem dotace
2000 splátka úvěru</t>
        </r>
      </text>
    </comment>
    <comment ref="S1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splátka úvěru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46000 podíl LK
7500 chodníky a VO město
5500 kruhový objezd město
4687 dotace VHS kanalizace a voda
1800 projekce
4000 dešť. kanalizace a retenční nádrž
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podíl Lib. kraje</t>
        </r>
      </text>
    </comment>
    <comment ref="N23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3000 VHS kanalizace
</t>
        </r>
      </text>
    </comment>
    <comment ref="O23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1687 doplatek VHS  vodovod
220 projekce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744 kanalizační přípojka</t>
        </r>
      </text>
    </comment>
    <comment ref="R2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3713 dotace</t>
        </r>
      </text>
    </comment>
  </commentList>
</comments>
</file>

<file path=xl/sharedStrings.xml><?xml version="1.0" encoding="utf-8"?>
<sst xmlns="http://schemas.openxmlformats.org/spreadsheetml/2006/main" count="967" uniqueCount="608">
  <si>
    <t xml:space="preserve">                                 </t>
  </si>
  <si>
    <t xml:space="preserve">                           </t>
  </si>
  <si>
    <t>Rozpočet</t>
  </si>
  <si>
    <t>změna</t>
  </si>
  <si>
    <t>%</t>
  </si>
  <si>
    <t>Plnění</t>
  </si>
  <si>
    <t>k rozpočtu</t>
  </si>
  <si>
    <t>Třída 1 - Daňové příjmy</t>
  </si>
  <si>
    <t>Třída 2 - Nedaňové příjmy</t>
  </si>
  <si>
    <t>Třída 3 - Kapitálové příjmy</t>
  </si>
  <si>
    <t>Třída 4 - Přijaté dotace</t>
  </si>
  <si>
    <t>Příjmy celkem</t>
  </si>
  <si>
    <t>Třída 5 - Běžné výdaje</t>
  </si>
  <si>
    <t>Třída 6 - Kapitálové výdaje</t>
  </si>
  <si>
    <t>Výdaje celkem</t>
  </si>
  <si>
    <t>Saldo: Příjmy - výdaje</t>
  </si>
  <si>
    <t>pol.</t>
  </si>
  <si>
    <t>Třída 8 - financování</t>
  </si>
  <si>
    <t>Celkem financování</t>
  </si>
  <si>
    <t>poznámka</t>
  </si>
  <si>
    <t>polož.</t>
  </si>
  <si>
    <t>§</t>
  </si>
  <si>
    <t>org.</t>
  </si>
  <si>
    <t>název</t>
  </si>
  <si>
    <t>1a) BĚŽNÉ</t>
  </si>
  <si>
    <t>DAŇOVÉ  - TŘÍDA  1</t>
  </si>
  <si>
    <t>11-daně z příjmů, zisku a kap. výnosů</t>
  </si>
  <si>
    <t>z toho:</t>
  </si>
  <si>
    <t>13-poplatky a daně z vybraných činností</t>
  </si>
  <si>
    <t>Matriční poplatky</t>
  </si>
  <si>
    <t>Živnostenské listy</t>
  </si>
  <si>
    <t>Hrací automaty</t>
  </si>
  <si>
    <t>15-majetkové daně</t>
  </si>
  <si>
    <t>bez</t>
  </si>
  <si>
    <t>Daňové příjmy celkem:</t>
  </si>
  <si>
    <t>NEDAŇOVÉ - TŘÍDA 2</t>
  </si>
  <si>
    <t>21-příjmy z vlastní činnosti</t>
  </si>
  <si>
    <t>Prodej zpravodaje</t>
  </si>
  <si>
    <t>Pohřebnictví</t>
  </si>
  <si>
    <t>Pečovatelská služba</t>
  </si>
  <si>
    <t>Příjmy z reklam ( zpravodaj, rozhlas)</t>
  </si>
  <si>
    <t>Nájemné:</t>
  </si>
  <si>
    <t>BH - Nájemné nebyt. prost.</t>
  </si>
  <si>
    <t>Nájemné Zásobování teplem s.r.o.</t>
  </si>
  <si>
    <t>Pokuty městská policie</t>
  </si>
  <si>
    <t>Nedaňové příjmy celkem:</t>
  </si>
  <si>
    <t>TŘÍDA  3</t>
  </si>
  <si>
    <t>31-příjmy z prodeje investičního majetku</t>
  </si>
  <si>
    <t>Kapitálové příjmy celkem:</t>
  </si>
  <si>
    <t xml:space="preserve">2)PŘIJATÉ DOTACE </t>
  </si>
  <si>
    <t>TŘÍDA  4</t>
  </si>
  <si>
    <t>2a) Běžné</t>
  </si>
  <si>
    <t>2b) Kapitálové</t>
  </si>
  <si>
    <t>Přijaté dotace celkem:</t>
  </si>
  <si>
    <t>Rekapitulace příjmů:</t>
  </si>
  <si>
    <t>Tř. 1 - Daňové příjmy</t>
  </si>
  <si>
    <t>Tř. 2. - Nedaňové příjmy</t>
  </si>
  <si>
    <t>Ze tř. 4 - Dotace běžné</t>
  </si>
  <si>
    <t>Vlastní příjmy celkem</t>
  </si>
  <si>
    <t>Tř. 3 - Kapitálové příjmy</t>
  </si>
  <si>
    <t>Ze tř. 4. - Dotace kapitálové</t>
  </si>
  <si>
    <t>Celkem příjmy</t>
  </si>
  <si>
    <t>sk</t>
  </si>
  <si>
    <t>Popis paragrafu</t>
  </si>
  <si>
    <t>běžné</t>
  </si>
  <si>
    <t>kap.</t>
  </si>
  <si>
    <t>celkem</t>
  </si>
  <si>
    <t>Zeměděl. a lesní hospodářství</t>
  </si>
  <si>
    <t>Morávková</t>
  </si>
  <si>
    <t>Faistauer</t>
  </si>
  <si>
    <t>Doprava,vodovody,kanalizace</t>
  </si>
  <si>
    <t>Kultura, církve a sdělovací  prostř.</t>
  </si>
  <si>
    <t>Vydávání zpravodaje</t>
  </si>
  <si>
    <t>Tělovýchova a zájmová činnost</t>
  </si>
  <si>
    <t>Bydlení, komunální služby a územní rozvoj</t>
  </si>
  <si>
    <t>Bytové hospodářství</t>
  </si>
  <si>
    <t>Veřejné osvětlení- provoz ,opravy</t>
  </si>
  <si>
    <t>Sběr a svoz komun. odpadů</t>
  </si>
  <si>
    <t>Péče o vzhled obcí a veřejnou zeleň</t>
  </si>
  <si>
    <t>Sociální péče</t>
  </si>
  <si>
    <t xml:space="preserve">Obecní policie </t>
  </si>
  <si>
    <t>Státní správa, územní samospráva</t>
  </si>
  <si>
    <t>Místní zastupitelské orgány</t>
  </si>
  <si>
    <t>63,64</t>
  </si>
  <si>
    <t>Finanční operace, ostatní činnosti</t>
  </si>
  <si>
    <t>Daň z příjmu práv. osob za obce</t>
  </si>
  <si>
    <t>Celkem výdaje</t>
  </si>
  <si>
    <t>kontrola</t>
  </si>
  <si>
    <t>Příjmy z úroků a fin. majetku</t>
  </si>
  <si>
    <t>rozdíl</t>
  </si>
  <si>
    <t>Výkup pozemků</t>
  </si>
  <si>
    <t>Příjem z veřejných WC</t>
  </si>
  <si>
    <t>rozpočet</t>
  </si>
  <si>
    <t>Lesní hospodářství</t>
  </si>
  <si>
    <t>Opravy pronajímaných nebyt. prostor</t>
  </si>
  <si>
    <t>Projekty do 60000,-/ nad 60000</t>
  </si>
  <si>
    <t xml:space="preserve">Činnost místní správy </t>
  </si>
  <si>
    <t>Upravený</t>
  </si>
  <si>
    <t>Upr. rozp.</t>
  </si>
  <si>
    <t>Upravený rozpočet</t>
  </si>
  <si>
    <t>Ost. poplatky</t>
  </si>
  <si>
    <t xml:space="preserve">SPOZ </t>
  </si>
  <si>
    <t>Popl. za komunální odpad</t>
  </si>
  <si>
    <t>Bezpečnost, požár. ochrana</t>
  </si>
  <si>
    <t>k sestavení rozpočtu</t>
  </si>
  <si>
    <t>Poplatek ze psů</t>
  </si>
  <si>
    <t>Popl. za užívání veřejného prostranství</t>
  </si>
  <si>
    <t>DPFO - závislá činnost</t>
  </si>
  <si>
    <t xml:space="preserve">DPH </t>
  </si>
  <si>
    <t>DPFO - srážková daň</t>
  </si>
  <si>
    <t>DP - právnických osob</t>
  </si>
  <si>
    <t>DP práv. osob za obce</t>
  </si>
  <si>
    <t>daň sdílená</t>
  </si>
  <si>
    <t>Zdravotnictví</t>
  </si>
  <si>
    <t>Životní prostředí</t>
  </si>
  <si>
    <t xml:space="preserve">Knihovna </t>
  </si>
  <si>
    <t>Šnorbert</t>
  </si>
  <si>
    <t xml:space="preserve">Dopravní obslužnost </t>
  </si>
  <si>
    <t>Kompenzace za tříděný odpad</t>
  </si>
  <si>
    <t>Provoz parkoviště , park. automaty</t>
  </si>
  <si>
    <t>DPFO-závisl. činnost 1,5% podíl</t>
  </si>
  <si>
    <t>Opravy, údržba komunikací</t>
  </si>
  <si>
    <t>Byty -  opravy z nájemného</t>
  </si>
  <si>
    <t>Byty - platby za služby</t>
  </si>
  <si>
    <t>Nebytové pr. - opravy</t>
  </si>
  <si>
    <t>Nebytové pr. - služby</t>
  </si>
  <si>
    <t>Zvelebilová</t>
  </si>
  <si>
    <t>Změna</t>
  </si>
  <si>
    <t>Přebytek ( - ),   ztráta  (+)</t>
  </si>
  <si>
    <t>24- přijaté splátky půjček</t>
  </si>
  <si>
    <t>23-příjmy z prodeje majetku a ost.nedaňové příjmy</t>
  </si>
  <si>
    <t xml:space="preserve">22-přijaté sankční platby </t>
  </si>
  <si>
    <t>Pasy, obč. průkazy</t>
  </si>
  <si>
    <t xml:space="preserve">Pokuty dopravní </t>
  </si>
  <si>
    <t>Pokuty životní prostředí</t>
  </si>
  <si>
    <t>3,4,6,8,9</t>
  </si>
  <si>
    <t>Pokuty živnost.úřad</t>
  </si>
  <si>
    <t>Krizové řízení, ochrana obyvatelstva</t>
  </si>
  <si>
    <t>uz</t>
  </si>
  <si>
    <t>Zachov. a obn.kult. památek města</t>
  </si>
  <si>
    <t>Rezerva rozpočtová</t>
  </si>
  <si>
    <t>BH - Nájemné byt. prostory vč. penále</t>
  </si>
  <si>
    <t xml:space="preserve">Pečovatelská služba </t>
  </si>
  <si>
    <t>Příjmy z poskytování služeb a výrobků</t>
  </si>
  <si>
    <t>Správní poplatky</t>
  </si>
  <si>
    <t xml:space="preserve">Místní poplatky </t>
  </si>
  <si>
    <t>1b) KAPITÁLOVÉ -</t>
  </si>
  <si>
    <t>rozpočtu</t>
  </si>
  <si>
    <t>správce</t>
  </si>
  <si>
    <t>Provoz veř. WC</t>
  </si>
  <si>
    <t>daň vlastní</t>
  </si>
  <si>
    <t>operace</t>
  </si>
  <si>
    <t>Zelinka</t>
  </si>
  <si>
    <t>Augustin</t>
  </si>
  <si>
    <t>Cerman</t>
  </si>
  <si>
    <t>Platby do svazků obcí, sdružení</t>
  </si>
  <si>
    <t>příkazce</t>
  </si>
  <si>
    <t>Pokuty stavební úřad</t>
  </si>
  <si>
    <t>Stavební poplatky</t>
  </si>
  <si>
    <t>Propagace města, výročí, zahr.spolupráce</t>
  </si>
  <si>
    <t>Životní prostředí poplatky</t>
  </si>
  <si>
    <t>Zvl. užívání místních komun.</t>
  </si>
  <si>
    <t>Dopravní poplatky</t>
  </si>
  <si>
    <t>Areál služeb</t>
  </si>
  <si>
    <t>Městská knihovna</t>
  </si>
  <si>
    <t>Parkovné</t>
  </si>
  <si>
    <t>Nájemné z ost. nemovitostí</t>
  </si>
  <si>
    <t>Daň z nemovitostí</t>
  </si>
  <si>
    <t>BH - služby byt. prostory</t>
  </si>
  <si>
    <t>BH - služby nebyt. prostory</t>
  </si>
  <si>
    <t>Kopírování, ost příjmy správy</t>
  </si>
  <si>
    <t>Příjmy z úroků - akce Roztocká</t>
  </si>
  <si>
    <t>Prodej pozemků</t>
  </si>
  <si>
    <t>Prodej nemovitostí - bytů,domů</t>
  </si>
  <si>
    <t>Inv. příspěvky 32b.j.</t>
  </si>
  <si>
    <t xml:space="preserve">Souhrnná neinvestiční dotace </t>
  </si>
  <si>
    <t>dle rozpisu položek v tabulce správa</t>
  </si>
  <si>
    <t>k datu</t>
  </si>
  <si>
    <t>3769,6171</t>
  </si>
  <si>
    <t>Veřejnopr. smlouvy policie</t>
  </si>
  <si>
    <t xml:space="preserve">Komunální služby </t>
  </si>
  <si>
    <t>Nájemné z pozemků</t>
  </si>
  <si>
    <t xml:space="preserve">Areál služeb </t>
  </si>
  <si>
    <t>Rozdíl</t>
  </si>
  <si>
    <t>Pěstební činnost v lesnictví</t>
  </si>
  <si>
    <t xml:space="preserve">Požární ochrana </t>
  </si>
  <si>
    <t>Pojistění majetku města</t>
  </si>
  <si>
    <t>stejná v příjmech</t>
  </si>
  <si>
    <t>13,14,19,27</t>
  </si>
  <si>
    <t>Zkoušky OZ řidičské průkazy</t>
  </si>
  <si>
    <t>DPFO - přiznání - sdílená část</t>
  </si>
  <si>
    <r>
      <t>F</t>
    </r>
    <r>
      <rPr>
        <sz val="8"/>
        <rFont val="Times New Roman"/>
        <family val="1"/>
        <charset val="238"/>
      </rPr>
      <t>ű</t>
    </r>
    <r>
      <rPr>
        <sz val="8"/>
        <rFont val="Arial CE"/>
        <family val="2"/>
        <charset val="238"/>
      </rPr>
      <t>ri</t>
    </r>
  </si>
  <si>
    <r>
      <t>M</t>
    </r>
    <r>
      <rPr>
        <sz val="8"/>
        <rFont val="Times New Roman"/>
        <family val="1"/>
        <charset val="238"/>
      </rPr>
      <t>ű</t>
    </r>
    <r>
      <rPr>
        <sz val="8"/>
        <rFont val="Arial CE"/>
        <family val="2"/>
        <charset val="238"/>
      </rPr>
      <t>llerová</t>
    </r>
  </si>
  <si>
    <t>Műllerová</t>
  </si>
  <si>
    <t>Opravy budov škol</t>
  </si>
  <si>
    <t>Výdaje,daň za prodej majetku</t>
  </si>
  <si>
    <t>Mečíř</t>
  </si>
  <si>
    <t>Bedrníková</t>
  </si>
  <si>
    <t>Územní plánování</t>
  </si>
  <si>
    <t xml:space="preserve">Ost. sociální péče </t>
  </si>
  <si>
    <t>MŠ Jilemnice - příspěvek na provoz</t>
  </si>
  <si>
    <t>ZŠ Komenského- příspěvek na provoz</t>
  </si>
  <si>
    <t>ZŠ Harracha- příspěvek na provoz</t>
  </si>
  <si>
    <t>Příjmy</t>
  </si>
  <si>
    <t>Výdaje</t>
  </si>
  <si>
    <t>Plánovaná ztráta/zisk</t>
  </si>
  <si>
    <t>upravený</t>
  </si>
  <si>
    <t>plánované</t>
  </si>
  <si>
    <t>(+ uspoření</t>
  </si>
  <si>
    <t>skutečnost</t>
  </si>
  <si>
    <t>saldo</t>
  </si>
  <si>
    <t>- překročení )</t>
  </si>
  <si>
    <t>celkem příjmy</t>
  </si>
  <si>
    <t>Aareál služeb</t>
  </si>
  <si>
    <t>služby byty</t>
  </si>
  <si>
    <t>nájemné nebyty</t>
  </si>
  <si>
    <t>služby nebyty</t>
  </si>
  <si>
    <t>celkem BH</t>
  </si>
  <si>
    <t>Knihovna</t>
  </si>
  <si>
    <t>příjmy</t>
  </si>
  <si>
    <t>dar</t>
  </si>
  <si>
    <t>Zpravodaj</t>
  </si>
  <si>
    <t>příjmy za prodej</t>
  </si>
  <si>
    <t>příjmy z reklam</t>
  </si>
  <si>
    <t>Komunální odpad</t>
  </si>
  <si>
    <t>poplatek</t>
  </si>
  <si>
    <t>kompenzace za třídění</t>
  </si>
  <si>
    <t>Provoz veřejných WC</t>
  </si>
  <si>
    <t>Czech Point poplatky</t>
  </si>
  <si>
    <t>Příjmy z věcných břemen pozemků</t>
  </si>
  <si>
    <t>Obnova a zachování kult. hodnot</t>
  </si>
  <si>
    <t>Opravy budov MÚ</t>
  </si>
  <si>
    <t>Právní zastoupení města</t>
  </si>
  <si>
    <t>nájemné byty vč. penále</t>
  </si>
  <si>
    <t>Péče o stromovou zeleň</t>
  </si>
  <si>
    <t>Dětské centrum příspěvek na provoz</t>
  </si>
  <si>
    <t>Platba DPH za ekonomické činnosti</t>
  </si>
  <si>
    <t>Pokuty správní odbor, přestupky</t>
  </si>
  <si>
    <t>Odvody příspěvkových organizací</t>
  </si>
  <si>
    <t>Příspěvek na odpisy svěř. majetku MŠ</t>
  </si>
  <si>
    <t>Příspěvek na odpisy svěř. majetku ZŠ</t>
  </si>
  <si>
    <t>Příspěvek na odpisy svěř. majetku ZUŠ</t>
  </si>
  <si>
    <t>Příspěvek na odpisy svěř. majetku SDJ</t>
  </si>
  <si>
    <t>312,orj.10</t>
  </si>
  <si>
    <t>103, orj1,2,3,4,1111</t>
  </si>
  <si>
    <t>Stavebnictví, cestovní ruch, služby</t>
  </si>
  <si>
    <t>DPH</t>
  </si>
  <si>
    <t>Územní rozvoj ( Zdravá města)</t>
  </si>
  <si>
    <t>Veřejnopr. smlouvy správní odbor</t>
  </si>
  <si>
    <t>SD Jilm - příspěvek na provoz</t>
  </si>
  <si>
    <t>Příspěvek na činnost Krkonošského muzea</t>
  </si>
  <si>
    <t xml:space="preserve">poznámka k rozpočtu </t>
  </si>
  <si>
    <t>Provoz informačního centra pro mládež</t>
  </si>
  <si>
    <t xml:space="preserve">Odvody z vybraných činností </t>
  </si>
  <si>
    <t>Příjmy za služby pronajímaných prostor</t>
  </si>
  <si>
    <t>Služby pronajímaných prostor</t>
  </si>
  <si>
    <t>Nájemné restaurace pod radnicí</t>
  </si>
  <si>
    <t>Opravy restaurace pod radnicí</t>
  </si>
  <si>
    <t>Přijaté dary a ost. příjmy</t>
  </si>
  <si>
    <t>560Kč/os/rok</t>
  </si>
  <si>
    <t>Stravovadlo - Scolarest, ZŠ</t>
  </si>
  <si>
    <t>Kozáková</t>
  </si>
  <si>
    <t>Nováková</t>
  </si>
  <si>
    <t>šetří se</t>
  </si>
  <si>
    <t>3,14,26</t>
  </si>
  <si>
    <t>Příjmy z úroků ( vč. fondů)</t>
  </si>
  <si>
    <t>Kompostárna - provoz (příspěvek svazku)</t>
  </si>
  <si>
    <t>Jandurová</t>
  </si>
  <si>
    <t>Steinerová</t>
  </si>
  <si>
    <t>13011</t>
  </si>
  <si>
    <t>3349</t>
  </si>
  <si>
    <t>Kursové rozdíly</t>
  </si>
  <si>
    <t>vč. akcí města</t>
  </si>
  <si>
    <t>Vinklář</t>
  </si>
  <si>
    <t>dotace MPSV</t>
  </si>
  <si>
    <t>příjmy za služby</t>
  </si>
  <si>
    <t>Vávrová</t>
  </si>
  <si>
    <t>700,701,702</t>
  </si>
  <si>
    <t>Dotace na výkon st. správy -  soc. práci</t>
  </si>
  <si>
    <t>Vébrová</t>
  </si>
  <si>
    <t>RM,ZM</t>
  </si>
  <si>
    <t>Vohnická</t>
  </si>
  <si>
    <t>saldo 0</t>
  </si>
  <si>
    <t>700-702</t>
  </si>
  <si>
    <t>Městská policie</t>
  </si>
  <si>
    <t>veř. smlouvy</t>
  </si>
  <si>
    <t>sankční platby</t>
  </si>
  <si>
    <t>Fűri</t>
  </si>
  <si>
    <t>org</t>
  </si>
  <si>
    <t xml:space="preserve">Dotace LK na pečovatelskou službu </t>
  </si>
  <si>
    <t xml:space="preserve">Pokuty ostatní </t>
  </si>
  <si>
    <t>MMN,a.s. - příplatek mimo zákl. kapitál</t>
  </si>
  <si>
    <t>VHS - příspěvky (úroky k úvěru Čistá Jizera)</t>
  </si>
  <si>
    <t>Šolcová</t>
  </si>
  <si>
    <t>Chodník ul. Roztocká - projekce</t>
  </si>
  <si>
    <t>Bulušek</t>
  </si>
  <si>
    <t>Finanční vypořádání z minulých let</t>
  </si>
  <si>
    <t>Dotace na výkon st. správy - soc. právní ochranu dětí</t>
  </si>
  <si>
    <t>Dotace MK ČR na obnovu památek</t>
  </si>
  <si>
    <t>Odhad</t>
  </si>
  <si>
    <t>Nájemné ZŠ Libereckého kraje</t>
  </si>
  <si>
    <t>Služby ZŠ Libereckého kraje</t>
  </si>
  <si>
    <t>Nájemné budovy čp. 259</t>
  </si>
  <si>
    <t>Služby nájemníků čp. 259</t>
  </si>
  <si>
    <t>ZUŠ - příspěvek na provoz, čp. 85</t>
  </si>
  <si>
    <t>Sportovní centrum Jilemnice, s.r.o</t>
  </si>
  <si>
    <t>ZŠ Harracha - projekt IROP</t>
  </si>
  <si>
    <t>vyrovnávací platba</t>
  </si>
  <si>
    <t>Nonnerová</t>
  </si>
  <si>
    <t>Lambertová</t>
  </si>
  <si>
    <t>Areál Hraběnka - provoz</t>
  </si>
  <si>
    <t xml:space="preserve">SC,s.r.o -obnova a investice sportovních zařízení </t>
  </si>
  <si>
    <t>Daň z hazardních her</t>
  </si>
  <si>
    <t>Splátky úvěrů, dl. závazků</t>
  </si>
  <si>
    <t>13015</t>
  </si>
  <si>
    <t>Služby Hraběnka</t>
  </si>
  <si>
    <t>Grantový program Sport</t>
  </si>
  <si>
    <t>Sociální byty (čp. 70)</t>
  </si>
  <si>
    <t>Plán rozvoje sportu - dotace na akce</t>
  </si>
  <si>
    <t>Přijatá náhrada za neplnění úspor z projektu EPC</t>
  </si>
  <si>
    <t>Rekonstrukce MŠ Zámecká</t>
  </si>
  <si>
    <t>Hegrová</t>
  </si>
  <si>
    <t>Příprava území k bytové výstavbě - Nouzov</t>
  </si>
  <si>
    <t>Grantový program Zdravé město</t>
  </si>
  <si>
    <t>Individuální dotace kultura a ost.</t>
  </si>
  <si>
    <t>Individuální dotace tělových. a záj. činnost</t>
  </si>
  <si>
    <t xml:space="preserve">Přijetí  úvěru </t>
  </si>
  <si>
    <t>Malínská</t>
  </si>
  <si>
    <t>301, orj. 11</t>
  </si>
  <si>
    <t>Financování soc. služeb v ORP Jilemnice</t>
  </si>
  <si>
    <t>Projekt "MAS Sociání práce v Jilemnici"</t>
  </si>
  <si>
    <t>Veřejnopr. smlouvy soc. služby ORP Jilemnice</t>
  </si>
  <si>
    <t>Veřejnopr. smlouvy pečovatelská služba ORP Jilemnice</t>
  </si>
  <si>
    <t>stejné v příjmech</t>
  </si>
  <si>
    <t>Popl. z pobytu</t>
  </si>
  <si>
    <t>Dotace na projekt "MAS Sociání práce v Jilemnici"</t>
  </si>
  <si>
    <t>včetně ověřování</t>
  </si>
  <si>
    <t>Obnova retenční nádrže nad školou</t>
  </si>
  <si>
    <t>Spořilov - komunikace a kanalizace</t>
  </si>
  <si>
    <t>z toho 296 dotace na sportoviště</t>
  </si>
  <si>
    <t>40 dotace Svazku na podvečery</t>
  </si>
  <si>
    <t>ostatní z GP soc. služeb</t>
  </si>
  <si>
    <t>Charitní taxi</t>
  </si>
  <si>
    <t>Popl. za znečišť. životního  prostř. a odnětí ZPF</t>
  </si>
  <si>
    <t>včetně pouti a SC</t>
  </si>
  <si>
    <t>Nouzov komunikace - rekonstrukce</t>
  </si>
  <si>
    <t>Udržitelná mobilita - projekt</t>
  </si>
  <si>
    <t>ZŠ při dětském centru - přístavba</t>
  </si>
  <si>
    <t>vč. provozu zahr. domku</t>
  </si>
  <si>
    <t>Smuteční síň - studie, projekt</t>
  </si>
  <si>
    <t>Příprava území k bytové výstavbě - Buben</t>
  </si>
  <si>
    <t>přesun z min. let</t>
  </si>
  <si>
    <t>z toho 142 dotace na sportoviště a 1550 hor. stěna</t>
  </si>
  <si>
    <t>Rejlová</t>
  </si>
  <si>
    <t>indiv. dotace</t>
  </si>
  <si>
    <t>Otáhalová</t>
  </si>
  <si>
    <t>Vzdělávání</t>
  </si>
  <si>
    <t>Rozpočet 2021</t>
  </si>
  <si>
    <t>k</t>
  </si>
  <si>
    <t>Dotace LK a KHK pro DC na sociální služby</t>
  </si>
  <si>
    <t>Použití krizového fondu</t>
  </si>
  <si>
    <t>Poznámka</t>
  </si>
  <si>
    <t>Výstavba rybníka U Polesí</t>
  </si>
  <si>
    <t>Rozpočet 21</t>
  </si>
  <si>
    <t>R21/20</t>
  </si>
  <si>
    <t>Dotace na projekt "obnova retenční nádrže nad školou"</t>
  </si>
  <si>
    <t>Projekt OPŽP - realizace do 30.6.2021</t>
  </si>
  <si>
    <t>Dotace na projekt "sociální byty v čp. 70"</t>
  </si>
  <si>
    <t>Přechod ulice Krkonošská</t>
  </si>
  <si>
    <t>Projekt Modernizace zařízení pro sběr kom. odpadů</t>
  </si>
  <si>
    <t>Most  v ul. J. Weisse</t>
  </si>
  <si>
    <t>Most U Jarmary</t>
  </si>
  <si>
    <t>Příjmy místního hospodářství</t>
  </si>
  <si>
    <t>Dotace na ZŠ Harracha - projekt IROP</t>
  </si>
  <si>
    <t>střecha čp. 103,101</t>
  </si>
  <si>
    <t>ukončení v r. 2021</t>
  </si>
  <si>
    <t>Příjmy ze služeb školního stravování</t>
  </si>
  <si>
    <t>Dotace na projekt Modernizace zařízení pro sběr kom. odpadů</t>
  </si>
  <si>
    <t>Překladiště odpadů - svazek Jilemnicko</t>
  </si>
  <si>
    <t>Cyklostezka Hraběnka - koupaliště</t>
  </si>
  <si>
    <t>Dotace LK pro komunitní plánování</t>
  </si>
  <si>
    <t>Projekt komunitní plánování</t>
  </si>
  <si>
    <t>Projekt EPC + en. management</t>
  </si>
  <si>
    <t>Dotace na ZŠ Harracha - projekt IROP neinv.</t>
  </si>
  <si>
    <t xml:space="preserve"> grantový program</t>
  </si>
  <si>
    <t>Doplatek za volby 2020</t>
  </si>
  <si>
    <t>Rezerva zateplení odvod 2008</t>
  </si>
  <si>
    <t>NFV na předfinancování projektu "Door to door" Jilemnicku - svazku obcí</t>
  </si>
  <si>
    <t>1.Q.2021</t>
  </si>
  <si>
    <t>2.Q.2021</t>
  </si>
  <si>
    <t>3.Q.2021</t>
  </si>
  <si>
    <t>4.Q.2021</t>
  </si>
  <si>
    <t>Rozpočet 22</t>
  </si>
  <si>
    <t>R22/21</t>
  </si>
  <si>
    <t>2021</t>
  </si>
  <si>
    <t>odhad-R21</t>
  </si>
  <si>
    <t>Zůstatek z depozitního účtu z r. 2020</t>
  </si>
  <si>
    <t>Rozpočet 2022</t>
  </si>
  <si>
    <t>Okruhy plnění rozpočtu 2021 u vybraných organizací v Jilemnici</t>
  </si>
  <si>
    <t>Vratka do fondu rezerv a rozvoje</t>
  </si>
  <si>
    <t>Zůstatek z roku 2020</t>
  </si>
  <si>
    <t>rozdíl plnění 2021</t>
  </si>
  <si>
    <t>proti rozpočtu 2021</t>
  </si>
  <si>
    <t>rozp. 2022/</t>
  </si>
  <si>
    <t>Čerpání 1.Q.2021</t>
  </si>
  <si>
    <t>Čerpání 2.Q.2021</t>
  </si>
  <si>
    <t>Čerpání 3.Q.2021</t>
  </si>
  <si>
    <t>Čerpání 4.Q.2021</t>
  </si>
  <si>
    <t>dotace spolku</t>
  </si>
  <si>
    <t xml:space="preserve">příplatek mimo základní kapitál </t>
  </si>
  <si>
    <t>pokračování z min. let</t>
  </si>
  <si>
    <t xml:space="preserve">změna ÚP </t>
  </si>
  <si>
    <t>Grant. program ORP</t>
  </si>
  <si>
    <t>Hlaváč</t>
  </si>
  <si>
    <t>5110, orj 240</t>
  </si>
  <si>
    <t>5110, orj 2021</t>
  </si>
  <si>
    <t>Grantový program COVID II</t>
  </si>
  <si>
    <t>Dotace na výkon státní správy</t>
  </si>
  <si>
    <t>Dotace LK na krizové řízení</t>
  </si>
  <si>
    <t>Přijaté pojistné náhrady</t>
  </si>
  <si>
    <t>Přijatá náhrada požární ochrana</t>
  </si>
  <si>
    <t>Dotace pro požární ochranu</t>
  </si>
  <si>
    <t>Příspěvek obcím od MF ČR (kompenzační bodnus)</t>
  </si>
  <si>
    <t>Dotace LK pro městské lesy</t>
  </si>
  <si>
    <t>Dotace z MPSV pro pečovatelskou službu (COVID)</t>
  </si>
  <si>
    <t>veřejn. smlouvy</t>
  </si>
  <si>
    <t>Pozemek pro HZS Libereckého kraje</t>
  </si>
  <si>
    <t>Dotace na nákup pozemku pro HZS Libereckého kraje</t>
  </si>
  <si>
    <t>Dotace MPSV (COVID)</t>
  </si>
  <si>
    <t>Dotace MŠMT pro ZŠ I (šablony)</t>
  </si>
  <si>
    <t>Dotace na projekt "Alternativa bez hranic" pro SDJilm</t>
  </si>
  <si>
    <t>Dotace Mze ČR pro městské lesy</t>
  </si>
  <si>
    <t>22,26,27</t>
  </si>
  <si>
    <t xml:space="preserve">Dotace pro MŠ </t>
  </si>
  <si>
    <t>Dotace z MPSV pro Dětské centrum (COVID)</t>
  </si>
  <si>
    <t>Vratka dotací z  min. roku</t>
  </si>
  <si>
    <t>v r. 2021 prominuto</t>
  </si>
  <si>
    <r>
      <t>Tr</t>
    </r>
    <r>
      <rPr>
        <sz val="8"/>
        <rFont val="Calibri"/>
        <family val="2"/>
        <charset val="238"/>
      </rPr>
      <t>ö</t>
    </r>
    <r>
      <rPr>
        <sz val="8"/>
        <rFont val="Arial CE"/>
        <family val="2"/>
        <charset val="238"/>
      </rPr>
      <t>merová</t>
    </r>
  </si>
  <si>
    <t>Dotace MŠMT pro ZŠ II (šablony)</t>
  </si>
  <si>
    <t>Komunikace Hanče a Vrbaty - reko</t>
  </si>
  <si>
    <t>Dotace LK pro požární ochranu</t>
  </si>
  <si>
    <t>Dotace LK na cyklostezku Martinice - Jilemnice</t>
  </si>
  <si>
    <t>Dotace na volby do PS</t>
  </si>
  <si>
    <t>Volby  do PS</t>
  </si>
  <si>
    <t>Dotace LK pro ZŠ I  a MŠ - péče při COVID pandemii</t>
  </si>
  <si>
    <t>303, 301</t>
  </si>
  <si>
    <t xml:space="preserve">Přijatá pojistná náhrada </t>
  </si>
  <si>
    <t>22,25,26</t>
  </si>
  <si>
    <t>Dotace na LHP v ORP</t>
  </si>
  <si>
    <t>Zpracování lesních hospodářských osnov</t>
  </si>
  <si>
    <t>Dotace LK pro MŠ potravinová pomoc</t>
  </si>
  <si>
    <t>Informační systém a mobilní rozhlas</t>
  </si>
  <si>
    <t>Nájemné PO města - DC</t>
  </si>
  <si>
    <t>5213, 5272</t>
  </si>
  <si>
    <t xml:space="preserve"> </t>
  </si>
  <si>
    <t>ukončeno</t>
  </si>
  <si>
    <t>Radarový systém</t>
  </si>
  <si>
    <t>převedeno pod SD Jilm</t>
  </si>
  <si>
    <t>schváleno ZM 3.11.21</t>
  </si>
  <si>
    <t>do roku 2028</t>
  </si>
  <si>
    <t>Příjmy z úroků prodej akcií LK</t>
  </si>
  <si>
    <t>Prodej akcií LK - splátka</t>
  </si>
  <si>
    <t>Knihovna - vybavení</t>
  </si>
  <si>
    <t>Výsuvné zábrany</t>
  </si>
  <si>
    <t>Cykolostezka Martinice - koupaliště</t>
  </si>
  <si>
    <t>Pokuty dopravní - radary</t>
  </si>
  <si>
    <t>Přijaté náhrady - lesní osnovy</t>
  </si>
  <si>
    <t>Trojanová</t>
  </si>
  <si>
    <t>Erlebach</t>
  </si>
  <si>
    <t>Zámecký park - studie, podium</t>
  </si>
  <si>
    <t>Ostatní přijaté vratky transferů - MŠ potr. Pomoc</t>
  </si>
  <si>
    <t>Jerychová</t>
  </si>
  <si>
    <t>Dotace LK - Evropský týden mobility v Jilemnici</t>
  </si>
  <si>
    <t>Dotace LK na památky (výměna krytiny ZŠ Kom)</t>
  </si>
  <si>
    <t>227, 229</t>
  </si>
  <si>
    <t>Šimková, Rejlová-kap.</t>
  </si>
  <si>
    <t>Příjem ze zrušených poplatků, vstupné</t>
  </si>
  <si>
    <t>13,14,33,32</t>
  </si>
  <si>
    <t>222X</t>
  </si>
  <si>
    <t>Propagace-prodej knihy</t>
  </si>
  <si>
    <t>Workoutové hřiště-Hraběnka</t>
  </si>
  <si>
    <t>Provoz, oprava čp. 259 (staré gymnázium)</t>
  </si>
  <si>
    <t>Cyklostezka Jilem-Mart</t>
  </si>
  <si>
    <t>Dotace LK "Zlatá popelnice"</t>
  </si>
  <si>
    <t>Návratná fin.výpomoc "Zvlášť, ale stále spolu" pro SD Jilm</t>
  </si>
  <si>
    <t>MĚSTO JILEMNICE -  Rozpočet 2021 -  Hospodaření 2021 - Rozpočet 2022 - sumář</t>
  </si>
  <si>
    <t>Příjmy z úroků - z poskytn. půjček, dividend</t>
  </si>
  <si>
    <t>akce města u SPOZ, kniha Jilemnice</t>
  </si>
  <si>
    <t>Starý Nouzov</t>
  </si>
  <si>
    <t>projekt 2020-2021, doplatek</t>
  </si>
  <si>
    <t>projekt 2022</t>
  </si>
  <si>
    <t>smlouva do r. 2023</t>
  </si>
  <si>
    <t>žádost o dot.</t>
  </si>
  <si>
    <t>v r. 2022 úroky z úvěru</t>
  </si>
  <si>
    <t>Knihovna součástí SD Jilm</t>
  </si>
  <si>
    <t>45 SKI - úprava tratí</t>
  </si>
  <si>
    <t>zvýšení ceny el. energie</t>
  </si>
  <si>
    <t>dle spl. kalendáře do 2035</t>
  </si>
  <si>
    <t>saldo 1155</t>
  </si>
  <si>
    <t>saldo 240</t>
  </si>
  <si>
    <t>EKO-Jilemnicko od 1.4.22</t>
  </si>
  <si>
    <t>vráceno 2021</t>
  </si>
  <si>
    <t>webovky, výdaje IT, auto, soc.práce</t>
  </si>
  <si>
    <t>část přesun z 2021</t>
  </si>
  <si>
    <t>vratka ret.nádž část neinv.</t>
  </si>
  <si>
    <t>posunuto řešení do 31.12.23</t>
  </si>
  <si>
    <t>Realizované, podané či připravované projektové žádosti města Jilemnice</t>
  </si>
  <si>
    <t>Název projektu</t>
  </si>
  <si>
    <t>Kdo žádá</t>
  </si>
  <si>
    <t xml:space="preserve">Od koho se žádá </t>
  </si>
  <si>
    <t>Stav projednání</t>
  </si>
  <si>
    <t>Podíl ostatní</t>
  </si>
  <si>
    <t>Realizace v letech</t>
  </si>
  <si>
    <t>Vlastní podíl v letech</t>
  </si>
  <si>
    <t>Program</t>
  </si>
  <si>
    <t xml:space="preserve"> do r.2015</t>
  </si>
  <si>
    <t>Infrastruktura pro bytovou výstavbu (Nouzov)</t>
  </si>
  <si>
    <t>I</t>
  </si>
  <si>
    <t>město Jilemnice</t>
  </si>
  <si>
    <t>realizace</t>
  </si>
  <si>
    <t>Šn</t>
  </si>
  <si>
    <t>Infrastruktura pro bytovou výstavbu Buben</t>
  </si>
  <si>
    <t>zatím pozastaveno</t>
  </si>
  <si>
    <t>Chodník ulice Roztocká</t>
  </si>
  <si>
    <t>zadání proj. dokumentace</t>
  </si>
  <si>
    <t>Spořilov- komunikace,kanalizace, vodovod</t>
  </si>
  <si>
    <t>I,N</t>
  </si>
  <si>
    <t>spolupráce s VHS</t>
  </si>
  <si>
    <t xml:space="preserve"> realizace II. etapy</t>
  </si>
  <si>
    <t>2019-2022</t>
  </si>
  <si>
    <t>financování s VHS</t>
  </si>
  <si>
    <t>Projekt EPC</t>
  </si>
  <si>
    <t>realizace, od r. 2018 splácení</t>
  </si>
  <si>
    <t>Šo</t>
  </si>
  <si>
    <t>nákup investice</t>
  </si>
  <si>
    <t>dotace svazku</t>
  </si>
  <si>
    <t>projekt IROP</t>
  </si>
  <si>
    <t>No</t>
  </si>
  <si>
    <t>MMR ČR</t>
  </si>
  <si>
    <t>2019-21</t>
  </si>
  <si>
    <t>SC, s.r.o</t>
  </si>
  <si>
    <t>soutěž na dodavatele</t>
  </si>
  <si>
    <t>2019-</t>
  </si>
  <si>
    <t>Opravy budov škol - střecha čp.101,103</t>
  </si>
  <si>
    <t>N</t>
  </si>
  <si>
    <t>Au</t>
  </si>
  <si>
    <t>Celkem</t>
  </si>
  <si>
    <t>Ukončené, či vyřazené  projekty po roce 2020:</t>
  </si>
  <si>
    <t>výše projektu</t>
  </si>
  <si>
    <t>přijatá dotace</t>
  </si>
  <si>
    <t>vl. podíl</t>
  </si>
  <si>
    <t>Žižkova ulice a kruhový objezd - podíl Jilemnice</t>
  </si>
  <si>
    <t>investor LK, Jil. podíl na VO, chodnících</t>
  </si>
  <si>
    <t>2015-19</t>
  </si>
  <si>
    <t>spolupr. s VHS a LK</t>
  </si>
  <si>
    <t xml:space="preserve">Rekonstrukce čp.64 - rozvoj soc. služeb </t>
  </si>
  <si>
    <t>IROP- výzva MAS</t>
  </si>
  <si>
    <t>2017-19</t>
  </si>
  <si>
    <t>R</t>
  </si>
  <si>
    <t>Rekonst. a výstavba děts.parků a hřišť</t>
  </si>
  <si>
    <t>Financování (vyrovnání rozdílu příjmy - výdaje):</t>
  </si>
  <si>
    <t>Příjmy - výdaje:</t>
  </si>
  <si>
    <t>Výdaje:</t>
  </si>
  <si>
    <t>Sk:</t>
  </si>
  <si>
    <t>Příjmy:</t>
  </si>
  <si>
    <t>Přebytek z roku 2021</t>
  </si>
  <si>
    <t>tis. Kč</t>
  </si>
  <si>
    <t xml:space="preserve">Závazné ukazatele rozpočtu na rok 2022 </t>
  </si>
  <si>
    <t>Informace k 31.1.2022</t>
  </si>
  <si>
    <t xml:space="preserve">Inv / Nein. </t>
  </si>
  <si>
    <t xml:space="preserve"> Předpokl. výše projektu, žádost o dotaci</t>
  </si>
  <si>
    <t>Předpokl.  dotace</t>
  </si>
  <si>
    <t>Předpokl. vlastní podíl</t>
  </si>
  <si>
    <t>2015-2022</t>
  </si>
  <si>
    <t>2017-</t>
  </si>
  <si>
    <t>2018-2026</t>
  </si>
  <si>
    <t>2021-2022</t>
  </si>
  <si>
    <t>Přírodní koupaliště</t>
  </si>
  <si>
    <t>Smuteční síň</t>
  </si>
  <si>
    <t>2021-</t>
  </si>
  <si>
    <t>Propojení areálu Hraběnka a městského koupaliště cyklostezkou a cyklotrasou</t>
  </si>
  <si>
    <t>zpracování dokumentace</t>
  </si>
  <si>
    <t>2020-2022</t>
  </si>
  <si>
    <t>projekt MMR</t>
  </si>
  <si>
    <t>příprava soutěže, žádost o dotaci</t>
  </si>
  <si>
    <t>2019-2023</t>
  </si>
  <si>
    <t>rozp. 2021</t>
  </si>
  <si>
    <t>:)</t>
  </si>
  <si>
    <t>Komunikace Hanče a Vrbaty - rekonstrukce, veř. osvětlení</t>
  </si>
  <si>
    <t>úrok dle spl. kalend. do r. 2026</t>
  </si>
  <si>
    <t>inv.přísp. Jilemnicko - sv.obcí</t>
  </si>
  <si>
    <t>projekt OPŽP</t>
  </si>
  <si>
    <t>2020-2021</t>
  </si>
  <si>
    <t>2019-2020</t>
  </si>
  <si>
    <t>realizováno</t>
  </si>
  <si>
    <t>dotace dořešena 2022</t>
  </si>
  <si>
    <t>úvěr 4mil Kč splacen 2022</t>
  </si>
  <si>
    <t>MĚSTO JILEMNICE -  Rozpočet 2021 -  Hospodaření 2021 - Rozpočet 2022 - příjmy</t>
  </si>
  <si>
    <t>MĚSTO JILEMNICE -   Rozpočet 2021 -  Hospodaření 2021  - Rozpočet 2022 - výdaje</t>
  </si>
  <si>
    <t>Určeno k vyvěšení a projednání v ZM dne 2. 3. 2022</t>
  </si>
  <si>
    <t xml:space="preserve">Návrh rozpočtu na rok 2022 projednán a doporučen RM dne 16. 2. 2022 </t>
  </si>
  <si>
    <t>Návrh rozpočtu na rok 2022 projednán a doporučen FV dne 14. 2. 2022</t>
  </si>
  <si>
    <t>Návrh rozpočtu na rok  2022 projednán a doporučen ve vedení města 3. 2. 2022</t>
  </si>
  <si>
    <t>Ing. Miroslava Kynčlová</t>
  </si>
  <si>
    <t>vedoucí finančního odboru</t>
  </si>
  <si>
    <t>Ing. Hana Trojanová</t>
  </si>
  <si>
    <t>V elektronické podobě vyvěšeno od 15. 2. 2022</t>
  </si>
  <si>
    <t>V Jilemnici 15. 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</si>
</sst>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#,##0.0"/>
    <numFmt numFmtId="165" formatCode="0.0"/>
    <numFmt numFmtId="166" formatCode="#,##0.000000"/>
    <numFmt numFmtId="167" formatCode="#,##0.00000"/>
    <numFmt numFmtId="168" formatCode="#,##0.000"/>
    <numFmt numFmtId="169" formatCode="#,##0_ ;[Red]\-#,##0\ "/>
    <numFmt numFmtId="170" formatCode="d/m/yy;@"/>
    <numFmt numFmtId="171" formatCode="#,##0.0000"/>
    <numFmt numFmtId="172" formatCode="#,##0.0_ ;[Red]\-#,##0.0\ "/>
    <numFmt numFmtId="173" formatCode="#,##0.00_ ;[Red]\-#,##0.00\ "/>
    <numFmt numFmtId="174" formatCode="#,##0.00000000"/>
    <numFmt numFmtId="175" formatCode="0.000"/>
    <numFmt numFmtId="176" formatCode="0.00000"/>
  </numFmts>
  <fonts count="44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2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8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sz val="10"/>
      <color indexed="81"/>
      <name val="Tahoma"/>
      <family val="2"/>
      <charset val="238"/>
    </font>
    <font>
      <b/>
      <sz val="8"/>
      <color indexed="8"/>
      <name val="Arial CE"/>
      <charset val="238"/>
    </font>
    <font>
      <sz val="8"/>
      <color indexed="8"/>
      <name val="Arial CE"/>
      <charset val="238"/>
    </font>
    <font>
      <sz val="8"/>
      <name val="Times New Roman"/>
      <family val="1"/>
      <charset val="238"/>
    </font>
    <font>
      <sz val="8"/>
      <color indexed="10"/>
      <name val="Arial CE"/>
      <family val="2"/>
      <charset val="238"/>
    </font>
    <font>
      <b/>
      <sz val="8"/>
      <color indexed="10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"/>
      <name val="Arial CE"/>
      <charset val="238"/>
    </font>
    <font>
      <sz val="10"/>
      <name val="Arial"/>
      <family val="2"/>
      <charset val="238"/>
    </font>
    <font>
      <sz val="7"/>
      <color indexed="8"/>
      <name val="Arial CE"/>
      <family val="2"/>
      <charset val="238"/>
    </font>
    <font>
      <sz val="9"/>
      <name val="Arial CE"/>
      <family val="2"/>
      <charset val="238"/>
    </font>
    <font>
      <sz val="8"/>
      <name val="Calibri"/>
      <family val="2"/>
      <charset val="238"/>
    </font>
    <font>
      <sz val="8"/>
      <name val="Arial"/>
      <family val="2"/>
      <charset val="238"/>
    </font>
    <font>
      <sz val="7"/>
      <name val="Arial CE"/>
      <charset val="238"/>
    </font>
    <font>
      <i/>
      <sz val="8"/>
      <name val="Arial CE"/>
      <charset val="238"/>
    </font>
    <font>
      <i/>
      <sz val="8"/>
      <color indexed="8"/>
      <name val="Arial CE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7"/>
      <name val="Arial CE"/>
      <charset val="238"/>
    </font>
    <font>
      <b/>
      <sz val="7"/>
      <name val="Arial CE"/>
      <family val="2"/>
      <charset val="238"/>
    </font>
    <font>
      <sz val="14"/>
      <color theme="0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6" fillId="0" borderId="0"/>
    <xf numFmtId="9" fontId="1" fillId="0" borderId="0" applyFont="0" applyFill="0" applyBorder="0" applyAlignment="0" applyProtection="0"/>
  </cellStyleXfs>
  <cellXfs count="67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164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1" fontId="3" fillId="0" borderId="5" xfId="0" applyNumberFormat="1" applyFont="1" applyBorder="1" applyAlignment="1">
      <alignment horizontal="center"/>
    </xf>
    <xf numFmtId="0" fontId="4" fillId="0" borderId="6" xfId="0" applyFont="1" applyBorder="1"/>
    <xf numFmtId="3" fontId="5" fillId="0" borderId="7" xfId="0" applyNumberFormat="1" applyFont="1" applyBorder="1"/>
    <xf numFmtId="165" fontId="5" fillId="0" borderId="8" xfId="0" applyNumberFormat="1" applyFont="1" applyBorder="1" applyAlignment="1">
      <alignment horizontal="center"/>
    </xf>
    <xf numFmtId="0" fontId="3" fillId="0" borderId="9" xfId="0" applyFont="1" applyBorder="1"/>
    <xf numFmtId="3" fontId="4" fillId="0" borderId="7" xfId="0" applyNumberFormat="1" applyFont="1" applyBorder="1"/>
    <xf numFmtId="165" fontId="4" fillId="0" borderId="8" xfId="0" applyNumberFormat="1" applyFont="1" applyBorder="1" applyAlignment="1">
      <alignment horizontal="center"/>
    </xf>
    <xf numFmtId="0" fontId="3" fillId="0" borderId="0" xfId="0" applyFont="1" applyBorder="1"/>
    <xf numFmtId="3" fontId="5" fillId="0" borderId="10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4" fillId="0" borderId="10" xfId="0" applyNumberFormat="1" applyFont="1" applyFill="1" applyBorder="1" applyAlignment="1" applyProtection="1"/>
    <xf numFmtId="165" fontId="4" fillId="0" borderId="6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0" fontId="3" fillId="0" borderId="11" xfId="0" applyFont="1" applyBorder="1"/>
    <xf numFmtId="0" fontId="5" fillId="0" borderId="0" xfId="0" applyNumberFormat="1" applyFont="1" applyFill="1" applyBorder="1" applyAlignment="1" applyProtection="1"/>
    <xf numFmtId="0" fontId="4" fillId="0" borderId="12" xfId="0" applyNumberFormat="1" applyFont="1" applyFill="1" applyBorder="1" applyAlignment="1" applyProtection="1"/>
    <xf numFmtId="164" fontId="4" fillId="0" borderId="12" xfId="0" applyNumberFormat="1" applyFont="1" applyFill="1" applyBorder="1" applyAlignment="1" applyProtection="1">
      <alignment horizontal="right"/>
    </xf>
    <xf numFmtId="0" fontId="4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/>
    <xf numFmtId="164" fontId="9" fillId="2" borderId="10" xfId="0" applyNumberFormat="1" applyFont="1" applyFill="1" applyBorder="1" applyAlignment="1" applyProtection="1">
      <alignment horizontal="right"/>
    </xf>
    <xf numFmtId="164" fontId="9" fillId="0" borderId="10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/>
    <xf numFmtId="164" fontId="10" fillId="0" borderId="10" xfId="0" applyNumberFormat="1" applyFont="1" applyFill="1" applyBorder="1" applyAlignment="1" applyProtection="1">
      <alignment horizontal="right"/>
    </xf>
    <xf numFmtId="0" fontId="5" fillId="0" borderId="13" xfId="0" applyNumberFormat="1" applyFont="1" applyFill="1" applyBorder="1" applyAlignment="1" applyProtection="1"/>
    <xf numFmtId="164" fontId="9" fillId="0" borderId="14" xfId="0" applyNumberFormat="1" applyFont="1" applyFill="1" applyBorder="1" applyAlignment="1" applyProtection="1">
      <alignment horizontal="right"/>
    </xf>
    <xf numFmtId="164" fontId="10" fillId="2" borderId="10" xfId="0" applyNumberFormat="1" applyFont="1" applyFill="1" applyBorder="1" applyAlignment="1" applyProtection="1">
      <alignment horizontal="right"/>
    </xf>
    <xf numFmtId="164" fontId="10" fillId="0" borderId="15" xfId="0" applyNumberFormat="1" applyFont="1" applyFill="1" applyBorder="1" applyAlignment="1" applyProtection="1">
      <alignment horizontal="right"/>
    </xf>
    <xf numFmtId="0" fontId="11" fillId="3" borderId="16" xfId="0" applyNumberFormat="1" applyFont="1" applyFill="1" applyBorder="1" applyAlignment="1" applyProtection="1"/>
    <xf numFmtId="0" fontId="12" fillId="3" borderId="11" xfId="0" applyNumberFormat="1" applyFont="1" applyFill="1" applyBorder="1" applyAlignment="1" applyProtection="1"/>
    <xf numFmtId="0" fontId="12" fillId="3" borderId="13" xfId="0" applyNumberFormat="1" applyFont="1" applyFill="1" applyBorder="1" applyAlignment="1" applyProtection="1"/>
    <xf numFmtId="164" fontId="12" fillId="3" borderId="1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7" xfId="0" applyNumberFormat="1" applyFont="1" applyFill="1" applyBorder="1" applyAlignment="1" applyProtection="1"/>
    <xf numFmtId="3" fontId="5" fillId="0" borderId="9" xfId="0" applyNumberFormat="1" applyFont="1" applyFill="1" applyBorder="1" applyAlignment="1" applyProtection="1"/>
    <xf numFmtId="164" fontId="13" fillId="0" borderId="18" xfId="0" applyNumberFormat="1" applyFont="1" applyFill="1" applyBorder="1" applyAlignment="1" applyProtection="1">
      <alignment horizontal="right"/>
    </xf>
    <xf numFmtId="0" fontId="4" fillId="0" borderId="19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3" fontId="4" fillId="0" borderId="6" xfId="0" applyNumberFormat="1" applyFont="1" applyFill="1" applyBorder="1" applyAlignment="1" applyProtection="1">
      <alignment horizontal="center"/>
    </xf>
    <xf numFmtId="3" fontId="4" fillId="0" borderId="1" xfId="0" applyNumberFormat="1" applyFont="1" applyFill="1" applyBorder="1" applyAlignment="1" applyProtection="1"/>
    <xf numFmtId="3" fontId="4" fillId="0" borderId="2" xfId="0" applyNumberFormat="1" applyFont="1" applyFill="1" applyBorder="1" applyAlignment="1" applyProtection="1"/>
    <xf numFmtId="3" fontId="4" fillId="0" borderId="9" xfId="0" applyNumberFormat="1" applyFont="1" applyFill="1" applyBorder="1" applyAlignment="1" applyProtection="1"/>
    <xf numFmtId="3" fontId="4" fillId="0" borderId="8" xfId="0" applyNumberFormat="1" applyFont="1" applyFill="1" applyBorder="1" applyAlignment="1" applyProtection="1"/>
    <xf numFmtId="3" fontId="5" fillId="0" borderId="8" xfId="0" applyNumberFormat="1" applyFont="1" applyFill="1" applyBorder="1" applyAlignment="1" applyProtection="1"/>
    <xf numFmtId="3" fontId="4" fillId="0" borderId="20" xfId="0" applyNumberFormat="1" applyFont="1" applyFill="1" applyBorder="1" applyAlignment="1" applyProtection="1"/>
    <xf numFmtId="3" fontId="4" fillId="0" borderId="12" xfId="0" applyNumberFormat="1" applyFont="1" applyFill="1" applyBorder="1" applyAlignment="1" applyProtection="1"/>
    <xf numFmtId="3" fontId="4" fillId="0" borderId="21" xfId="0" applyNumberFormat="1" applyFont="1" applyFill="1" applyBorder="1" applyAlignment="1" applyProtection="1"/>
    <xf numFmtId="3" fontId="5" fillId="0" borderId="2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/>
    <xf numFmtId="3" fontId="5" fillId="0" borderId="23" xfId="0" applyNumberFormat="1" applyFont="1" applyFill="1" applyBorder="1" applyAlignment="1" applyProtection="1"/>
    <xf numFmtId="3" fontId="5" fillId="0" borderId="13" xfId="0" applyNumberFormat="1" applyFont="1" applyFill="1" applyBorder="1" applyAlignment="1" applyProtection="1"/>
    <xf numFmtId="0" fontId="5" fillId="0" borderId="22" xfId="0" applyNumberFormat="1" applyFont="1" applyFill="1" applyBorder="1" applyAlignment="1" applyProtection="1"/>
    <xf numFmtId="3" fontId="5" fillId="0" borderId="0" xfId="0" applyNumberFormat="1" applyFont="1"/>
    <xf numFmtId="0" fontId="4" fillId="0" borderId="2" xfId="0" applyNumberFormat="1" applyFont="1" applyFill="1" applyBorder="1" applyAlignment="1" applyProtection="1"/>
    <xf numFmtId="3" fontId="10" fillId="0" borderId="10" xfId="0" applyNumberFormat="1" applyFont="1" applyFill="1" applyBorder="1" applyAlignment="1" applyProtection="1">
      <alignment horizontal="right"/>
    </xf>
    <xf numFmtId="3" fontId="9" fillId="0" borderId="10" xfId="0" applyNumberFormat="1" applyFont="1" applyFill="1" applyBorder="1" applyAlignment="1" applyProtection="1">
      <alignment horizontal="right"/>
    </xf>
    <xf numFmtId="3" fontId="9" fillId="0" borderId="14" xfId="0" applyNumberFormat="1" applyFont="1" applyFill="1" applyBorder="1" applyAlignment="1" applyProtection="1">
      <alignment horizontal="right"/>
    </xf>
    <xf numFmtId="3" fontId="10" fillId="2" borderId="10" xfId="0" applyNumberFormat="1" applyFont="1" applyFill="1" applyBorder="1" applyAlignment="1" applyProtection="1">
      <alignment horizontal="right"/>
    </xf>
    <xf numFmtId="0" fontId="3" fillId="0" borderId="8" xfId="0" applyFont="1" applyBorder="1"/>
    <xf numFmtId="0" fontId="16" fillId="0" borderId="8" xfId="0" applyFont="1" applyBorder="1"/>
    <xf numFmtId="0" fontId="5" fillId="0" borderId="11" xfId="0" applyFont="1" applyBorder="1"/>
    <xf numFmtId="3" fontId="9" fillId="2" borderId="10" xfId="0" applyNumberFormat="1" applyFont="1" applyFill="1" applyBorder="1" applyAlignment="1" applyProtection="1">
      <alignment horizontal="right"/>
    </xf>
    <xf numFmtId="0" fontId="4" fillId="2" borderId="10" xfId="0" applyNumberFormat="1" applyFont="1" applyFill="1" applyBorder="1" applyAlignment="1" applyProtection="1"/>
    <xf numFmtId="0" fontId="5" fillId="2" borderId="10" xfId="0" applyNumberFormat="1" applyFont="1" applyFill="1" applyBorder="1" applyAlignment="1" applyProtection="1"/>
    <xf numFmtId="0" fontId="3" fillId="0" borderId="25" xfId="0" applyFont="1" applyBorder="1"/>
    <xf numFmtId="0" fontId="3" fillId="0" borderId="26" xfId="0" applyFont="1" applyBorder="1"/>
    <xf numFmtId="3" fontId="5" fillId="0" borderId="26" xfId="0" applyNumberFormat="1" applyFont="1" applyBorder="1"/>
    <xf numFmtId="0" fontId="3" fillId="0" borderId="6" xfId="0" applyFont="1" applyBorder="1"/>
    <xf numFmtId="9" fontId="5" fillId="0" borderId="8" xfId="0" applyNumberFormat="1" applyFont="1" applyBorder="1"/>
    <xf numFmtId="9" fontId="4" fillId="0" borderId="8" xfId="0" applyNumberFormat="1" applyFont="1" applyBorder="1"/>
    <xf numFmtId="0" fontId="5" fillId="0" borderId="8" xfId="0" applyFont="1" applyBorder="1"/>
    <xf numFmtId="0" fontId="4" fillId="0" borderId="8" xfId="0" applyFont="1" applyBorder="1"/>
    <xf numFmtId="3" fontId="4" fillId="0" borderId="8" xfId="0" applyNumberFormat="1" applyFont="1" applyBorder="1"/>
    <xf numFmtId="0" fontId="5" fillId="0" borderId="6" xfId="0" applyFont="1" applyBorder="1"/>
    <xf numFmtId="0" fontId="4" fillId="0" borderId="8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/>
    <xf numFmtId="0" fontId="5" fillId="0" borderId="27" xfId="0" applyFont="1" applyBorder="1"/>
    <xf numFmtId="3" fontId="4" fillId="0" borderId="10" xfId="0" applyNumberFormat="1" applyFont="1" applyFill="1" applyBorder="1"/>
    <xf numFmtId="3" fontId="16" fillId="0" borderId="10" xfId="0" applyNumberFormat="1" applyFont="1" applyFill="1" applyBorder="1"/>
    <xf numFmtId="3" fontId="3" fillId="0" borderId="10" xfId="0" applyNumberFormat="1" applyFont="1" applyFill="1" applyBorder="1"/>
    <xf numFmtId="0" fontId="16" fillId="0" borderId="0" xfId="0" applyFont="1"/>
    <xf numFmtId="0" fontId="3" fillId="0" borderId="10" xfId="0" applyNumberFormat="1" applyFont="1" applyFill="1" applyBorder="1" applyAlignment="1" applyProtection="1"/>
    <xf numFmtId="0" fontId="16" fillId="0" borderId="10" xfId="0" applyFont="1" applyBorder="1"/>
    <xf numFmtId="0" fontId="5" fillId="0" borderId="0" xfId="0" applyFont="1" applyFill="1"/>
    <xf numFmtId="0" fontId="4" fillId="0" borderId="19" xfId="0" applyNumberFormat="1" applyFont="1" applyFill="1" applyBorder="1" applyAlignment="1" applyProtection="1"/>
    <xf numFmtId="0" fontId="5" fillId="0" borderId="28" xfId="0" applyNumberFormat="1" applyFont="1" applyFill="1" applyBorder="1" applyAlignment="1" applyProtection="1"/>
    <xf numFmtId="0" fontId="4" fillId="0" borderId="29" xfId="0" applyNumberFormat="1" applyFont="1" applyFill="1" applyBorder="1" applyAlignment="1" applyProtection="1"/>
    <xf numFmtId="0" fontId="16" fillId="0" borderId="9" xfId="0" applyFont="1" applyBorder="1"/>
    <xf numFmtId="164" fontId="16" fillId="0" borderId="0" xfId="0" applyNumberFormat="1" applyFont="1"/>
    <xf numFmtId="0" fontId="4" fillId="2" borderId="10" xfId="0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/>
    <xf numFmtId="164" fontId="16" fillId="0" borderId="0" xfId="0" applyNumberFormat="1" applyFont="1" applyFill="1" applyBorder="1" applyAlignment="1" applyProtection="1">
      <alignment horizontal="right"/>
    </xf>
    <xf numFmtId="0" fontId="16" fillId="0" borderId="10" xfId="0" applyNumberFormat="1" applyFont="1" applyFill="1" applyBorder="1" applyAlignment="1" applyProtection="1"/>
    <xf numFmtId="0" fontId="3" fillId="2" borderId="10" xfId="0" applyNumberFormat="1" applyFont="1" applyFill="1" applyBorder="1" applyAlignment="1" applyProtection="1"/>
    <xf numFmtId="0" fontId="5" fillId="0" borderId="10" xfId="0" applyNumberFormat="1" applyFont="1" applyFill="1" applyBorder="1" applyAlignment="1" applyProtection="1">
      <alignment horizontal="right"/>
    </xf>
    <xf numFmtId="3" fontId="16" fillId="0" borderId="0" xfId="0" applyNumberFormat="1" applyFont="1"/>
    <xf numFmtId="0" fontId="5" fillId="0" borderId="10" xfId="0" applyNumberFormat="1" applyFont="1" applyFill="1" applyBorder="1" applyAlignment="1" applyProtection="1">
      <alignment horizontal="left"/>
    </xf>
    <xf numFmtId="0" fontId="2" fillId="0" borderId="14" xfId="0" applyNumberFormat="1" applyFont="1" applyFill="1" applyBorder="1" applyAlignment="1" applyProtection="1"/>
    <xf numFmtId="0" fontId="4" fillId="0" borderId="14" xfId="0" applyNumberFormat="1" applyFont="1" applyFill="1" applyBorder="1" applyAlignment="1" applyProtection="1"/>
    <xf numFmtId="0" fontId="16" fillId="0" borderId="0" xfId="0" applyFont="1" applyFill="1"/>
    <xf numFmtId="0" fontId="5" fillId="0" borderId="14" xfId="0" applyNumberFormat="1" applyFont="1" applyFill="1" applyBorder="1" applyAlignment="1" applyProtection="1"/>
    <xf numFmtId="0" fontId="16" fillId="0" borderId="14" xfId="0" applyNumberFormat="1" applyFont="1" applyFill="1" applyBorder="1" applyAlignment="1" applyProtection="1"/>
    <xf numFmtId="0" fontId="16" fillId="2" borderId="10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right"/>
    </xf>
    <xf numFmtId="3" fontId="9" fillId="3" borderId="13" xfId="0" applyNumberFormat="1" applyFont="1" applyFill="1" applyBorder="1" applyAlignment="1" applyProtection="1">
      <alignment horizontal="right"/>
    </xf>
    <xf numFmtId="0" fontId="16" fillId="0" borderId="4" xfId="0" applyFont="1" applyBorder="1"/>
    <xf numFmtId="0" fontId="16" fillId="0" borderId="0" xfId="0" applyFont="1" applyBorder="1"/>
    <xf numFmtId="0" fontId="16" fillId="0" borderId="30" xfId="0" applyFont="1" applyBorder="1"/>
    <xf numFmtId="0" fontId="16" fillId="0" borderId="11" xfId="0" applyFont="1" applyBorder="1"/>
    <xf numFmtId="0" fontId="16" fillId="0" borderId="8" xfId="0" applyFont="1" applyFill="1" applyBorder="1"/>
    <xf numFmtId="0" fontId="16" fillId="0" borderId="31" xfId="0" applyFont="1" applyBorder="1"/>
    <xf numFmtId="0" fontId="4" fillId="0" borderId="32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/>
    <xf numFmtId="0" fontId="4" fillId="0" borderId="20" xfId="0" applyNumberFormat="1" applyFont="1" applyFill="1" applyBorder="1" applyAlignment="1" applyProtection="1"/>
    <xf numFmtId="0" fontId="16" fillId="0" borderId="22" xfId="0" applyNumberFormat="1" applyFont="1" applyFill="1" applyBorder="1" applyAlignment="1" applyProtection="1"/>
    <xf numFmtId="0" fontId="5" fillId="0" borderId="33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168" fontId="4" fillId="0" borderId="5" xfId="0" applyNumberFormat="1" applyFont="1" applyFill="1" applyBorder="1" applyAlignment="1" applyProtection="1">
      <alignment horizontal="center"/>
    </xf>
    <xf numFmtId="168" fontId="16" fillId="0" borderId="0" xfId="0" applyNumberFormat="1" applyFont="1" applyFill="1" applyBorder="1" applyAlignment="1" applyProtection="1">
      <alignment horizontal="right"/>
    </xf>
    <xf numFmtId="168" fontId="4" fillId="0" borderId="12" xfId="0" applyNumberFormat="1" applyFont="1" applyFill="1" applyBorder="1" applyAlignment="1" applyProtection="1">
      <alignment horizontal="center"/>
    </xf>
    <xf numFmtId="168" fontId="9" fillId="2" borderId="10" xfId="0" applyNumberFormat="1" applyFont="1" applyFill="1" applyBorder="1" applyAlignment="1" applyProtection="1">
      <alignment horizontal="right"/>
    </xf>
    <xf numFmtId="168" fontId="16" fillId="0" borderId="0" xfId="0" applyNumberFormat="1" applyFont="1" applyFill="1"/>
    <xf numFmtId="3" fontId="16" fillId="0" borderId="0" xfId="0" applyNumberFormat="1" applyFont="1" applyFill="1"/>
    <xf numFmtId="3" fontId="10" fillId="0" borderId="15" xfId="0" applyNumberFormat="1" applyFont="1" applyFill="1" applyBorder="1" applyAlignment="1" applyProtection="1">
      <alignment horizontal="right"/>
    </xf>
    <xf numFmtId="3" fontId="5" fillId="0" borderId="15" xfId="0" applyNumberFormat="1" applyFont="1" applyFill="1" applyBorder="1" applyAlignment="1" applyProtection="1">
      <alignment horizontal="right"/>
    </xf>
    <xf numFmtId="3" fontId="16" fillId="0" borderId="0" xfId="0" applyNumberFormat="1" applyFont="1" applyFill="1" applyBorder="1" applyAlignment="1" applyProtection="1">
      <alignment horizontal="right"/>
    </xf>
    <xf numFmtId="3" fontId="4" fillId="0" borderId="35" xfId="0" applyNumberFormat="1" applyFont="1" applyFill="1" applyBorder="1" applyAlignment="1" applyProtection="1">
      <alignment horizontal="right"/>
    </xf>
    <xf numFmtId="3" fontId="5" fillId="0" borderId="7" xfId="0" applyNumberFormat="1" applyFont="1" applyFill="1" applyBorder="1"/>
    <xf numFmtId="3" fontId="5" fillId="0" borderId="10" xfId="0" applyNumberFormat="1" applyFont="1" applyFill="1" applyBorder="1"/>
    <xf numFmtId="0" fontId="3" fillId="0" borderId="2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3" xfId="0" applyFont="1" applyBorder="1"/>
    <xf numFmtId="9" fontId="5" fillId="0" borderId="8" xfId="2" applyFont="1" applyBorder="1"/>
    <xf numFmtId="9" fontId="4" fillId="0" borderId="8" xfId="2" applyFont="1" applyBorder="1"/>
    <xf numFmtId="0" fontId="16" fillId="0" borderId="6" xfId="0" applyFont="1" applyBorder="1"/>
    <xf numFmtId="0" fontId="3" fillId="0" borderId="2" xfId="0" applyFont="1" applyFill="1" applyBorder="1"/>
    <xf numFmtId="0" fontId="2" fillId="0" borderId="0" xfId="0" applyFont="1" applyFill="1"/>
    <xf numFmtId="0" fontId="4" fillId="0" borderId="37" xfId="0" applyNumberFormat="1" applyFont="1" applyFill="1" applyBorder="1" applyAlignment="1" applyProtection="1">
      <alignment horizontal="center"/>
    </xf>
    <xf numFmtId="3" fontId="4" fillId="0" borderId="12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/>
    <xf numFmtId="3" fontId="5" fillId="0" borderId="5" xfId="0" applyNumberFormat="1" applyFont="1" applyFill="1" applyBorder="1"/>
    <xf numFmtId="3" fontId="4" fillId="0" borderId="15" xfId="0" applyNumberFormat="1" applyFont="1" applyFill="1" applyBorder="1" applyAlignment="1" applyProtection="1">
      <alignment horizontal="right"/>
    </xf>
    <xf numFmtId="3" fontId="4" fillId="0" borderId="33" xfId="0" applyNumberFormat="1" applyFont="1" applyFill="1" applyBorder="1" applyAlignment="1" applyProtection="1"/>
    <xf numFmtId="3" fontId="5" fillId="3" borderId="8" xfId="0" applyNumberFormat="1" applyFont="1" applyFill="1" applyBorder="1" applyAlignment="1" applyProtection="1"/>
    <xf numFmtId="0" fontId="16" fillId="3" borderId="0" xfId="0" applyFont="1" applyFill="1"/>
    <xf numFmtId="3" fontId="2" fillId="0" borderId="0" xfId="0" applyNumberFormat="1" applyFont="1"/>
    <xf numFmtId="3" fontId="2" fillId="0" borderId="0" xfId="0" applyNumberFormat="1" applyFont="1" applyFill="1"/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18" fillId="0" borderId="10" xfId="0" applyNumberFormat="1" applyFont="1" applyFill="1" applyBorder="1" applyAlignment="1" applyProtection="1">
      <alignment horizontal="right"/>
    </xf>
    <xf numFmtId="0" fontId="5" fillId="0" borderId="39" xfId="0" applyNumberFormat="1" applyFont="1" applyFill="1" applyBorder="1" applyAlignment="1" applyProtection="1"/>
    <xf numFmtId="164" fontId="9" fillId="0" borderId="15" xfId="0" applyNumberFormat="1" applyFont="1" applyFill="1" applyBorder="1" applyAlignment="1" applyProtection="1">
      <alignment horizontal="right"/>
    </xf>
    <xf numFmtId="0" fontId="3" fillId="0" borderId="38" xfId="0" applyFont="1" applyBorder="1"/>
    <xf numFmtId="0" fontId="3" fillId="0" borderId="40" xfId="0" applyFont="1" applyBorder="1"/>
    <xf numFmtId="0" fontId="16" fillId="0" borderId="41" xfId="0" applyFont="1" applyBorder="1"/>
    <xf numFmtId="0" fontId="3" fillId="0" borderId="41" xfId="0" applyFont="1" applyBorder="1"/>
    <xf numFmtId="0" fontId="3" fillId="0" borderId="41" xfId="0" applyFont="1" applyBorder="1" applyAlignment="1">
      <alignment horizontal="right"/>
    </xf>
    <xf numFmtId="49" fontId="16" fillId="0" borderId="41" xfId="0" applyNumberFormat="1" applyFont="1" applyBorder="1" applyAlignment="1">
      <alignment horizontal="right"/>
    </xf>
    <xf numFmtId="0" fontId="16" fillId="0" borderId="40" xfId="0" applyFont="1" applyBorder="1"/>
    <xf numFmtId="0" fontId="4" fillId="0" borderId="2" xfId="0" applyFont="1" applyBorder="1" applyAlignment="1">
      <alignment horizontal="left"/>
    </xf>
    <xf numFmtId="0" fontId="5" fillId="0" borderId="0" xfId="0" applyFont="1" applyFill="1" applyAlignment="1"/>
    <xf numFmtId="4" fontId="5" fillId="0" borderId="0" xfId="0" applyNumberFormat="1" applyFont="1" applyFill="1" applyAlignment="1"/>
    <xf numFmtId="168" fontId="5" fillId="0" borderId="7" xfId="0" applyNumberFormat="1" applyFont="1" applyBorder="1"/>
    <xf numFmtId="168" fontId="4" fillId="0" borderId="7" xfId="0" applyNumberFormat="1" applyFont="1" applyFill="1" applyBorder="1" applyAlignment="1" applyProtection="1"/>
    <xf numFmtId="49" fontId="16" fillId="0" borderId="1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right"/>
    </xf>
    <xf numFmtId="164" fontId="16" fillId="0" borderId="10" xfId="0" applyNumberFormat="1" applyFont="1" applyBorder="1" applyAlignment="1">
      <alignment horizontal="right"/>
    </xf>
    <xf numFmtId="164" fontId="5" fillId="0" borderId="10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>
      <alignment horizontal="right"/>
    </xf>
    <xf numFmtId="0" fontId="4" fillId="2" borderId="10" xfId="0" applyNumberFormat="1" applyFont="1" applyFill="1" applyBorder="1" applyAlignment="1" applyProtection="1">
      <alignment horizontal="right"/>
    </xf>
    <xf numFmtId="166" fontId="5" fillId="0" borderId="10" xfId="0" applyNumberFormat="1" applyFont="1" applyFill="1" applyBorder="1" applyAlignment="1" applyProtection="1">
      <alignment horizontal="right"/>
    </xf>
    <xf numFmtId="167" fontId="5" fillId="0" borderId="14" xfId="0" applyNumberFormat="1" applyFont="1" applyFill="1" applyBorder="1" applyAlignment="1" applyProtection="1">
      <alignment horizontal="right"/>
    </xf>
    <xf numFmtId="0" fontId="5" fillId="2" borderId="10" xfId="0" applyNumberFormat="1" applyFont="1" applyFill="1" applyBorder="1" applyAlignment="1" applyProtection="1">
      <alignment horizontal="right"/>
    </xf>
    <xf numFmtId="3" fontId="4" fillId="0" borderId="10" xfId="0" applyNumberFormat="1" applyFont="1" applyFill="1" applyBorder="1" applyAlignment="1" applyProtection="1">
      <alignment horizontal="right"/>
    </xf>
    <xf numFmtId="4" fontId="10" fillId="3" borderId="24" xfId="0" applyNumberFormat="1" applyFont="1" applyFill="1" applyBorder="1" applyAlignment="1" applyProtection="1">
      <alignment horizontal="right"/>
    </xf>
    <xf numFmtId="0" fontId="16" fillId="0" borderId="35" xfId="0" applyFont="1" applyBorder="1" applyAlignment="1">
      <alignment horizontal="right"/>
    </xf>
    <xf numFmtId="0" fontId="16" fillId="0" borderId="15" xfId="0" applyFont="1" applyBorder="1" applyAlignment="1">
      <alignment horizontal="right"/>
    </xf>
    <xf numFmtId="167" fontId="16" fillId="0" borderId="15" xfId="0" applyNumberFormat="1" applyFont="1" applyBorder="1" applyAlignment="1">
      <alignment horizontal="right"/>
    </xf>
    <xf numFmtId="4" fontId="16" fillId="0" borderId="15" xfId="0" applyNumberFormat="1" applyFont="1" applyBorder="1" applyAlignment="1">
      <alignment horizontal="right"/>
    </xf>
    <xf numFmtId="0" fontId="16" fillId="0" borderId="18" xfId="0" applyFont="1" applyBorder="1" applyAlignment="1">
      <alignment horizontal="right"/>
    </xf>
    <xf numFmtId="0" fontId="16" fillId="0" borderId="0" xfId="0" applyFont="1" applyAlignment="1">
      <alignment horizontal="right"/>
    </xf>
    <xf numFmtId="49" fontId="5" fillId="0" borderId="10" xfId="0" applyNumberFormat="1" applyFont="1" applyFill="1" applyBorder="1" applyAlignment="1" applyProtection="1"/>
    <xf numFmtId="0" fontId="21" fillId="0" borderId="0" xfId="0" applyFont="1"/>
    <xf numFmtId="0" fontId="16" fillId="0" borderId="42" xfId="0" applyFont="1" applyBorder="1"/>
    <xf numFmtId="0" fontId="5" fillId="0" borderId="42" xfId="0" applyFont="1" applyBorder="1"/>
    <xf numFmtId="0" fontId="21" fillId="0" borderId="36" xfId="0" applyFont="1" applyBorder="1"/>
    <xf numFmtId="0" fontId="3" fillId="0" borderId="43" xfId="0" applyFont="1" applyBorder="1"/>
    <xf numFmtId="0" fontId="22" fillId="0" borderId="36" xfId="0" applyFont="1" applyBorder="1"/>
    <xf numFmtId="0" fontId="4" fillId="0" borderId="36" xfId="0" applyFont="1" applyBorder="1"/>
    <xf numFmtId="0" fontId="5" fillId="0" borderId="0" xfId="0" applyFont="1" applyBorder="1"/>
    <xf numFmtId="0" fontId="16" fillId="0" borderId="3" xfId="0" applyFont="1" applyBorder="1" applyAlignment="1">
      <alignment horizontal="center"/>
    </xf>
    <xf numFmtId="0" fontId="5" fillId="0" borderId="30" xfId="0" applyFont="1" applyBorder="1"/>
    <xf numFmtId="0" fontId="5" fillId="0" borderId="6" xfId="0" applyFont="1" applyFill="1" applyBorder="1" applyAlignment="1">
      <alignment horizontal="center"/>
    </xf>
    <xf numFmtId="3" fontId="16" fillId="0" borderId="8" xfId="0" applyNumberFormat="1" applyFont="1" applyFill="1" applyBorder="1"/>
    <xf numFmtId="0" fontId="4" fillId="0" borderId="11" xfId="0" applyFont="1" applyBorder="1"/>
    <xf numFmtId="3" fontId="3" fillId="0" borderId="23" xfId="0" applyNumberFormat="1" applyFont="1" applyFill="1" applyBorder="1"/>
    <xf numFmtId="3" fontId="3" fillId="0" borderId="23" xfId="0" applyNumberFormat="1" applyFont="1" applyBorder="1"/>
    <xf numFmtId="0" fontId="16" fillId="0" borderId="8" xfId="0" applyFont="1" applyFill="1" applyBorder="1" applyAlignment="1">
      <alignment horizontal="center"/>
    </xf>
    <xf numFmtId="1" fontId="3" fillId="0" borderId="23" xfId="0" applyNumberFormat="1" applyFont="1" applyBorder="1"/>
    <xf numFmtId="1" fontId="16" fillId="0" borderId="8" xfId="0" applyNumberFormat="1" applyFont="1" applyBorder="1"/>
    <xf numFmtId="3" fontId="3" fillId="0" borderId="8" xfId="0" applyNumberFormat="1" applyFont="1" applyFill="1" applyBorder="1"/>
    <xf numFmtId="1" fontId="3" fillId="0" borderId="8" xfId="0" applyNumberFormat="1" applyFont="1" applyBorder="1"/>
    <xf numFmtId="0" fontId="5" fillId="0" borderId="46" xfId="0" applyFont="1" applyBorder="1"/>
    <xf numFmtId="0" fontId="5" fillId="0" borderId="31" xfId="0" applyFont="1" applyBorder="1"/>
    <xf numFmtId="1" fontId="3" fillId="0" borderId="21" xfId="0" applyNumberFormat="1" applyFont="1" applyBorder="1"/>
    <xf numFmtId="3" fontId="3" fillId="0" borderId="21" xfId="0" applyNumberFormat="1" applyFont="1" applyFill="1" applyBorder="1"/>
    <xf numFmtId="169" fontId="8" fillId="0" borderId="10" xfId="0" applyNumberFormat="1" applyFont="1" applyFill="1" applyBorder="1" applyAlignment="1" applyProtection="1"/>
    <xf numFmtId="0" fontId="0" fillId="0" borderId="0" xfId="0" applyBorder="1" applyAlignment="1"/>
    <xf numFmtId="0" fontId="0" fillId="0" borderId="0" xfId="0" applyFill="1" applyBorder="1" applyAlignment="1"/>
    <xf numFmtId="3" fontId="5" fillId="5" borderId="8" xfId="0" applyNumberFormat="1" applyFont="1" applyFill="1" applyBorder="1" applyAlignment="1" applyProtection="1"/>
    <xf numFmtId="3" fontId="5" fillId="4" borderId="8" xfId="0" applyNumberFormat="1" applyFont="1" applyFill="1" applyBorder="1" applyAlignment="1" applyProtection="1"/>
    <xf numFmtId="3" fontId="5" fillId="2" borderId="8" xfId="0" applyNumberFormat="1" applyFont="1" applyFill="1" applyBorder="1" applyAlignment="1" applyProtection="1"/>
    <xf numFmtId="3" fontId="5" fillId="4" borderId="23" xfId="0" applyNumberFormat="1" applyFont="1" applyFill="1" applyBorder="1" applyAlignment="1" applyProtection="1"/>
    <xf numFmtId="3" fontId="5" fillId="5" borderId="23" xfId="0" applyNumberFormat="1" applyFont="1" applyFill="1" applyBorder="1" applyAlignment="1" applyProtection="1"/>
    <xf numFmtId="0" fontId="5" fillId="7" borderId="8" xfId="0" applyNumberFormat="1" applyFont="1" applyFill="1" applyBorder="1" applyAlignment="1" applyProtection="1"/>
    <xf numFmtId="0" fontId="5" fillId="6" borderId="8" xfId="0" applyFont="1" applyFill="1" applyBorder="1"/>
    <xf numFmtId="3" fontId="5" fillId="8" borderId="8" xfId="0" applyNumberFormat="1" applyFont="1" applyFill="1" applyBorder="1" applyAlignment="1" applyProtection="1"/>
    <xf numFmtId="3" fontId="5" fillId="6" borderId="9" xfId="0" applyNumberFormat="1" applyFont="1" applyFill="1" applyBorder="1" applyAlignment="1" applyProtection="1"/>
    <xf numFmtId="3" fontId="5" fillId="2" borderId="9" xfId="0" applyNumberFormat="1" applyFont="1" applyFill="1" applyBorder="1" applyAlignment="1" applyProtection="1"/>
    <xf numFmtId="3" fontId="5" fillId="4" borderId="22" xfId="0" applyNumberFormat="1" applyFont="1" applyFill="1" applyBorder="1" applyAlignment="1" applyProtection="1"/>
    <xf numFmtId="0" fontId="5" fillId="5" borderId="9" xfId="0" applyNumberFormat="1" applyFont="1" applyFill="1" applyBorder="1" applyAlignment="1" applyProtection="1"/>
    <xf numFmtId="3" fontId="5" fillId="4" borderId="9" xfId="0" applyNumberFormat="1" applyFont="1" applyFill="1" applyBorder="1" applyAlignment="1" applyProtection="1"/>
    <xf numFmtId="3" fontId="5" fillId="0" borderId="20" xfId="0" applyNumberFormat="1" applyFont="1" applyFill="1" applyBorder="1" applyAlignment="1" applyProtection="1"/>
    <xf numFmtId="0" fontId="5" fillId="4" borderId="9" xfId="0" applyNumberFormat="1" applyFont="1" applyFill="1" applyBorder="1" applyAlignment="1" applyProtection="1"/>
    <xf numFmtId="3" fontId="5" fillId="8" borderId="9" xfId="0" applyNumberFormat="1" applyFont="1" applyFill="1" applyBorder="1" applyAlignment="1" applyProtection="1"/>
    <xf numFmtId="0" fontId="5" fillId="3" borderId="9" xfId="0" applyFont="1" applyFill="1" applyBorder="1"/>
    <xf numFmtId="3" fontId="5" fillId="7" borderId="9" xfId="0" applyNumberFormat="1" applyFont="1" applyFill="1" applyBorder="1" applyAlignment="1" applyProtection="1"/>
    <xf numFmtId="3" fontId="5" fillId="9" borderId="9" xfId="0" applyNumberFormat="1" applyFont="1" applyFill="1" applyBorder="1" applyAlignment="1" applyProtection="1"/>
    <xf numFmtId="3" fontId="5" fillId="5" borderId="9" xfId="0" applyNumberFormat="1" applyFont="1" applyFill="1" applyBorder="1" applyAlignment="1" applyProtection="1"/>
    <xf numFmtId="0" fontId="5" fillId="5" borderId="22" xfId="0" applyNumberFormat="1" applyFont="1" applyFill="1" applyBorder="1" applyAlignment="1" applyProtection="1"/>
    <xf numFmtId="164" fontId="16" fillId="0" borderId="0" xfId="0" applyNumberFormat="1" applyFont="1" applyFill="1"/>
    <xf numFmtId="0" fontId="16" fillId="0" borderId="0" xfId="0" applyFont="1" applyFill="1" applyBorder="1"/>
    <xf numFmtId="169" fontId="5" fillId="0" borderId="0" xfId="0" applyNumberFormat="1" applyFont="1" applyFill="1" applyBorder="1" applyAlignment="1" applyProtection="1"/>
    <xf numFmtId="169" fontId="4" fillId="0" borderId="10" xfId="0" applyNumberFormat="1" applyFont="1" applyFill="1" applyBorder="1" applyAlignment="1" applyProtection="1"/>
    <xf numFmtId="0" fontId="5" fillId="0" borderId="15" xfId="0" applyFont="1" applyFill="1" applyBorder="1" applyAlignment="1">
      <alignment horizontal="right"/>
    </xf>
    <xf numFmtId="3" fontId="5" fillId="0" borderId="10" xfId="0" applyNumberFormat="1" applyFont="1" applyFill="1" applyBorder="1" applyAlignment="1" applyProtection="1">
      <alignment horizontal="right"/>
    </xf>
    <xf numFmtId="164" fontId="8" fillId="0" borderId="0" xfId="0" applyNumberFormat="1" applyFont="1" applyFill="1"/>
    <xf numFmtId="168" fontId="1" fillId="0" borderId="0" xfId="0" applyNumberFormat="1" applyFont="1" applyFill="1"/>
    <xf numFmtId="168" fontId="6" fillId="0" borderId="0" xfId="0" applyNumberFormat="1" applyFont="1" applyFill="1"/>
    <xf numFmtId="3" fontId="4" fillId="0" borderId="51" xfId="0" applyNumberFormat="1" applyFont="1" applyFill="1" applyBorder="1" applyAlignment="1" applyProtection="1"/>
    <xf numFmtId="16" fontId="16" fillId="0" borderId="0" xfId="0" applyNumberFormat="1" applyFont="1"/>
    <xf numFmtId="169" fontId="9" fillId="0" borderId="14" xfId="0" applyNumberFormat="1" applyFont="1" applyFill="1" applyBorder="1" applyAlignment="1" applyProtection="1">
      <alignment horizontal="right"/>
    </xf>
    <xf numFmtId="169" fontId="10" fillId="4" borderId="15" xfId="0" applyNumberFormat="1" applyFont="1" applyFill="1" applyBorder="1" applyAlignment="1" applyProtection="1">
      <alignment horizontal="right"/>
    </xf>
    <xf numFmtId="169" fontId="18" fillId="4" borderId="15" xfId="0" applyNumberFormat="1" applyFont="1" applyFill="1" applyBorder="1" applyAlignment="1" applyProtection="1">
      <alignment horizontal="right"/>
    </xf>
    <xf numFmtId="3" fontId="5" fillId="0" borderId="15" xfId="0" applyNumberFormat="1" applyFont="1" applyFill="1" applyBorder="1" applyAlignment="1" applyProtection="1"/>
    <xf numFmtId="3" fontId="3" fillId="0" borderId="18" xfId="0" applyNumberFormat="1" applyFont="1" applyFill="1" applyBorder="1" applyAlignment="1" applyProtection="1">
      <alignment horizontal="right"/>
    </xf>
    <xf numFmtId="0" fontId="16" fillId="0" borderId="38" xfId="0" applyFont="1" applyBorder="1"/>
    <xf numFmtId="0" fontId="16" fillId="0" borderId="44" xfId="0" applyFont="1" applyBorder="1"/>
    <xf numFmtId="0" fontId="7" fillId="0" borderId="41" xfId="0" applyFont="1" applyBorder="1"/>
    <xf numFmtId="0" fontId="3" fillId="0" borderId="44" xfId="0" applyFont="1" applyBorder="1"/>
    <xf numFmtId="0" fontId="3" fillId="0" borderId="47" xfId="0" applyFont="1" applyBorder="1"/>
    <xf numFmtId="0" fontId="5" fillId="0" borderId="44" xfId="0" applyFont="1" applyBorder="1"/>
    <xf numFmtId="0" fontId="7" fillId="0" borderId="44" xfId="0" applyFont="1" applyBorder="1"/>
    <xf numFmtId="0" fontId="4" fillId="0" borderId="9" xfId="0" applyNumberFormat="1" applyFont="1" applyFill="1" applyBorder="1" applyAlignment="1" applyProtection="1">
      <alignment horizontal="left"/>
    </xf>
    <xf numFmtId="9" fontId="4" fillId="0" borderId="4" xfId="2" applyFont="1" applyFill="1" applyBorder="1" applyAlignment="1" applyProtection="1">
      <alignment horizontal="left"/>
    </xf>
    <xf numFmtId="164" fontId="10" fillId="0" borderId="50" xfId="0" applyNumberFormat="1" applyFont="1" applyFill="1" applyBorder="1" applyAlignment="1" applyProtection="1">
      <alignment horizontal="right"/>
    </xf>
    <xf numFmtId="164" fontId="9" fillId="0" borderId="50" xfId="0" applyNumberFormat="1" applyFont="1" applyFill="1" applyBorder="1" applyAlignment="1" applyProtection="1">
      <alignment horizontal="right"/>
    </xf>
    <xf numFmtId="164" fontId="13" fillId="0" borderId="49" xfId="0" applyNumberFormat="1" applyFont="1" applyFill="1" applyBorder="1" applyAlignment="1" applyProtection="1">
      <alignment horizontal="right"/>
    </xf>
    <xf numFmtId="0" fontId="4" fillId="0" borderId="26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/>
    <xf numFmtId="1" fontId="16" fillId="0" borderId="10" xfId="0" applyNumberFormat="1" applyFont="1" applyFill="1" applyBorder="1" applyAlignment="1" applyProtection="1">
      <alignment horizontal="right"/>
    </xf>
    <xf numFmtId="170" fontId="4" fillId="0" borderId="5" xfId="0" applyNumberFormat="1" applyFont="1" applyFill="1" applyBorder="1" applyAlignment="1" applyProtection="1">
      <alignment horizontal="center"/>
    </xf>
    <xf numFmtId="1" fontId="0" fillId="0" borderId="21" xfId="0" applyNumberFormat="1" applyFont="1" applyBorder="1"/>
    <xf numFmtId="1" fontId="0" fillId="0" borderId="8" xfId="0" applyNumberFormat="1" applyFont="1" applyBorder="1"/>
    <xf numFmtId="3" fontId="19" fillId="0" borderId="10" xfId="0" applyNumberFormat="1" applyFont="1" applyFill="1" applyBorder="1" applyAlignment="1" applyProtection="1">
      <alignment horizontal="right"/>
    </xf>
    <xf numFmtId="0" fontId="4" fillId="0" borderId="54" xfId="0" applyNumberFormat="1" applyFont="1" applyFill="1" applyBorder="1" applyAlignment="1" applyProtection="1">
      <alignment horizontal="center"/>
    </xf>
    <xf numFmtId="4" fontId="5" fillId="0" borderId="10" xfId="0" applyNumberFormat="1" applyFont="1" applyFill="1" applyBorder="1" applyAlignment="1" applyProtection="1">
      <alignment horizontal="right"/>
    </xf>
    <xf numFmtId="0" fontId="16" fillId="11" borderId="0" xfId="0" applyFont="1" applyFill="1"/>
    <xf numFmtId="0" fontId="4" fillId="0" borderId="39" xfId="0" applyNumberFormat="1" applyFont="1" applyFill="1" applyBorder="1" applyAlignment="1" applyProtection="1"/>
    <xf numFmtId="0" fontId="4" fillId="0" borderId="57" xfId="0" applyNumberFormat="1" applyFont="1" applyFill="1" applyBorder="1" applyAlignment="1" applyProtection="1">
      <alignment horizontal="left"/>
    </xf>
    <xf numFmtId="0" fontId="4" fillId="10" borderId="8" xfId="0" applyNumberFormat="1" applyFont="1" applyFill="1" applyBorder="1" applyAlignment="1" applyProtection="1">
      <alignment horizontal="center"/>
    </xf>
    <xf numFmtId="3" fontId="19" fillId="9" borderId="8" xfId="0" applyNumberFormat="1" applyFont="1" applyFill="1" applyBorder="1" applyAlignment="1" applyProtection="1">
      <alignment horizontal="left"/>
    </xf>
    <xf numFmtId="3" fontId="6" fillId="9" borderId="9" xfId="0" applyNumberFormat="1" applyFont="1" applyFill="1" applyBorder="1" applyAlignment="1" applyProtection="1"/>
    <xf numFmtId="0" fontId="5" fillId="0" borderId="39" xfId="0" applyFont="1" applyFill="1" applyBorder="1"/>
    <xf numFmtId="0" fontId="4" fillId="0" borderId="14" xfId="0" applyNumberFormat="1" applyFont="1" applyFill="1" applyBorder="1" applyAlignment="1" applyProtection="1">
      <alignment horizontal="center"/>
    </xf>
    <xf numFmtId="0" fontId="4" fillId="0" borderId="58" xfId="0" applyNumberFormat="1" applyFont="1" applyFill="1" applyBorder="1" applyAlignment="1" applyProtection="1">
      <alignment horizontal="center"/>
    </xf>
    <xf numFmtId="0" fontId="4" fillId="0" borderId="59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/>
    <xf numFmtId="0" fontId="4" fillId="0" borderId="16" xfId="0" applyNumberFormat="1" applyFont="1" applyFill="1" applyBorder="1" applyAlignment="1" applyProtection="1"/>
    <xf numFmtId="3" fontId="5" fillId="2" borderId="23" xfId="0" applyNumberFormat="1" applyFont="1" applyFill="1" applyBorder="1" applyAlignment="1" applyProtection="1"/>
    <xf numFmtId="0" fontId="4" fillId="0" borderId="32" xfId="0" applyNumberFormat="1" applyFont="1" applyFill="1" applyBorder="1" applyAlignment="1" applyProtection="1">
      <alignment horizontal="center"/>
    </xf>
    <xf numFmtId="0" fontId="8" fillId="0" borderId="8" xfId="0" applyFont="1" applyBorder="1"/>
    <xf numFmtId="0" fontId="8" fillId="0" borderId="6" xfId="0" applyFont="1" applyBorder="1"/>
    <xf numFmtId="0" fontId="5" fillId="5" borderId="9" xfId="0" applyFont="1" applyFill="1" applyBorder="1"/>
    <xf numFmtId="0" fontId="5" fillId="5" borderId="22" xfId="0" applyFont="1" applyFill="1" applyBorder="1"/>
    <xf numFmtId="0" fontId="5" fillId="0" borderId="4" xfId="0" applyNumberFormat="1" applyFont="1" applyFill="1" applyBorder="1" applyAlignment="1" applyProtection="1"/>
    <xf numFmtId="164" fontId="9" fillId="3" borderId="13" xfId="0" applyNumberFormat="1" applyFont="1" applyFill="1" applyBorder="1" applyAlignment="1" applyProtection="1">
      <alignment horizontal="right"/>
    </xf>
    <xf numFmtId="0" fontId="5" fillId="0" borderId="10" xfId="0" applyFont="1" applyFill="1" applyBorder="1"/>
    <xf numFmtId="170" fontId="4" fillId="0" borderId="17" xfId="0" applyNumberFormat="1" applyFont="1" applyFill="1" applyBorder="1" applyAlignment="1" applyProtection="1">
      <alignment horizontal="center"/>
    </xf>
    <xf numFmtId="4" fontId="16" fillId="0" borderId="0" xfId="0" applyNumberFormat="1" applyFont="1" applyFill="1"/>
    <xf numFmtId="164" fontId="10" fillId="0" borderId="39" xfId="0" applyNumberFormat="1" applyFont="1" applyFill="1" applyBorder="1" applyAlignment="1" applyProtection="1">
      <alignment horizontal="right"/>
    </xf>
    <xf numFmtId="0" fontId="3" fillId="0" borderId="43" xfId="0" applyFont="1" applyFill="1" applyBorder="1"/>
    <xf numFmtId="0" fontId="3" fillId="0" borderId="35" xfId="0" applyFont="1" applyFill="1" applyBorder="1"/>
    <xf numFmtId="0" fontId="16" fillId="0" borderId="3" xfId="0" applyFont="1" applyFill="1" applyBorder="1" applyAlignment="1">
      <alignment horizontal="center"/>
    </xf>
    <xf numFmtId="0" fontId="3" fillId="0" borderId="8" xfId="0" applyFont="1" applyFill="1" applyBorder="1"/>
    <xf numFmtId="1" fontId="3" fillId="0" borderId="23" xfId="0" applyNumberFormat="1" applyFont="1" applyFill="1" applyBorder="1"/>
    <xf numFmtId="1" fontId="3" fillId="0" borderId="8" xfId="0" applyNumberFormat="1" applyFont="1" applyFill="1" applyBorder="1"/>
    <xf numFmtId="1" fontId="3" fillId="0" borderId="21" xfId="0" applyNumberFormat="1" applyFont="1" applyFill="1" applyBorder="1"/>
    <xf numFmtId="3" fontId="0" fillId="0" borderId="0" xfId="0" applyNumberFormat="1"/>
    <xf numFmtId="3" fontId="16" fillId="0" borderId="10" xfId="0" applyNumberFormat="1" applyFont="1" applyBorder="1" applyAlignment="1">
      <alignment horizontal="right"/>
    </xf>
    <xf numFmtId="3" fontId="27" fillId="0" borderId="10" xfId="0" applyNumberFormat="1" applyFont="1" applyFill="1" applyBorder="1" applyAlignment="1" applyProtection="1">
      <alignment horizontal="right"/>
    </xf>
    <xf numFmtId="1" fontId="4" fillId="4" borderId="34" xfId="0" applyNumberFormat="1" applyFont="1" applyFill="1" applyBorder="1" applyAlignment="1" applyProtection="1">
      <alignment horizontal="center"/>
    </xf>
    <xf numFmtId="49" fontId="4" fillId="4" borderId="18" xfId="0" applyNumberFormat="1" applyFont="1" applyFill="1" applyBorder="1" applyAlignment="1" applyProtection="1">
      <alignment horizontal="center"/>
    </xf>
    <xf numFmtId="169" fontId="10" fillId="4" borderId="18" xfId="0" applyNumberFormat="1" applyFont="1" applyFill="1" applyBorder="1" applyAlignment="1" applyProtection="1">
      <alignment horizontal="right"/>
    </xf>
    <xf numFmtId="0" fontId="28" fillId="0" borderId="22" xfId="0" applyNumberFormat="1" applyFont="1" applyFill="1" applyBorder="1" applyAlignment="1" applyProtection="1"/>
    <xf numFmtId="0" fontId="28" fillId="0" borderId="13" xfId="0" applyNumberFormat="1" applyFont="1" applyFill="1" applyBorder="1" applyAlignment="1" applyProtection="1"/>
    <xf numFmtId="3" fontId="28" fillId="0" borderId="23" xfId="0" applyNumberFormat="1" applyFont="1" applyFill="1" applyBorder="1" applyAlignment="1" applyProtection="1"/>
    <xf numFmtId="0" fontId="28" fillId="0" borderId="0" xfId="0" applyFont="1"/>
    <xf numFmtId="4" fontId="6" fillId="0" borderId="0" xfId="0" applyNumberFormat="1" applyFont="1" applyFill="1" applyBorder="1" applyAlignment="1"/>
    <xf numFmtId="4" fontId="5" fillId="0" borderId="0" xfId="0" applyNumberFormat="1" applyFont="1" applyFill="1" applyBorder="1" applyAlignment="1" applyProtection="1"/>
    <xf numFmtId="4" fontId="0" fillId="0" borderId="0" xfId="0" applyNumberFormat="1" applyFill="1" applyBorder="1" applyAlignment="1"/>
    <xf numFmtId="3" fontId="5" fillId="0" borderId="45" xfId="0" applyNumberFormat="1" applyFont="1" applyFill="1" applyBorder="1" applyAlignment="1" applyProtection="1"/>
    <xf numFmtId="1" fontId="5" fillId="0" borderId="10" xfId="0" applyNumberFormat="1" applyFont="1" applyFill="1" applyBorder="1" applyAlignment="1" applyProtection="1"/>
    <xf numFmtId="171" fontId="4" fillId="0" borderId="10" xfId="0" applyNumberFormat="1" applyFont="1" applyFill="1" applyBorder="1"/>
    <xf numFmtId="4" fontId="5" fillId="0" borderId="0" xfId="0" applyNumberFormat="1" applyFont="1" applyFill="1"/>
    <xf numFmtId="0" fontId="5" fillId="0" borderId="14" xfId="0" applyNumberFormat="1" applyFont="1" applyFill="1" applyBorder="1" applyAlignment="1" applyProtection="1">
      <alignment horizontal="right"/>
    </xf>
    <xf numFmtId="0" fontId="0" fillId="0" borderId="0" xfId="0" applyFill="1"/>
    <xf numFmtId="0" fontId="5" fillId="0" borderId="19" xfId="0" applyNumberFormat="1" applyFont="1" applyFill="1" applyBorder="1" applyAlignment="1" applyProtection="1"/>
    <xf numFmtId="0" fontId="5" fillId="0" borderId="32" xfId="0" applyNumberFormat="1" applyFont="1" applyFill="1" applyBorder="1" applyAlignment="1" applyProtection="1"/>
    <xf numFmtId="3" fontId="5" fillId="0" borderId="37" xfId="0" applyNumberFormat="1" applyFont="1" applyFill="1" applyBorder="1" applyAlignment="1" applyProtection="1"/>
    <xf numFmtId="4" fontId="4" fillId="0" borderId="55" xfId="0" applyNumberFormat="1" applyFont="1" applyFill="1" applyBorder="1" applyAlignment="1" applyProtection="1">
      <alignment horizontal="center"/>
    </xf>
    <xf numFmtId="3" fontId="5" fillId="4" borderId="15" xfId="0" applyNumberFormat="1" applyFont="1" applyFill="1" applyBorder="1" applyAlignment="1" applyProtection="1"/>
    <xf numFmtId="4" fontId="4" fillId="0" borderId="39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/>
    <xf numFmtId="3" fontId="7" fillId="0" borderId="0" xfId="0" applyNumberFormat="1" applyFont="1" applyFill="1"/>
    <xf numFmtId="0" fontId="16" fillId="10" borderId="0" xfId="0" applyFont="1" applyFill="1"/>
    <xf numFmtId="0" fontId="5" fillId="0" borderId="10" xfId="0" applyNumberFormat="1" applyFont="1" applyFill="1" applyBorder="1" applyAlignment="1" applyProtection="1">
      <alignment horizontal="center"/>
    </xf>
    <xf numFmtId="3" fontId="5" fillId="13" borderId="9" xfId="0" applyNumberFormat="1" applyFont="1" applyFill="1" applyBorder="1" applyAlignment="1" applyProtection="1"/>
    <xf numFmtId="3" fontId="5" fillId="0" borderId="7" xfId="0" applyNumberFormat="1" applyFont="1" applyBorder="1"/>
    <xf numFmtId="0" fontId="16" fillId="0" borderId="0" xfId="0" applyFont="1"/>
    <xf numFmtId="3" fontId="8" fillId="0" borderId="8" xfId="0" applyNumberFormat="1" applyFont="1" applyFill="1" applyBorder="1" applyAlignment="1" applyProtection="1"/>
    <xf numFmtId="9" fontId="9" fillId="0" borderId="14" xfId="2" applyFont="1" applyFill="1" applyBorder="1" applyAlignment="1" applyProtection="1">
      <alignment horizontal="right"/>
    </xf>
    <xf numFmtId="0" fontId="5" fillId="11" borderId="0" xfId="0" applyNumberFormat="1" applyFont="1" applyFill="1" applyBorder="1" applyAlignment="1" applyProtection="1">
      <alignment horizontal="right"/>
    </xf>
    <xf numFmtId="167" fontId="5" fillId="0" borderId="0" xfId="0" applyNumberFormat="1" applyFont="1" applyFill="1" applyBorder="1" applyAlignment="1" applyProtection="1">
      <alignment horizontal="right"/>
    </xf>
    <xf numFmtId="164" fontId="5" fillId="0" borderId="7" xfId="0" applyNumberFormat="1" applyFont="1" applyFill="1" applyBorder="1"/>
    <xf numFmtId="168" fontId="5" fillId="0" borderId="0" xfId="0" applyNumberFormat="1" applyFont="1" applyFill="1" applyBorder="1" applyAlignment="1" applyProtection="1"/>
    <xf numFmtId="3" fontId="4" fillId="0" borderId="17" xfId="0" applyNumberFormat="1" applyFont="1" applyFill="1" applyBorder="1" applyAlignment="1" applyProtection="1">
      <alignment horizontal="center"/>
    </xf>
    <xf numFmtId="3" fontId="16" fillId="0" borderId="0" xfId="0" applyNumberFormat="1" applyFont="1" applyFill="1" applyBorder="1"/>
    <xf numFmtId="169" fontId="16" fillId="0" borderId="0" xfId="0" applyNumberFormat="1" applyFont="1" applyFill="1" applyBorder="1" applyAlignment="1"/>
    <xf numFmtId="3" fontId="7" fillId="0" borderId="0" xfId="0" applyNumberFormat="1" applyFont="1" applyFill="1" applyBorder="1"/>
    <xf numFmtId="3" fontId="5" fillId="15" borderId="8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>
      <alignment horizontal="right"/>
    </xf>
    <xf numFmtId="3" fontId="10" fillId="16" borderId="10" xfId="0" applyNumberFormat="1" applyFont="1" applyFill="1" applyBorder="1" applyAlignment="1" applyProtection="1">
      <alignment horizontal="right"/>
    </xf>
    <xf numFmtId="3" fontId="5" fillId="17" borderId="10" xfId="0" applyNumberFormat="1" applyFont="1" applyFill="1" applyBorder="1" applyAlignment="1" applyProtection="1"/>
    <xf numFmtId="3" fontId="5" fillId="15" borderId="9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>
      <alignment horizontal="right"/>
    </xf>
    <xf numFmtId="0" fontId="0" fillId="0" borderId="0" xfId="0" applyFont="1"/>
    <xf numFmtId="3" fontId="6" fillId="0" borderId="10" xfId="0" applyNumberFormat="1" applyFont="1" applyFill="1" applyBorder="1" applyAlignment="1" applyProtection="1">
      <alignment horizontal="right"/>
    </xf>
    <xf numFmtId="164" fontId="6" fillId="0" borderId="10" xfId="0" applyNumberFormat="1" applyFont="1" applyFill="1" applyBorder="1" applyAlignment="1" applyProtection="1">
      <alignment horizontal="right"/>
    </xf>
    <xf numFmtId="4" fontId="10" fillId="0" borderId="10" xfId="0" applyNumberFormat="1" applyFont="1" applyFill="1" applyBorder="1" applyAlignment="1" applyProtection="1">
      <alignment horizontal="right"/>
    </xf>
    <xf numFmtId="169" fontId="10" fillId="0" borderId="10" xfId="0" applyNumberFormat="1" applyFont="1" applyFill="1" applyBorder="1" applyAlignment="1" applyProtection="1">
      <alignment horizontal="right"/>
    </xf>
    <xf numFmtId="0" fontId="0" fillId="0" borderId="0" xfId="0" applyFont="1" applyFill="1" applyBorder="1"/>
    <xf numFmtId="0" fontId="5" fillId="0" borderId="37" xfId="0" applyFont="1" applyBorder="1"/>
    <xf numFmtId="0" fontId="5" fillId="0" borderId="21" xfId="0" applyFont="1" applyBorder="1"/>
    <xf numFmtId="0" fontId="5" fillId="0" borderId="51" xfId="0" applyFont="1" applyBorder="1"/>
    <xf numFmtId="3" fontId="30" fillId="0" borderId="9" xfId="0" applyNumberFormat="1" applyFont="1" applyFill="1" applyBorder="1" applyAlignment="1" applyProtection="1">
      <protection locked="0"/>
    </xf>
    <xf numFmtId="168" fontId="10" fillId="0" borderId="10" xfId="0" applyNumberFormat="1" applyFont="1" applyFill="1" applyBorder="1" applyAlignment="1" applyProtection="1">
      <alignment horizontal="right"/>
    </xf>
    <xf numFmtId="168" fontId="16" fillId="0" borderId="0" xfId="0" applyNumberFormat="1" applyFont="1"/>
    <xf numFmtId="10" fontId="16" fillId="0" borderId="0" xfId="0" applyNumberFormat="1" applyFont="1"/>
    <xf numFmtId="167" fontId="0" fillId="0" borderId="0" xfId="0" applyNumberFormat="1" applyFill="1" applyBorder="1" applyAlignment="1"/>
    <xf numFmtId="167" fontId="4" fillId="0" borderId="37" xfId="0" applyNumberFormat="1" applyFont="1" applyFill="1" applyBorder="1" applyAlignment="1" applyProtection="1">
      <alignment horizontal="center"/>
    </xf>
    <xf numFmtId="167" fontId="4" fillId="0" borderId="9" xfId="0" applyNumberFormat="1" applyFont="1" applyFill="1" applyBorder="1" applyAlignment="1" applyProtection="1">
      <alignment horizontal="center"/>
    </xf>
    <xf numFmtId="167" fontId="4" fillId="0" borderId="26" xfId="0" applyNumberFormat="1" applyFont="1" applyFill="1" applyBorder="1" applyAlignment="1" applyProtection="1">
      <alignment horizontal="center"/>
    </xf>
    <xf numFmtId="167" fontId="5" fillId="0" borderId="32" xfId="0" applyNumberFormat="1" applyFont="1" applyFill="1" applyBorder="1" applyAlignment="1" applyProtection="1"/>
    <xf numFmtId="167" fontId="5" fillId="0" borderId="0" xfId="0" applyNumberFormat="1" applyFont="1" applyFill="1" applyBorder="1" applyAlignment="1" applyProtection="1"/>
    <xf numFmtId="167" fontId="16" fillId="0" borderId="0" xfId="0" applyNumberFormat="1" applyFont="1" applyFill="1"/>
    <xf numFmtId="168" fontId="0" fillId="0" borderId="0" xfId="0" applyNumberFormat="1" applyBorder="1" applyAlignment="1"/>
    <xf numFmtId="168" fontId="4" fillId="0" borderId="37" xfId="0" applyNumberFormat="1" applyFont="1" applyFill="1" applyBorder="1" applyAlignment="1" applyProtection="1">
      <alignment horizontal="center"/>
    </xf>
    <xf numFmtId="168" fontId="4" fillId="0" borderId="10" xfId="0" applyNumberFormat="1" applyFont="1" applyFill="1" applyBorder="1" applyAlignment="1" applyProtection="1">
      <alignment horizontal="center"/>
    </xf>
    <xf numFmtId="168" fontId="4" fillId="0" borderId="2" xfId="0" applyNumberFormat="1" applyFont="1" applyFill="1" applyBorder="1" applyAlignment="1" applyProtection="1"/>
    <xf numFmtId="168" fontId="5" fillId="0" borderId="10" xfId="0" applyNumberFormat="1" applyFont="1" applyFill="1" applyBorder="1" applyAlignment="1" applyProtection="1"/>
    <xf numFmtId="168" fontId="4" fillId="0" borderId="12" xfId="0" applyNumberFormat="1" applyFont="1" applyFill="1" applyBorder="1" applyAlignment="1" applyProtection="1"/>
    <xf numFmtId="168" fontId="5" fillId="0" borderId="13" xfId="0" applyNumberFormat="1" applyFont="1" applyFill="1" applyBorder="1" applyAlignment="1" applyProtection="1"/>
    <xf numFmtId="168" fontId="4" fillId="0" borderId="10" xfId="0" applyNumberFormat="1" applyFont="1" applyFill="1" applyBorder="1" applyAlignment="1" applyProtection="1"/>
    <xf numFmtId="168" fontId="4" fillId="0" borderId="51" xfId="0" applyNumberFormat="1" applyFont="1" applyFill="1" applyBorder="1" applyAlignment="1" applyProtection="1"/>
    <xf numFmtId="168" fontId="5" fillId="0" borderId="19" xfId="0" applyNumberFormat="1" applyFont="1" applyFill="1" applyBorder="1" applyAlignment="1" applyProtection="1"/>
    <xf numFmtId="4" fontId="4" fillId="0" borderId="37" xfId="0" applyNumberFormat="1" applyFont="1" applyFill="1" applyBorder="1" applyAlignment="1" applyProtection="1">
      <alignment horizontal="center"/>
    </xf>
    <xf numFmtId="4" fontId="4" fillId="0" borderId="8" xfId="0" applyNumberFormat="1" applyFont="1" applyFill="1" applyBorder="1" applyAlignment="1" applyProtection="1">
      <alignment horizontal="center"/>
    </xf>
    <xf numFmtId="4" fontId="4" fillId="0" borderId="6" xfId="0" applyNumberFormat="1" applyFont="1" applyFill="1" applyBorder="1" applyAlignment="1" applyProtection="1">
      <alignment horizontal="center"/>
    </xf>
    <xf numFmtId="4" fontId="4" fillId="0" borderId="3" xfId="0" applyNumberFormat="1" applyFont="1" applyFill="1" applyBorder="1" applyAlignment="1" applyProtection="1"/>
    <xf numFmtId="4" fontId="5" fillId="0" borderId="8" xfId="0" applyNumberFormat="1" applyFont="1" applyFill="1" applyBorder="1" applyAlignment="1" applyProtection="1"/>
    <xf numFmtId="4" fontId="4" fillId="0" borderId="21" xfId="0" applyNumberFormat="1" applyFont="1" applyFill="1" applyBorder="1" applyAlignment="1" applyProtection="1"/>
    <xf numFmtId="4" fontId="5" fillId="0" borderId="23" xfId="0" applyNumberFormat="1" applyFont="1" applyFill="1" applyBorder="1" applyAlignment="1" applyProtection="1"/>
    <xf numFmtId="4" fontId="4" fillId="0" borderId="8" xfId="0" applyNumberFormat="1" applyFont="1" applyFill="1" applyBorder="1" applyAlignment="1" applyProtection="1"/>
    <xf numFmtId="4" fontId="4" fillId="0" borderId="51" xfId="0" applyNumberFormat="1" applyFont="1" applyFill="1" applyBorder="1" applyAlignment="1" applyProtection="1"/>
    <xf numFmtId="4" fontId="5" fillId="0" borderId="37" xfId="0" applyNumberFormat="1" applyFont="1" applyFill="1" applyBorder="1" applyAlignment="1" applyProtection="1"/>
    <xf numFmtId="171" fontId="5" fillId="0" borderId="8" xfId="0" applyNumberFormat="1" applyFont="1" applyFill="1" applyBorder="1" applyAlignment="1" applyProtection="1"/>
    <xf numFmtId="171" fontId="4" fillId="0" borderId="21" xfId="0" applyNumberFormat="1" applyFont="1" applyFill="1" applyBorder="1" applyAlignment="1" applyProtection="1"/>
    <xf numFmtId="174" fontId="5" fillId="0" borderId="10" xfId="0" applyNumberFormat="1" applyFont="1" applyFill="1" applyBorder="1" applyAlignment="1" applyProtection="1">
      <alignment horizontal="right"/>
    </xf>
    <xf numFmtId="2" fontId="5" fillId="0" borderId="10" xfId="0" applyNumberFormat="1" applyFont="1" applyFill="1" applyBorder="1" applyAlignment="1" applyProtection="1">
      <alignment horizontal="right"/>
    </xf>
    <xf numFmtId="175" fontId="5" fillId="0" borderId="10" xfId="0" applyNumberFormat="1" applyFont="1" applyFill="1" applyBorder="1" applyAlignment="1" applyProtection="1">
      <alignment horizontal="right"/>
    </xf>
    <xf numFmtId="176" fontId="5" fillId="0" borderId="10" xfId="0" applyNumberFormat="1" applyFont="1" applyFill="1" applyBorder="1" applyAlignment="1" applyProtection="1">
      <alignment horizontal="right"/>
    </xf>
    <xf numFmtId="167" fontId="4" fillId="0" borderId="10" xfId="0" applyNumberFormat="1" applyFont="1" applyFill="1" applyBorder="1" applyAlignment="1" applyProtection="1">
      <alignment horizontal="right"/>
    </xf>
    <xf numFmtId="0" fontId="32" fillId="0" borderId="7" xfId="0" applyNumberFormat="1" applyFont="1" applyFill="1" applyBorder="1" applyAlignment="1" applyProtection="1">
      <alignment horizontal="right"/>
    </xf>
    <xf numFmtId="3" fontId="32" fillId="0" borderId="10" xfId="0" applyNumberFormat="1" applyFont="1" applyFill="1" applyBorder="1" applyAlignment="1" applyProtection="1">
      <alignment horizontal="right"/>
    </xf>
    <xf numFmtId="3" fontId="33" fillId="0" borderId="10" xfId="0" applyNumberFormat="1" applyFont="1" applyFill="1" applyBorder="1" applyAlignment="1" applyProtection="1">
      <alignment horizontal="right"/>
    </xf>
    <xf numFmtId="171" fontId="2" fillId="0" borderId="0" xfId="0" applyNumberFormat="1" applyFont="1" applyFill="1"/>
    <xf numFmtId="168" fontId="5" fillId="0" borderId="9" xfId="0" applyNumberFormat="1" applyFont="1" applyFill="1" applyBorder="1" applyAlignment="1" applyProtection="1"/>
    <xf numFmtId="0" fontId="7" fillId="0" borderId="0" xfId="0" applyFont="1"/>
    <xf numFmtId="0" fontId="0" fillId="0" borderId="0" xfId="0"/>
    <xf numFmtId="3" fontId="4" fillId="0" borderId="7" xfId="0" applyNumberFormat="1" applyFont="1" applyBorder="1"/>
    <xf numFmtId="0" fontId="5" fillId="0" borderId="10" xfId="0" applyNumberFormat="1" applyFont="1" applyFill="1" applyBorder="1" applyAlignment="1" applyProtection="1"/>
    <xf numFmtId="164" fontId="10" fillId="0" borderId="10" xfId="0" applyNumberFormat="1" applyFont="1" applyFill="1" applyBorder="1" applyAlignment="1" applyProtection="1">
      <alignment horizontal="right"/>
    </xf>
    <xf numFmtId="3" fontId="10" fillId="0" borderId="10" xfId="0" applyNumberFormat="1" applyFont="1" applyFill="1" applyBorder="1" applyAlignment="1" applyProtection="1">
      <alignment horizontal="right"/>
    </xf>
    <xf numFmtId="3" fontId="4" fillId="0" borderId="10" xfId="0" applyNumberFormat="1" applyFont="1" applyFill="1" applyBorder="1"/>
    <xf numFmtId="0" fontId="16" fillId="0" borderId="0" xfId="0" applyFont="1"/>
    <xf numFmtId="0" fontId="16" fillId="0" borderId="10" xfId="0" applyNumberFormat="1" applyFont="1" applyFill="1" applyBorder="1" applyAlignment="1" applyProtection="1"/>
    <xf numFmtId="0" fontId="16" fillId="10" borderId="0" xfId="0" applyFont="1" applyFill="1"/>
    <xf numFmtId="4" fontId="0" fillId="0" borderId="0" xfId="0" applyNumberFormat="1" applyFont="1" applyFill="1" applyBorder="1" applyAlignment="1" applyProtection="1">
      <alignment horizontal="right"/>
    </xf>
    <xf numFmtId="4" fontId="8" fillId="0" borderId="5" xfId="0" applyNumberFormat="1" applyFont="1" applyFill="1" applyBorder="1" applyAlignment="1" applyProtection="1">
      <alignment horizontal="center"/>
    </xf>
    <xf numFmtId="4" fontId="18" fillId="2" borderId="10" xfId="0" applyNumberFormat="1" applyFont="1" applyFill="1" applyBorder="1" applyAlignment="1" applyProtection="1">
      <alignment horizontal="right"/>
    </xf>
    <xf numFmtId="4" fontId="18" fillId="0" borderId="10" xfId="0" applyNumberFormat="1" applyFont="1" applyFill="1" applyBorder="1" applyAlignment="1" applyProtection="1">
      <alignment horizontal="right"/>
    </xf>
    <xf numFmtId="4" fontId="19" fillId="0" borderId="10" xfId="0" applyNumberFormat="1" applyFont="1" applyFill="1" applyBorder="1" applyAlignment="1" applyProtection="1">
      <alignment horizontal="right"/>
    </xf>
    <xf numFmtId="4" fontId="18" fillId="0" borderId="14" xfId="0" applyNumberFormat="1" applyFont="1" applyFill="1" applyBorder="1" applyAlignment="1" applyProtection="1">
      <alignment horizontal="right"/>
    </xf>
    <xf numFmtId="4" fontId="19" fillId="2" borderId="10" xfId="0" applyNumberFormat="1" applyFont="1" applyFill="1" applyBorder="1" applyAlignment="1" applyProtection="1">
      <alignment horizontal="right"/>
    </xf>
    <xf numFmtId="4" fontId="8" fillId="0" borderId="14" xfId="0" applyNumberFormat="1" applyFont="1" applyFill="1" applyBorder="1" applyAlignment="1" applyProtection="1">
      <alignment horizontal="right"/>
    </xf>
    <xf numFmtId="4" fontId="18" fillId="3" borderId="13" xfId="0" applyNumberFormat="1" applyFont="1" applyFill="1" applyBorder="1" applyAlignment="1" applyProtection="1">
      <alignment horizontal="right"/>
    </xf>
    <xf numFmtId="4" fontId="8" fillId="0" borderId="17" xfId="0" applyNumberFormat="1" applyFont="1" applyFill="1" applyBorder="1" applyAlignment="1" applyProtection="1">
      <alignment horizontal="center"/>
    </xf>
    <xf numFmtId="4" fontId="6" fillId="0" borderId="15" xfId="0" applyNumberFormat="1" applyFont="1" applyFill="1" applyBorder="1" applyAlignment="1" applyProtection="1"/>
    <xf numFmtId="4" fontId="19" fillId="0" borderId="15" xfId="0" applyNumberFormat="1" applyFont="1" applyFill="1" applyBorder="1" applyAlignment="1" applyProtection="1">
      <alignment horizontal="right"/>
    </xf>
    <xf numFmtId="4" fontId="8" fillId="0" borderId="15" xfId="0" applyNumberFormat="1" applyFont="1" applyFill="1" applyBorder="1" applyAlignment="1" applyProtection="1">
      <alignment horizontal="right"/>
    </xf>
    <xf numFmtId="4" fontId="6" fillId="0" borderId="15" xfId="0" applyNumberFormat="1" applyFont="1" applyFill="1" applyBorder="1" applyAlignment="1" applyProtection="1">
      <alignment horizontal="right"/>
    </xf>
    <xf numFmtId="4" fontId="7" fillId="0" borderId="18" xfId="0" applyNumberFormat="1" applyFont="1" applyFill="1" applyBorder="1" applyAlignment="1" applyProtection="1">
      <alignment horizontal="right"/>
    </xf>
    <xf numFmtId="4" fontId="0" fillId="0" borderId="0" xfId="0" applyNumberFormat="1" applyFont="1"/>
    <xf numFmtId="168" fontId="10" fillId="0" borderId="7" xfId="0" applyNumberFormat="1" applyFont="1" applyFill="1" applyBorder="1" applyAlignment="1" applyProtection="1">
      <alignment horizontal="right"/>
    </xf>
    <xf numFmtId="3" fontId="3" fillId="0" borderId="0" xfId="0" applyNumberFormat="1" applyFont="1"/>
    <xf numFmtId="167" fontId="5" fillId="0" borderId="10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>
      <alignment horizontal="center"/>
    </xf>
    <xf numFmtId="3" fontId="18" fillId="0" borderId="10" xfId="0" applyNumberFormat="1" applyFont="1" applyFill="1" applyBorder="1" applyAlignment="1" applyProtection="1">
      <alignment horizontal="right"/>
    </xf>
    <xf numFmtId="167" fontId="4" fillId="0" borderId="18" xfId="0" applyNumberFormat="1" applyFont="1" applyFill="1" applyBorder="1" applyAlignment="1" applyProtection="1">
      <alignment horizontal="right"/>
    </xf>
    <xf numFmtId="3" fontId="5" fillId="4" borderId="50" xfId="0" applyNumberFormat="1" applyFont="1" applyFill="1" applyBorder="1" applyAlignment="1" applyProtection="1"/>
    <xf numFmtId="1" fontId="4" fillId="0" borderId="12" xfId="0" applyNumberFormat="1" applyFont="1" applyFill="1" applyBorder="1" applyAlignment="1" applyProtection="1">
      <alignment horizontal="center"/>
    </xf>
    <xf numFmtId="49" fontId="4" fillId="0" borderId="5" xfId="0" applyNumberFormat="1" applyFont="1" applyFill="1" applyBorder="1" applyAlignment="1" applyProtection="1">
      <alignment horizontal="center"/>
    </xf>
    <xf numFmtId="169" fontId="18" fillId="0" borderId="10" xfId="0" applyNumberFormat="1" applyFont="1" applyFill="1" applyBorder="1" applyAlignment="1" applyProtection="1">
      <alignment horizontal="right"/>
    </xf>
    <xf numFmtId="169" fontId="18" fillId="0" borderId="14" xfId="0" applyNumberFormat="1" applyFont="1" applyFill="1" applyBorder="1" applyAlignment="1" applyProtection="1">
      <alignment horizontal="right"/>
    </xf>
    <xf numFmtId="169" fontId="4" fillId="0" borderId="35" xfId="0" applyNumberFormat="1" applyFont="1" applyFill="1" applyBorder="1" applyAlignment="1" applyProtection="1">
      <alignment horizontal="right"/>
    </xf>
    <xf numFmtId="169" fontId="25" fillId="0" borderId="18" xfId="0" applyNumberFormat="1" applyFont="1" applyFill="1" applyBorder="1" applyAlignment="1" applyProtection="1">
      <alignment horizontal="right"/>
    </xf>
    <xf numFmtId="3" fontId="5" fillId="0" borderId="5" xfId="0" applyNumberFormat="1" applyFont="1" applyBorder="1"/>
    <xf numFmtId="3" fontId="7" fillId="0" borderId="0" xfId="0" applyNumberFormat="1" applyFont="1"/>
    <xf numFmtId="3" fontId="5" fillId="12" borderId="10" xfId="0" applyNumberFormat="1" applyFont="1" applyFill="1" applyBorder="1"/>
    <xf numFmtId="3" fontId="8" fillId="12" borderId="10" xfId="0" applyNumberFormat="1" applyFont="1" applyFill="1" applyBorder="1"/>
    <xf numFmtId="3" fontId="5" fillId="12" borderId="4" xfId="0" applyNumberFormat="1" applyFont="1" applyFill="1" applyBorder="1"/>
    <xf numFmtId="3" fontId="5" fillId="10" borderId="7" xfId="0" applyNumberFormat="1" applyFont="1" applyFill="1" applyBorder="1"/>
    <xf numFmtId="3" fontId="4" fillId="10" borderId="7" xfId="0" applyNumberFormat="1" applyFont="1" applyFill="1" applyBorder="1"/>
    <xf numFmtId="3" fontId="5" fillId="10" borderId="10" xfId="0" applyNumberFormat="1" applyFont="1" applyFill="1" applyBorder="1" applyAlignment="1" applyProtection="1"/>
    <xf numFmtId="3" fontId="5" fillId="10" borderId="7" xfId="0" applyNumberFormat="1" applyFont="1" applyFill="1" applyBorder="1" applyAlignment="1" applyProtection="1"/>
    <xf numFmtId="3" fontId="4" fillId="10" borderId="10" xfId="0" applyNumberFormat="1" applyFont="1" applyFill="1" applyBorder="1"/>
    <xf numFmtId="3" fontId="5" fillId="10" borderId="26" xfId="0" applyNumberFormat="1" applyFont="1" applyFill="1" applyBorder="1"/>
    <xf numFmtId="164" fontId="3" fillId="12" borderId="10" xfId="0" applyNumberFormat="1" applyFont="1" applyFill="1" applyBorder="1" applyAlignment="1" applyProtection="1"/>
    <xf numFmtId="169" fontId="18" fillId="12" borderId="10" xfId="0" applyNumberFormat="1" applyFont="1" applyFill="1" applyBorder="1" applyAlignment="1" applyProtection="1">
      <alignment horizontal="right"/>
    </xf>
    <xf numFmtId="169" fontId="10" fillId="12" borderId="10" xfId="0" applyNumberFormat="1" applyFont="1" applyFill="1" applyBorder="1" applyAlignment="1" applyProtection="1">
      <alignment horizontal="right"/>
    </xf>
    <xf numFmtId="169" fontId="4" fillId="12" borderId="10" xfId="0" applyNumberFormat="1" applyFont="1" applyFill="1" applyBorder="1" applyAlignment="1" applyProtection="1"/>
    <xf numFmtId="169" fontId="9" fillId="12" borderId="14" xfId="0" applyNumberFormat="1" applyFont="1" applyFill="1" applyBorder="1" applyAlignment="1" applyProtection="1">
      <alignment horizontal="right"/>
    </xf>
    <xf numFmtId="169" fontId="3" fillId="12" borderId="10" xfId="0" applyNumberFormat="1" applyFont="1" applyFill="1" applyBorder="1" applyAlignment="1" applyProtection="1"/>
    <xf numFmtId="164" fontId="9" fillId="12" borderId="10" xfId="0" applyNumberFormat="1" applyFont="1" applyFill="1" applyBorder="1" applyAlignment="1" applyProtection="1">
      <alignment horizontal="right"/>
    </xf>
    <xf numFmtId="164" fontId="10" fillId="12" borderId="10" xfId="0" applyNumberFormat="1" applyFont="1" applyFill="1" applyBorder="1" applyAlignment="1" applyProtection="1">
      <alignment horizontal="right"/>
    </xf>
    <xf numFmtId="172" fontId="18" fillId="14" borderId="19" xfId="0" applyNumberFormat="1" applyFont="1" applyFill="1" applyBorder="1" applyAlignment="1" applyProtection="1">
      <alignment horizontal="right"/>
    </xf>
    <xf numFmtId="4" fontId="18" fillId="10" borderId="10" xfId="0" applyNumberFormat="1" applyFont="1" applyFill="1" applyBorder="1" applyAlignment="1" applyProtection="1">
      <alignment horizontal="right"/>
    </xf>
    <xf numFmtId="4" fontId="19" fillId="10" borderId="10" xfId="0" applyNumberFormat="1" applyFont="1" applyFill="1" applyBorder="1" applyAlignment="1" applyProtection="1">
      <alignment horizontal="right"/>
    </xf>
    <xf numFmtId="4" fontId="6" fillId="10" borderId="10" xfId="0" applyNumberFormat="1" applyFont="1" applyFill="1" applyBorder="1" applyAlignment="1" applyProtection="1">
      <alignment horizontal="right"/>
    </xf>
    <xf numFmtId="4" fontId="8" fillId="10" borderId="12" xfId="0" applyNumberFormat="1" applyFont="1" applyFill="1" applyBorder="1" applyAlignment="1" applyProtection="1">
      <alignment horizontal="right"/>
    </xf>
    <xf numFmtId="164" fontId="4" fillId="10" borderId="12" xfId="0" applyNumberFormat="1" applyFont="1" applyFill="1" applyBorder="1" applyAlignment="1" applyProtection="1">
      <alignment horizontal="right"/>
    </xf>
    <xf numFmtId="0" fontId="4" fillId="12" borderId="52" xfId="0" applyNumberFormat="1" applyFont="1" applyFill="1" applyBorder="1" applyAlignment="1" applyProtection="1">
      <alignment horizontal="center"/>
    </xf>
    <xf numFmtId="0" fontId="4" fillId="12" borderId="48" xfId="0" applyNumberFormat="1" applyFont="1" applyFill="1" applyBorder="1" applyAlignment="1" applyProtection="1">
      <alignment horizontal="center"/>
    </xf>
    <xf numFmtId="0" fontId="4" fillId="12" borderId="18" xfId="0" applyNumberFormat="1" applyFont="1" applyFill="1" applyBorder="1" applyAlignment="1" applyProtection="1">
      <alignment horizontal="center"/>
    </xf>
    <xf numFmtId="169" fontId="4" fillId="12" borderId="34" xfId="0" applyNumberFormat="1" applyFont="1" applyFill="1" applyBorder="1" applyAlignment="1" applyProtection="1"/>
    <xf numFmtId="169" fontId="5" fillId="12" borderId="15" xfId="0" applyNumberFormat="1" applyFont="1" applyFill="1" applyBorder="1" applyAlignment="1" applyProtection="1"/>
    <xf numFmtId="169" fontId="4" fillId="12" borderId="48" xfId="0" applyNumberFormat="1" applyFont="1" applyFill="1" applyBorder="1" applyAlignment="1" applyProtection="1"/>
    <xf numFmtId="169" fontId="4" fillId="12" borderId="53" xfId="0" applyNumberFormat="1" applyFont="1" applyFill="1" applyBorder="1" applyAlignment="1" applyProtection="1">
      <alignment horizontal="right"/>
    </xf>
    <xf numFmtId="0" fontId="5" fillId="12" borderId="52" xfId="0" applyNumberFormat="1" applyFont="1" applyFill="1" applyBorder="1" applyAlignment="1" applyProtection="1"/>
    <xf numFmtId="0" fontId="4" fillId="10" borderId="37" xfId="0" applyNumberFormat="1" applyFont="1" applyFill="1" applyBorder="1" applyAlignment="1" applyProtection="1">
      <alignment horizontal="center"/>
    </xf>
    <xf numFmtId="3" fontId="4" fillId="10" borderId="6" xfId="0" applyNumberFormat="1" applyFont="1" applyFill="1" applyBorder="1" applyAlignment="1" applyProtection="1">
      <alignment horizontal="center"/>
    </xf>
    <xf numFmtId="168" fontId="4" fillId="10" borderId="3" xfId="0" applyNumberFormat="1" applyFont="1" applyFill="1" applyBorder="1" applyAlignment="1" applyProtection="1"/>
    <xf numFmtId="168" fontId="5" fillId="10" borderId="8" xfId="0" applyNumberFormat="1" applyFont="1" applyFill="1" applyBorder="1" applyAlignment="1" applyProtection="1"/>
    <xf numFmtId="168" fontId="4" fillId="10" borderId="21" xfId="0" applyNumberFormat="1" applyFont="1" applyFill="1" applyBorder="1" applyAlignment="1" applyProtection="1"/>
    <xf numFmtId="168" fontId="4" fillId="10" borderId="8" xfId="0" applyNumberFormat="1" applyFont="1" applyFill="1" applyBorder="1" applyAlignment="1" applyProtection="1"/>
    <xf numFmtId="168" fontId="5" fillId="10" borderId="23" xfId="0" applyNumberFormat="1" applyFont="1" applyFill="1" applyBorder="1" applyAlignment="1" applyProtection="1"/>
    <xf numFmtId="168" fontId="4" fillId="10" borderId="51" xfId="0" applyNumberFormat="1" applyFont="1" applyFill="1" applyBorder="1" applyAlignment="1" applyProtection="1"/>
    <xf numFmtId="0" fontId="34" fillId="0" borderId="0" xfId="0" applyFont="1"/>
    <xf numFmtId="0" fontId="35" fillId="0" borderId="0" xfId="0" applyFont="1"/>
    <xf numFmtId="0" fontId="26" fillId="0" borderId="0" xfId="0" applyFont="1"/>
    <xf numFmtId="0" fontId="35" fillId="0" borderId="4" xfId="0" applyFont="1" applyBorder="1" applyAlignment="1">
      <alignment wrapText="1"/>
    </xf>
    <xf numFmtId="0" fontId="35" fillId="0" borderId="26" xfId="0" applyFont="1" applyBorder="1" applyAlignment="1">
      <alignment wrapText="1"/>
    </xf>
    <xf numFmtId="0" fontId="35" fillId="0" borderId="5" xfId="0" applyFont="1" applyBorder="1" applyAlignment="1">
      <alignment wrapText="1"/>
    </xf>
    <xf numFmtId="0" fontId="35" fillId="0" borderId="28" xfId="0" applyFont="1" applyFill="1" applyBorder="1" applyAlignment="1">
      <alignment wrapText="1"/>
    </xf>
    <xf numFmtId="0" fontId="35" fillId="0" borderId="28" xfId="0" applyFont="1" applyBorder="1"/>
    <xf numFmtId="0" fontId="35" fillId="0" borderId="51" xfId="0" applyFont="1" applyBorder="1"/>
    <xf numFmtId="0" fontId="0" fillId="0" borderId="19" xfId="0" applyFill="1" applyBorder="1"/>
    <xf numFmtId="0" fontId="30" fillId="0" borderId="19" xfId="0" applyFont="1" applyFill="1" applyBorder="1"/>
    <xf numFmtId="0" fontId="26" fillId="9" borderId="37" xfId="0" applyFont="1" applyFill="1" applyBorder="1"/>
    <xf numFmtId="0" fontId="0" fillId="0" borderId="62" xfId="0" applyFill="1" applyBorder="1"/>
    <xf numFmtId="0" fontId="30" fillId="0" borderId="62" xfId="0" applyFont="1" applyFill="1" applyBorder="1"/>
    <xf numFmtId="0" fontId="26" fillId="9" borderId="63" xfId="0" applyFont="1" applyFill="1" applyBorder="1"/>
    <xf numFmtId="0" fontId="35" fillId="0" borderId="17" xfId="0" applyFont="1" applyBorder="1"/>
    <xf numFmtId="0" fontId="35" fillId="0" borderId="56" xfId="0" applyFont="1" applyBorder="1"/>
    <xf numFmtId="0" fontId="35" fillId="0" borderId="14" xfId="0" applyFont="1" applyBorder="1"/>
    <xf numFmtId="3" fontId="35" fillId="0" borderId="14" xfId="0" applyNumberFormat="1" applyFont="1" applyFill="1" applyBorder="1"/>
    <xf numFmtId="0" fontId="35" fillId="0" borderId="54" xfId="0" applyFont="1" applyBorder="1"/>
    <xf numFmtId="0" fontId="35" fillId="0" borderId="0" xfId="0" applyFont="1" applyBorder="1"/>
    <xf numFmtId="3" fontId="35" fillId="0" borderId="0" xfId="0" applyNumberFormat="1" applyFont="1" applyFill="1" applyBorder="1"/>
    <xf numFmtId="0" fontId="35" fillId="0" borderId="36" xfId="0" applyFont="1" applyBorder="1"/>
    <xf numFmtId="0" fontId="26" fillId="0" borderId="66" xfId="0" applyFont="1" applyBorder="1"/>
    <xf numFmtId="0" fontId="0" fillId="0" borderId="66" xfId="0" applyBorder="1"/>
    <xf numFmtId="0" fontId="30" fillId="0" borderId="14" xfId="0" applyFont="1" applyFill="1" applyBorder="1" applyAlignment="1">
      <alignment wrapText="1"/>
    </xf>
    <xf numFmtId="0" fontId="0" fillId="0" borderId="66" xfId="0" applyFill="1" applyBorder="1"/>
    <xf numFmtId="0" fontId="35" fillId="0" borderId="14" xfId="0" applyFont="1" applyFill="1" applyBorder="1" applyAlignment="1">
      <alignment wrapText="1"/>
    </xf>
    <xf numFmtId="0" fontId="0" fillId="0" borderId="43" xfId="0" applyBorder="1"/>
    <xf numFmtId="3" fontId="26" fillId="0" borderId="0" xfId="0" applyNumberFormat="1" applyFont="1"/>
    <xf numFmtId="3" fontId="5" fillId="0" borderId="41" xfId="0" applyNumberFormat="1" applyFont="1" applyFill="1" applyBorder="1" applyAlignment="1" applyProtection="1"/>
    <xf numFmtId="3" fontId="7" fillId="0" borderId="62" xfId="0" applyNumberFormat="1" applyFont="1" applyBorder="1"/>
    <xf numFmtId="0" fontId="0" fillId="0" borderId="62" xfId="0" applyBorder="1"/>
    <xf numFmtId="3" fontId="0" fillId="0" borderId="62" xfId="0" applyNumberFormat="1" applyBorder="1"/>
    <xf numFmtId="0" fontId="16" fillId="0" borderId="62" xfId="0" applyFont="1" applyBorder="1"/>
    <xf numFmtId="0" fontId="7" fillId="0" borderId="62" xfId="0" applyNumberFormat="1" applyFont="1" applyFill="1" applyBorder="1" applyAlignment="1" applyProtection="1"/>
    <xf numFmtId="3" fontId="0" fillId="0" borderId="62" xfId="0" applyNumberFormat="1" applyFont="1" applyBorder="1"/>
    <xf numFmtId="0" fontId="0" fillId="0" borderId="62" xfId="0" applyNumberFormat="1" applyFont="1" applyFill="1" applyBorder="1" applyAlignment="1" applyProtection="1"/>
    <xf numFmtId="0" fontId="3" fillId="0" borderId="62" xfId="0" applyFont="1" applyBorder="1"/>
    <xf numFmtId="0" fontId="0" fillId="0" borderId="12" xfId="0" applyBorder="1"/>
    <xf numFmtId="0" fontId="7" fillId="0" borderId="12" xfId="0" applyFont="1" applyBorder="1"/>
    <xf numFmtId="3" fontId="7" fillId="0" borderId="12" xfId="0" applyNumberFormat="1" applyFont="1" applyBorder="1"/>
    <xf numFmtId="0" fontId="36" fillId="0" borderId="0" xfId="0" applyFont="1"/>
    <xf numFmtId="0" fontId="37" fillId="0" borderId="0" xfId="0" applyFont="1"/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textRotation="88" wrapText="1"/>
    </xf>
    <xf numFmtId="0" fontId="38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9" fillId="4" borderId="19" xfId="0" applyFont="1" applyFill="1" applyBorder="1" applyAlignment="1">
      <alignment vertical="center" wrapText="1"/>
    </xf>
    <xf numFmtId="0" fontId="39" fillId="0" borderId="19" xfId="0" applyFont="1" applyFill="1" applyBorder="1" applyAlignment="1">
      <alignment wrapText="1"/>
    </xf>
    <xf numFmtId="0" fontId="39" fillId="4" borderId="13" xfId="0" applyFont="1" applyFill="1" applyBorder="1" applyAlignment="1">
      <alignment vertical="center" wrapText="1"/>
    </xf>
    <xf numFmtId="0" fontId="39" fillId="0" borderId="62" xfId="0" applyFont="1" applyFill="1" applyBorder="1" applyAlignment="1">
      <alignment wrapText="1"/>
    </xf>
    <xf numFmtId="0" fontId="39" fillId="4" borderId="62" xfId="0" applyFont="1" applyFill="1" applyBorder="1" applyAlignment="1">
      <alignment vertical="center" wrapText="1"/>
    </xf>
    <xf numFmtId="0" fontId="39" fillId="0" borderId="62" xfId="0" applyFont="1" applyFill="1" applyBorder="1" applyAlignment="1">
      <alignment horizontal="center" wrapText="1"/>
    </xf>
    <xf numFmtId="0" fontId="39" fillId="0" borderId="62" xfId="0" applyFont="1" applyFill="1" applyBorder="1" applyAlignment="1">
      <alignment horizontal="left" wrapText="1"/>
    </xf>
    <xf numFmtId="0" fontId="31" fillId="0" borderId="62" xfId="0" applyFont="1" applyFill="1" applyBorder="1" applyAlignment="1">
      <alignment wrapText="1"/>
    </xf>
    <xf numFmtId="0" fontId="40" fillId="0" borderId="14" xfId="0" applyFont="1" applyFill="1" applyBorder="1" applyAlignment="1">
      <alignment wrapText="1"/>
    </xf>
    <xf numFmtId="0" fontId="40" fillId="0" borderId="0" xfId="0" applyFont="1" applyFill="1" applyBorder="1" applyAlignment="1">
      <alignment wrapText="1"/>
    </xf>
    <xf numFmtId="0" fontId="31" fillId="0" borderId="66" xfId="0" applyFont="1" applyFill="1" applyBorder="1" applyAlignment="1">
      <alignment wrapText="1"/>
    </xf>
    <xf numFmtId="0" fontId="26" fillId="0" borderId="32" xfId="0" applyFont="1" applyFill="1" applyBorder="1" applyAlignment="1">
      <alignment vertical="center" wrapText="1"/>
    </xf>
    <xf numFmtId="0" fontId="26" fillId="0" borderId="65" xfId="0" applyFont="1" applyFill="1" applyBorder="1" applyAlignment="1">
      <alignment vertical="center" wrapText="1"/>
    </xf>
    <xf numFmtId="0" fontId="0" fillId="0" borderId="22" xfId="0" applyFont="1" applyFill="1" applyBorder="1" applyAlignment="1">
      <alignment vertical="center" wrapText="1"/>
    </xf>
    <xf numFmtId="0" fontId="16" fillId="0" borderId="65" xfId="0" applyNumberFormat="1" applyFont="1" applyFill="1" applyBorder="1" applyAlignment="1" applyProtection="1">
      <alignment vertical="center" wrapText="1" shrinkToFit="1"/>
    </xf>
    <xf numFmtId="0" fontId="16" fillId="0" borderId="22" xfId="0" applyNumberFormat="1" applyFont="1" applyFill="1" applyBorder="1" applyAlignment="1" applyProtection="1">
      <alignment vertical="center" wrapText="1" shrinkToFit="1"/>
    </xf>
    <xf numFmtId="0" fontId="0" fillId="0" borderId="65" xfId="0" applyFont="1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30" fillId="0" borderId="13" xfId="0" applyFont="1" applyFill="1" applyBorder="1" applyAlignment="1">
      <alignment vertical="center" wrapText="1"/>
    </xf>
    <xf numFmtId="0" fontId="30" fillId="4" borderId="6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" fontId="31" fillId="0" borderId="0" xfId="0" applyNumberFormat="1" applyFont="1" applyFill="1" applyBorder="1" applyAlignment="1"/>
    <xf numFmtId="3" fontId="41" fillId="0" borderId="37" xfId="0" applyNumberFormat="1" applyFont="1" applyFill="1" applyBorder="1" applyAlignment="1" applyProtection="1">
      <alignment horizontal="center"/>
    </xf>
    <xf numFmtId="0" fontId="41" fillId="0" borderId="8" xfId="0" applyNumberFormat="1" applyFont="1" applyFill="1" applyBorder="1" applyAlignment="1" applyProtection="1">
      <alignment horizontal="center"/>
    </xf>
    <xf numFmtId="3" fontId="41" fillId="0" borderId="6" xfId="0" applyNumberFormat="1" applyFont="1" applyFill="1" applyBorder="1" applyAlignment="1" applyProtection="1">
      <alignment horizontal="center"/>
    </xf>
    <xf numFmtId="3" fontId="41" fillId="0" borderId="3" xfId="0" applyNumberFormat="1" applyFont="1" applyFill="1" applyBorder="1" applyAlignment="1" applyProtection="1"/>
    <xf numFmtId="3" fontId="31" fillId="0" borderId="8" xfId="0" applyNumberFormat="1" applyFont="1" applyFill="1" applyBorder="1" applyAlignment="1" applyProtection="1"/>
    <xf numFmtId="3" fontId="41" fillId="0" borderId="21" xfId="0" applyNumberFormat="1" applyFont="1" applyFill="1" applyBorder="1" applyAlignment="1" applyProtection="1"/>
    <xf numFmtId="3" fontId="31" fillId="0" borderId="23" xfId="0" applyNumberFormat="1" applyFont="1" applyFill="1" applyBorder="1" applyAlignment="1" applyProtection="1"/>
    <xf numFmtId="3" fontId="41" fillId="0" borderId="8" xfId="0" applyNumberFormat="1" applyFont="1" applyFill="1" applyBorder="1" applyAlignment="1" applyProtection="1"/>
    <xf numFmtId="0" fontId="31" fillId="0" borderId="8" xfId="0" applyNumberFormat="1" applyFont="1" applyFill="1" applyBorder="1" applyAlignment="1" applyProtection="1"/>
    <xf numFmtId="3" fontId="31" fillId="0" borderId="10" xfId="0" applyNumberFormat="1" applyFont="1" applyFill="1" applyBorder="1" applyAlignment="1" applyProtection="1"/>
    <xf numFmtId="3" fontId="31" fillId="0" borderId="45" xfId="0" applyNumberFormat="1" applyFont="1" applyFill="1" applyBorder="1" applyAlignment="1" applyProtection="1"/>
    <xf numFmtId="0" fontId="31" fillId="0" borderId="0" xfId="0" applyFont="1" applyFill="1"/>
    <xf numFmtId="3" fontId="41" fillId="0" borderId="51" xfId="0" applyNumberFormat="1" applyFont="1" applyFill="1" applyBorder="1" applyAlignment="1" applyProtection="1"/>
    <xf numFmtId="3" fontId="31" fillId="0" borderId="0" xfId="0" applyNumberFormat="1" applyFont="1" applyFill="1" applyBorder="1" applyAlignment="1" applyProtection="1"/>
    <xf numFmtId="0" fontId="30" fillId="0" borderId="62" xfId="0" applyFont="1" applyFill="1" applyBorder="1" applyAlignment="1">
      <alignment horizontal="left"/>
    </xf>
    <xf numFmtId="0" fontId="0" fillId="0" borderId="19" xfId="0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6" fillId="0" borderId="62" xfId="0" applyFont="1" applyFill="1" applyBorder="1" applyAlignment="1">
      <alignment horizontal="center" vertical="center" wrapText="1"/>
    </xf>
    <xf numFmtId="0" fontId="26" fillId="4" borderId="57" xfId="0" applyFont="1" applyFill="1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26" fillId="4" borderId="62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26" fillId="7" borderId="62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3" fontId="4" fillId="18" borderId="12" xfId="0" applyNumberFormat="1" applyFont="1" applyFill="1" applyBorder="1" applyAlignment="1" applyProtection="1">
      <alignment horizontal="right"/>
    </xf>
    <xf numFmtId="170" fontId="4" fillId="18" borderId="5" xfId="0" applyNumberFormat="1" applyFont="1" applyFill="1" applyBorder="1" applyAlignment="1" applyProtection="1">
      <alignment horizontal="center"/>
    </xf>
    <xf numFmtId="3" fontId="9" fillId="18" borderId="10" xfId="0" applyNumberFormat="1" applyFont="1" applyFill="1" applyBorder="1" applyAlignment="1" applyProtection="1">
      <alignment horizontal="right"/>
    </xf>
    <xf numFmtId="172" fontId="10" fillId="18" borderId="10" xfId="0" applyNumberFormat="1" applyFont="1" applyFill="1" applyBorder="1" applyAlignment="1" applyProtection="1">
      <alignment horizontal="right"/>
    </xf>
    <xf numFmtId="3" fontId="10" fillId="18" borderId="10" xfId="0" applyNumberFormat="1" applyFont="1" applyFill="1" applyBorder="1" applyAlignment="1" applyProtection="1">
      <alignment horizontal="right"/>
    </xf>
    <xf numFmtId="173" fontId="10" fillId="18" borderId="10" xfId="0" applyNumberFormat="1" applyFont="1" applyFill="1" applyBorder="1" applyAlignment="1" applyProtection="1">
      <alignment horizontal="right"/>
    </xf>
    <xf numFmtId="3" fontId="6" fillId="18" borderId="10" xfId="0" applyNumberFormat="1" applyFont="1" applyFill="1" applyBorder="1" applyAlignment="1" applyProtection="1">
      <alignment horizontal="right"/>
    </xf>
    <xf numFmtId="169" fontId="10" fillId="18" borderId="10" xfId="0" applyNumberFormat="1" applyFont="1" applyFill="1" applyBorder="1" applyAlignment="1" applyProtection="1">
      <alignment horizontal="right"/>
    </xf>
    <xf numFmtId="3" fontId="9" fillId="18" borderId="14" xfId="0" applyNumberFormat="1" applyFont="1" applyFill="1" applyBorder="1" applyAlignment="1" applyProtection="1">
      <alignment horizontal="right"/>
    </xf>
    <xf numFmtId="3" fontId="19" fillId="18" borderId="10" xfId="0" applyNumberFormat="1" applyFont="1" applyFill="1" applyBorder="1" applyAlignment="1" applyProtection="1">
      <alignment horizontal="right"/>
    </xf>
    <xf numFmtId="3" fontId="4" fillId="18" borderId="14" xfId="0" applyNumberFormat="1" applyFont="1" applyFill="1" applyBorder="1" applyAlignment="1" applyProtection="1">
      <alignment horizontal="right"/>
    </xf>
    <xf numFmtId="0" fontId="4" fillId="18" borderId="20" xfId="0" applyNumberFormat="1" applyFont="1" applyFill="1" applyBorder="1" applyAlignment="1" applyProtection="1">
      <alignment horizontal="center"/>
    </xf>
    <xf numFmtId="0" fontId="4" fillId="18" borderId="21" xfId="0" applyNumberFormat="1" applyFont="1" applyFill="1" applyBorder="1" applyAlignment="1" applyProtection="1">
      <alignment horizontal="center"/>
    </xf>
    <xf numFmtId="0" fontId="4" fillId="18" borderId="4" xfId="0" applyNumberFormat="1" applyFont="1" applyFill="1" applyBorder="1" applyAlignment="1" applyProtection="1">
      <alignment horizontal="center"/>
    </xf>
    <xf numFmtId="0" fontId="4" fillId="18" borderId="6" xfId="0" applyNumberFormat="1" applyFont="1" applyFill="1" applyBorder="1" applyAlignment="1" applyProtection="1">
      <alignment horizontal="center"/>
    </xf>
    <xf numFmtId="3" fontId="4" fillId="18" borderId="1" xfId="0" applyNumberFormat="1" applyFont="1" applyFill="1" applyBorder="1" applyAlignment="1" applyProtection="1"/>
    <xf numFmtId="3" fontId="4" fillId="18" borderId="3" xfId="0" applyNumberFormat="1" applyFont="1" applyFill="1" applyBorder="1" applyAlignment="1" applyProtection="1"/>
    <xf numFmtId="1" fontId="5" fillId="18" borderId="9" xfId="0" applyNumberFormat="1" applyFont="1" applyFill="1" applyBorder="1" applyAlignment="1" applyProtection="1"/>
    <xf numFmtId="0" fontId="5" fillId="18" borderId="8" xfId="0" applyNumberFormat="1" applyFont="1" applyFill="1" applyBorder="1" applyAlignment="1" applyProtection="1"/>
    <xf numFmtId="3" fontId="4" fillId="18" borderId="20" xfId="0" applyNumberFormat="1" applyFont="1" applyFill="1" applyBorder="1" applyAlignment="1" applyProtection="1"/>
    <xf numFmtId="3" fontId="4" fillId="18" borderId="21" xfId="0" applyNumberFormat="1" applyFont="1" applyFill="1" applyBorder="1" applyAlignment="1" applyProtection="1"/>
    <xf numFmtId="0" fontId="5" fillId="18" borderId="9" xfId="0" applyNumberFormat="1" applyFont="1" applyFill="1" applyBorder="1" applyAlignment="1" applyProtection="1"/>
    <xf numFmtId="0" fontId="28" fillId="18" borderId="22" xfId="0" applyNumberFormat="1" applyFont="1" applyFill="1" applyBorder="1" applyAlignment="1" applyProtection="1"/>
    <xf numFmtId="0" fontId="5" fillId="18" borderId="23" xfId="0" applyNumberFormat="1" applyFont="1" applyFill="1" applyBorder="1" applyAlignment="1" applyProtection="1"/>
    <xf numFmtId="3" fontId="4" fillId="18" borderId="9" xfId="0" applyNumberFormat="1" applyFont="1" applyFill="1" applyBorder="1" applyAlignment="1" applyProtection="1"/>
    <xf numFmtId="3" fontId="4" fillId="18" borderId="8" xfId="0" applyNumberFormat="1" applyFont="1" applyFill="1" applyBorder="1" applyAlignment="1" applyProtection="1"/>
    <xf numFmtId="1" fontId="5" fillId="18" borderId="22" xfId="0" applyNumberFormat="1" applyFont="1" applyFill="1" applyBorder="1" applyAlignment="1" applyProtection="1"/>
    <xf numFmtId="3" fontId="5" fillId="18" borderId="9" xfId="0" applyNumberFormat="1" applyFont="1" applyFill="1" applyBorder="1" applyAlignment="1" applyProtection="1"/>
    <xf numFmtId="3" fontId="5" fillId="18" borderId="8" xfId="0" applyNumberFormat="1" applyFont="1" applyFill="1" applyBorder="1" applyAlignment="1" applyProtection="1"/>
    <xf numFmtId="1" fontId="5" fillId="18" borderId="8" xfId="0" applyNumberFormat="1" applyFont="1" applyFill="1" applyBorder="1" applyAlignment="1" applyProtection="1"/>
    <xf numFmtId="3" fontId="5" fillId="18" borderId="22" xfId="0" applyNumberFormat="1" applyFont="1" applyFill="1" applyBorder="1" applyAlignment="1" applyProtection="1"/>
    <xf numFmtId="0" fontId="5" fillId="18" borderId="22" xfId="0" applyNumberFormat="1" applyFont="1" applyFill="1" applyBorder="1" applyAlignment="1" applyProtection="1"/>
    <xf numFmtId="3" fontId="6" fillId="18" borderId="9" xfId="0" applyNumberFormat="1" applyFont="1" applyFill="1" applyBorder="1" applyAlignment="1" applyProtection="1"/>
    <xf numFmtId="3" fontId="4" fillId="18" borderId="12" xfId="0" applyNumberFormat="1" applyFont="1" applyFill="1" applyBorder="1" applyAlignment="1" applyProtection="1"/>
    <xf numFmtId="3" fontId="4" fillId="18" borderId="33" xfId="0" applyNumberFormat="1" applyFont="1" applyFill="1" applyBorder="1" applyAlignment="1" applyProtection="1"/>
    <xf numFmtId="0" fontId="5" fillId="18" borderId="32" xfId="0" applyNumberFormat="1" applyFont="1" applyFill="1" applyBorder="1" applyAlignment="1" applyProtection="1"/>
    <xf numFmtId="0" fontId="5" fillId="18" borderId="37" xfId="0" applyNumberFormat="1" applyFont="1" applyFill="1" applyBorder="1" applyAlignment="1" applyProtection="1"/>
    <xf numFmtId="0" fontId="5" fillId="19" borderId="41" xfId="0" applyFont="1" applyFill="1" applyBorder="1" applyAlignment="1">
      <alignment horizontal="center"/>
    </xf>
    <xf numFmtId="0" fontId="5" fillId="19" borderId="40" xfId="0" applyFont="1" applyFill="1" applyBorder="1" applyAlignment="1">
      <alignment horizontal="center"/>
    </xf>
    <xf numFmtId="3" fontId="5" fillId="19" borderId="41" xfId="0" applyNumberFormat="1" applyFont="1" applyFill="1" applyBorder="1"/>
    <xf numFmtId="3" fontId="4" fillId="19" borderId="44" xfId="0" applyNumberFormat="1" applyFont="1" applyFill="1" applyBorder="1"/>
    <xf numFmtId="0" fontId="5" fillId="19" borderId="41" xfId="0" applyFont="1" applyFill="1" applyBorder="1"/>
    <xf numFmtId="0" fontId="4" fillId="19" borderId="44" xfId="0" applyFont="1" applyFill="1" applyBorder="1"/>
    <xf numFmtId="3" fontId="4" fillId="19" borderId="41" xfId="0" applyNumberFormat="1" applyFont="1" applyFill="1" applyBorder="1"/>
    <xf numFmtId="0" fontId="4" fillId="19" borderId="9" xfId="0" applyFont="1" applyFill="1" applyBorder="1"/>
    <xf numFmtId="3" fontId="4" fillId="19" borderId="22" xfId="0" applyNumberFormat="1" applyFont="1" applyFill="1" applyBorder="1"/>
    <xf numFmtId="0" fontId="4" fillId="19" borderId="20" xfId="0" applyFont="1" applyFill="1" applyBorder="1"/>
    <xf numFmtId="3" fontId="4" fillId="19" borderId="20" xfId="0" applyNumberFormat="1" applyFont="1" applyFill="1" applyBorder="1"/>
    <xf numFmtId="3" fontId="4" fillId="19" borderId="9" xfId="0" applyNumberFormat="1" applyFont="1" applyFill="1" applyBorder="1"/>
    <xf numFmtId="0" fontId="4" fillId="19" borderId="41" xfId="0" applyFont="1" applyFill="1" applyBorder="1"/>
    <xf numFmtId="0" fontId="4" fillId="19" borderId="47" xfId="0" applyFont="1" applyFill="1" applyBorder="1"/>
    <xf numFmtId="1" fontId="4" fillId="19" borderId="44" xfId="0" applyNumberFormat="1" applyFont="1" applyFill="1" applyBorder="1"/>
    <xf numFmtId="3" fontId="4" fillId="19" borderId="47" xfId="0" applyNumberFormat="1" applyFont="1" applyFill="1" applyBorder="1"/>
    <xf numFmtId="0" fontId="5" fillId="12" borderId="15" xfId="0" applyFont="1" applyFill="1" applyBorder="1" applyAlignment="1">
      <alignment horizontal="center"/>
    </xf>
    <xf numFmtId="49" fontId="5" fillId="12" borderId="18" xfId="0" applyNumberFormat="1" applyFont="1" applyFill="1" applyBorder="1" applyAlignment="1">
      <alignment horizontal="center"/>
    </xf>
    <xf numFmtId="0" fontId="16" fillId="12" borderId="15" xfId="0" applyFont="1" applyFill="1" applyBorder="1"/>
    <xf numFmtId="3" fontId="16" fillId="12" borderId="45" xfId="0" applyNumberFormat="1" applyFont="1" applyFill="1" applyBorder="1"/>
    <xf numFmtId="49" fontId="16" fillId="12" borderId="15" xfId="0" applyNumberFormat="1" applyFont="1" applyFill="1" applyBorder="1" applyAlignment="1">
      <alignment horizontal="center"/>
    </xf>
    <xf numFmtId="1" fontId="16" fillId="12" borderId="45" xfId="0" applyNumberFormat="1" applyFont="1" applyFill="1" applyBorder="1"/>
    <xf numFmtId="1" fontId="16" fillId="12" borderId="15" xfId="0" applyNumberFormat="1" applyFont="1" applyFill="1" applyBorder="1"/>
    <xf numFmtId="1" fontId="16" fillId="12" borderId="48" xfId="0" applyNumberFormat="1" applyFont="1" applyFill="1" applyBorder="1"/>
    <xf numFmtId="0" fontId="42" fillId="0" borderId="12" xfId="0" applyNumberFormat="1" applyFont="1" applyFill="1" applyBorder="1" applyAlignment="1" applyProtection="1">
      <alignment horizontal="right"/>
    </xf>
    <xf numFmtId="0" fontId="42" fillId="0" borderId="5" xfId="0" applyNumberFormat="1" applyFont="1" applyFill="1" applyBorder="1" applyAlignment="1" applyProtection="1">
      <alignment horizontal="right"/>
    </xf>
    <xf numFmtId="3" fontId="4" fillId="0" borderId="12" xfId="0" applyNumberFormat="1" applyFont="1" applyFill="1" applyBorder="1" applyAlignment="1" applyProtection="1">
      <alignment horizontal="center"/>
    </xf>
    <xf numFmtId="164" fontId="4" fillId="0" borderId="12" xfId="0" applyNumberFormat="1" applyFont="1" applyFill="1" applyBorder="1" applyAlignment="1" applyProtection="1">
      <alignment horizontal="center"/>
    </xf>
    <xf numFmtId="0" fontId="43" fillId="0" borderId="0" xfId="0" applyFont="1"/>
    <xf numFmtId="0" fontId="8" fillId="0" borderId="0" xfId="0" applyFont="1"/>
    <xf numFmtId="0" fontId="4" fillId="18" borderId="60" xfId="0" applyNumberFormat="1" applyFont="1" applyFill="1" applyBorder="1" applyAlignment="1" applyProtection="1">
      <alignment horizontal="center"/>
    </xf>
    <xf numFmtId="0" fontId="0" fillId="18" borderId="61" xfId="0" applyFill="1" applyBorder="1" applyAlignment="1">
      <alignment horizontal="center"/>
    </xf>
    <xf numFmtId="0" fontId="38" fillId="0" borderId="55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</cellXfs>
  <cellStyles count="3">
    <cellStyle name="Normální" xfId="0" builtinId="0"/>
    <cellStyle name="Normální 2" xfId="1"/>
    <cellStyle name="Procenta" xfId="2" builtinId="5"/>
  </cellStyles>
  <dxfs count="5"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Arial CE"/>
        <scheme val="none"/>
      </font>
    </dxf>
  </dxfs>
  <tableStyles count="0" defaultTableStyle="TableStyleMedium2" defaultPivotStyle="PivotStyleLight16"/>
  <colors>
    <mruColors>
      <color rgb="FFFFFF99"/>
      <color rgb="FFCC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ulka2" displayName="Tabulka2" ref="A2:C31" totalsRowShown="0" headerRowDxfId="4" tableBorderDxfId="3">
  <tableColumns count="3">
    <tableColumn id="1" name=":)" dataDxfId="2"/>
    <tableColumn id="2" name="Závazné ukazatele rozpočtu na rok 2022 " dataDxfId="1"/>
    <tableColumn id="3" name="tis. Kč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V64"/>
  <sheetViews>
    <sheetView tabSelected="1" zoomScaleNormal="100" workbookViewId="0"/>
  </sheetViews>
  <sheetFormatPr defaultColWidth="7.85546875" defaultRowHeight="12.75" x14ac:dyDescent="0.2"/>
  <cols>
    <col min="1" max="1" width="7.42578125" style="93" customWidth="1"/>
    <col min="2" max="2" width="22.85546875" style="93" customWidth="1"/>
    <col min="3" max="3" width="10.28515625" style="101" customWidth="1"/>
    <col min="4" max="4" width="9.42578125" style="93" customWidth="1"/>
    <col min="5" max="5" width="9.5703125" style="110" bestFit="1" customWidth="1"/>
    <col min="6" max="6" width="4.85546875" style="93" bestFit="1" customWidth="1"/>
    <col min="7" max="7" width="9.5703125" style="93" hidden="1" customWidth="1"/>
    <col min="8" max="8" width="11.42578125" style="93" hidden="1" customWidth="1"/>
    <col min="9" max="9" width="9" style="93" hidden="1" customWidth="1"/>
    <col min="10" max="10" width="10.7109375" style="93" hidden="1" customWidth="1"/>
    <col min="11" max="11" width="10" style="93" hidden="1" customWidth="1"/>
    <col min="12" max="12" width="8.5703125" style="93" hidden="1" customWidth="1"/>
    <col min="13" max="13" width="8.5703125" style="93" bestFit="1" customWidth="1"/>
    <col min="14" max="14" width="9.42578125" style="93" bestFit="1" customWidth="1"/>
    <col min="15" max="15" width="16.42578125" style="93" customWidth="1"/>
    <col min="16" max="16" width="12.28515625" style="93" customWidth="1"/>
    <col min="17" max="17" width="9.140625" style="93" customWidth="1"/>
    <col min="18" max="19" width="12.42578125" style="93" hidden="1" customWidth="1"/>
    <col min="20" max="20" width="15" style="93" customWidth="1"/>
    <col min="21" max="21" width="11.28515625" style="93" customWidth="1"/>
    <col min="22" max="16384" width="7.85546875" style="93"/>
  </cols>
  <sheetData>
    <row r="1" spans="1:22" s="1" customFormat="1" ht="18" x14ac:dyDescent="0.25">
      <c r="B1" s="103" t="s">
        <v>485</v>
      </c>
      <c r="C1" s="2"/>
      <c r="E1" s="165"/>
    </row>
    <row r="2" spans="1:22" s="1" customFormat="1" ht="15.75" x14ac:dyDescent="0.25">
      <c r="B2" s="3" t="s">
        <v>599</v>
      </c>
      <c r="C2" s="156"/>
      <c r="D2" s="156"/>
      <c r="E2" s="16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22" s="1" customFormat="1" ht="15.75" x14ac:dyDescent="0.25">
      <c r="B3" s="3" t="s">
        <v>600</v>
      </c>
      <c r="C3" s="156"/>
      <c r="D3" s="156"/>
      <c r="E3" s="166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1:22" s="1" customFormat="1" ht="15.75" x14ac:dyDescent="0.25">
      <c r="B4" s="3" t="s">
        <v>601</v>
      </c>
      <c r="C4" s="156"/>
      <c r="D4" s="156"/>
      <c r="E4" s="166"/>
      <c r="F4" s="156"/>
      <c r="G4" s="156"/>
      <c r="H4" s="156"/>
      <c r="I4" s="156"/>
      <c r="J4" s="156"/>
      <c r="K4" s="156"/>
      <c r="L4" s="156"/>
      <c r="M4" s="156"/>
      <c r="N4" s="156"/>
      <c r="O4" s="417"/>
    </row>
    <row r="5" spans="1:22" s="1" customFormat="1" ht="15.75" x14ac:dyDescent="0.25">
      <c r="B5" s="3" t="s">
        <v>602</v>
      </c>
      <c r="C5" s="2"/>
      <c r="E5" s="166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1:22" ht="13.5" thickBot="1" x14ac:dyDescent="0.25">
      <c r="B6" s="3"/>
      <c r="O6" s="126"/>
    </row>
    <row r="7" spans="1:22" s="3" customFormat="1" x14ac:dyDescent="0.2">
      <c r="A7" s="172"/>
      <c r="B7" s="4"/>
      <c r="C7" s="5" t="s">
        <v>2</v>
      </c>
      <c r="D7" s="155" t="s">
        <v>127</v>
      </c>
      <c r="E7" s="167" t="s">
        <v>97</v>
      </c>
      <c r="F7" s="6" t="s">
        <v>4</v>
      </c>
      <c r="G7" s="77" t="s">
        <v>5</v>
      </c>
      <c r="H7" s="6" t="s">
        <v>4</v>
      </c>
      <c r="I7" s="77" t="s">
        <v>5</v>
      </c>
      <c r="J7" s="6" t="s">
        <v>4</v>
      </c>
      <c r="K7" s="77" t="s">
        <v>5</v>
      </c>
      <c r="L7" s="6" t="s">
        <v>4</v>
      </c>
      <c r="M7" s="77" t="s">
        <v>5</v>
      </c>
      <c r="N7" s="6" t="s">
        <v>4</v>
      </c>
      <c r="O7" s="179" t="s">
        <v>401</v>
      </c>
      <c r="P7" s="77" t="s">
        <v>2</v>
      </c>
      <c r="Q7" s="151" t="s">
        <v>403</v>
      </c>
      <c r="R7" s="321" t="s">
        <v>299</v>
      </c>
      <c r="S7" s="321" t="s">
        <v>183</v>
      </c>
    </row>
    <row r="8" spans="1:22" s="3" customFormat="1" ht="13.5" thickBot="1" x14ac:dyDescent="0.25">
      <c r="A8" s="173"/>
      <c r="B8" s="7"/>
      <c r="C8" s="8">
        <v>2021</v>
      </c>
      <c r="D8" s="8">
        <v>2021</v>
      </c>
      <c r="E8" s="168" t="s">
        <v>92</v>
      </c>
      <c r="F8" s="80"/>
      <c r="G8" s="78" t="s">
        <v>388</v>
      </c>
      <c r="H8" s="9" t="s">
        <v>6</v>
      </c>
      <c r="I8" s="78" t="s">
        <v>389</v>
      </c>
      <c r="J8" s="9" t="s">
        <v>6</v>
      </c>
      <c r="K8" s="78" t="s">
        <v>390</v>
      </c>
      <c r="L8" s="9" t="s">
        <v>6</v>
      </c>
      <c r="M8" s="78" t="s">
        <v>391</v>
      </c>
      <c r="N8" s="9" t="s">
        <v>6</v>
      </c>
      <c r="O8" s="150" t="s">
        <v>402</v>
      </c>
      <c r="P8" s="149">
        <v>2022</v>
      </c>
      <c r="Q8" s="9" t="s">
        <v>586</v>
      </c>
      <c r="R8" s="322" t="s">
        <v>394</v>
      </c>
      <c r="S8" s="322" t="s">
        <v>395</v>
      </c>
    </row>
    <row r="9" spans="1:22" x14ac:dyDescent="0.2">
      <c r="A9" s="174"/>
      <c r="B9" s="100" t="s">
        <v>7</v>
      </c>
      <c r="C9" s="10">
        <f>příjmy!F159</f>
        <v>87644</v>
      </c>
      <c r="D9" s="16">
        <f>+příjmy!G159</f>
        <v>0</v>
      </c>
      <c r="E9" s="348">
        <f>SUM(C9:D9)</f>
        <v>87644</v>
      </c>
      <c r="F9" s="81">
        <f>C9/C13</f>
        <v>0.50757211608068431</v>
      </c>
      <c r="G9" s="10">
        <f>+příjmy!I159</f>
        <v>25465.954819999999</v>
      </c>
      <c r="H9" s="11">
        <f>G9/$E9*100</f>
        <v>29.056130277029801</v>
      </c>
      <c r="I9" s="10">
        <f>+příjmy!K159</f>
        <v>49243.194110000004</v>
      </c>
      <c r="J9" s="11">
        <f>I9/$E9*100</f>
        <v>56.185470893615083</v>
      </c>
      <c r="K9" s="10">
        <f>příjmy!M159</f>
        <v>75137.680330000003</v>
      </c>
      <c r="L9" s="11">
        <f t="shared" ref="L9:L16" si="0">K9/$E9*100</f>
        <v>85.730546677467942</v>
      </c>
      <c r="M9" s="348">
        <f>+příjmy!O159</f>
        <v>102829.70203</v>
      </c>
      <c r="N9" s="11">
        <f t="shared" ref="N9:N16" si="1">M9/$E9*100</f>
        <v>117.32657344484505</v>
      </c>
      <c r="O9" s="460">
        <f>M9-E9</f>
        <v>15185.70203</v>
      </c>
      <c r="P9" s="463">
        <f>příjmy!S159</f>
        <v>103445</v>
      </c>
      <c r="Q9" s="152">
        <f>P9/C9</f>
        <v>1.1802861576377162</v>
      </c>
      <c r="R9" s="262" t="e">
        <f>příjmy!#REF!</f>
        <v>#REF!</v>
      </c>
      <c r="S9" s="262" t="e">
        <f>R9-E9</f>
        <v>#REF!</v>
      </c>
      <c r="V9" s="110"/>
    </row>
    <row r="10" spans="1:22" x14ac:dyDescent="0.2">
      <c r="A10" s="174"/>
      <c r="B10" s="100" t="s">
        <v>8</v>
      </c>
      <c r="C10" s="10">
        <f>příjmy!F160</f>
        <v>26774</v>
      </c>
      <c r="D10" s="16">
        <f>+příjmy!G160</f>
        <v>1414.45291</v>
      </c>
      <c r="E10" s="348">
        <f>SUM(C10:D10)</f>
        <v>28188.45291</v>
      </c>
      <c r="F10" s="81">
        <f>C10/C13</f>
        <v>0.15505608867628407</v>
      </c>
      <c r="G10" s="10">
        <f>+příjmy!I160</f>
        <v>6104.642890000001</v>
      </c>
      <c r="H10" s="11">
        <f t="shared" ref="H10:H15" si="2">G10/$E10*100</f>
        <v>21.656537552773418</v>
      </c>
      <c r="I10" s="10">
        <f>+příjmy!K160</f>
        <v>12664.901539999999</v>
      </c>
      <c r="J10" s="11">
        <f t="shared" ref="J10:J15" si="3">I10/$E10*100</f>
        <v>44.929395665794267</v>
      </c>
      <c r="K10" s="10">
        <f>příjmy!M160</f>
        <v>22673.655440000002</v>
      </c>
      <c r="L10" s="11">
        <f t="shared" si="0"/>
        <v>80.435969694372289</v>
      </c>
      <c r="M10" s="348">
        <f>+příjmy!O160</f>
        <v>31830.267920000002</v>
      </c>
      <c r="N10" s="11">
        <f t="shared" si="1"/>
        <v>112.91952779965462</v>
      </c>
      <c r="O10" s="460">
        <f t="shared" ref="O10:O18" si="4">M10-E10</f>
        <v>3641.8150100000021</v>
      </c>
      <c r="P10" s="463">
        <f>příjmy!S160</f>
        <v>31040</v>
      </c>
      <c r="Q10" s="152">
        <f>P10/C10</f>
        <v>1.1593336819302309</v>
      </c>
      <c r="R10" s="262" t="e">
        <f>příjmy!#REF!</f>
        <v>#REF!</v>
      </c>
      <c r="S10" s="262" t="e">
        <f>R10-E10</f>
        <v>#REF!</v>
      </c>
      <c r="V10" s="110"/>
    </row>
    <row r="11" spans="1:22" x14ac:dyDescent="0.2">
      <c r="A11" s="174"/>
      <c r="B11" s="100" t="s">
        <v>9</v>
      </c>
      <c r="C11" s="10">
        <f>příjmy!F163</f>
        <v>5949</v>
      </c>
      <c r="D11" s="16">
        <f>+příjmy!G163</f>
        <v>14316.153999999999</v>
      </c>
      <c r="E11" s="348">
        <f>SUM(C11:D11)</f>
        <v>20265.153999999999</v>
      </c>
      <c r="F11" s="81">
        <f>C11/C13</f>
        <v>3.4452404255442368E-2</v>
      </c>
      <c r="G11" s="10">
        <f>+příjmy!I163</f>
        <v>2401.2350000000001</v>
      </c>
      <c r="H11" s="11">
        <f t="shared" si="2"/>
        <v>11.849083406916129</v>
      </c>
      <c r="I11" s="10">
        <f>+příjmy!K163</f>
        <v>4538.7219999999998</v>
      </c>
      <c r="J11" s="11">
        <f t="shared" si="3"/>
        <v>22.396681515472324</v>
      </c>
      <c r="K11" s="10">
        <f>příjmy!M163</f>
        <v>4559.482</v>
      </c>
      <c r="L11" s="11">
        <f t="shared" si="0"/>
        <v>22.499123372070105</v>
      </c>
      <c r="M11" s="348">
        <f>+příjmy!O163</f>
        <v>26949.505999999998</v>
      </c>
      <c r="N11" s="11">
        <f t="shared" si="1"/>
        <v>132.98446189947532</v>
      </c>
      <c r="O11" s="460">
        <f t="shared" si="4"/>
        <v>6684.351999999999</v>
      </c>
      <c r="P11" s="463">
        <f>příjmy!S163</f>
        <v>18097</v>
      </c>
      <c r="Q11" s="152">
        <f t="shared" ref="Q11:Q15" si="5">P11/C11</f>
        <v>3.0420238695579087</v>
      </c>
      <c r="R11" s="262" t="e">
        <f>příjmy!#REF!</f>
        <v>#REF!</v>
      </c>
      <c r="S11" s="262" t="e">
        <f>R11-E11</f>
        <v>#REF!</v>
      </c>
      <c r="V11" s="110"/>
    </row>
    <row r="12" spans="1:22" x14ac:dyDescent="0.2">
      <c r="A12" s="174"/>
      <c r="B12" s="100" t="s">
        <v>10</v>
      </c>
      <c r="C12" s="10">
        <f>příjmy!F161+příjmy!F164</f>
        <v>52306</v>
      </c>
      <c r="D12" s="16">
        <f>+příjmy!G161+příjmy!G164</f>
        <v>19269.669990000002</v>
      </c>
      <c r="E12" s="348">
        <f>SUM(C12:D12)</f>
        <v>71575.669989999995</v>
      </c>
      <c r="F12" s="81">
        <f>C12/C13</f>
        <v>0.30291939098758924</v>
      </c>
      <c r="G12" s="10">
        <f>+příjmy!I161+příjmy!I164</f>
        <v>23779.004990000001</v>
      </c>
      <c r="H12" s="11">
        <f t="shared" si="2"/>
        <v>33.222189877261677</v>
      </c>
      <c r="I12" s="10">
        <f>+příjmy!K161+příjmy!K164</f>
        <v>48587.899440000001</v>
      </c>
      <c r="J12" s="11">
        <f t="shared" si="3"/>
        <v>67.883261793830684</v>
      </c>
      <c r="K12" s="10">
        <f>příjmy!M161+příjmy!M164</f>
        <v>63462.088439999992</v>
      </c>
      <c r="L12" s="11">
        <f t="shared" si="0"/>
        <v>88.664330279921131</v>
      </c>
      <c r="M12" s="348">
        <f>+příjmy!O161+příjmy!O164</f>
        <v>71706.208830000003</v>
      </c>
      <c r="N12" s="11">
        <f t="shared" si="1"/>
        <v>100.18237878879548</v>
      </c>
      <c r="O12" s="460">
        <f t="shared" si="4"/>
        <v>130.53884000000835</v>
      </c>
      <c r="P12" s="463">
        <f>příjmy!S161+příjmy!S164</f>
        <v>33800</v>
      </c>
      <c r="Q12" s="152">
        <f t="shared" si="5"/>
        <v>0.64619737697396096</v>
      </c>
      <c r="R12" s="262" t="e">
        <f>příjmy!#REF!+příjmy!#REF!</f>
        <v>#REF!</v>
      </c>
      <c r="S12" s="262" t="e">
        <f>R12-E12</f>
        <v>#REF!</v>
      </c>
      <c r="V12" s="110"/>
    </row>
    <row r="13" spans="1:22" s="3" customFormat="1" x14ac:dyDescent="0.2">
      <c r="A13" s="175"/>
      <c r="B13" s="12" t="s">
        <v>11</v>
      </c>
      <c r="C13" s="13">
        <f>SUM(C9:C12)</f>
        <v>172673</v>
      </c>
      <c r="D13" s="90">
        <f>SUM(D9:D12)</f>
        <v>35000.276899999997</v>
      </c>
      <c r="E13" s="421">
        <f>SUM(E9:E12)</f>
        <v>207673.2769</v>
      </c>
      <c r="F13" s="82">
        <f>SUM(F9:F12)</f>
        <v>1</v>
      </c>
      <c r="G13" s="13">
        <f>SUM(G9:G12)</f>
        <v>57750.837700000004</v>
      </c>
      <c r="H13" s="14">
        <f>G13/$E13*100</f>
        <v>27.808506978877457</v>
      </c>
      <c r="I13" s="13">
        <f>SUM(I9:I12)</f>
        <v>115034.71708999999</v>
      </c>
      <c r="J13" s="14">
        <f>I13/$E13*100</f>
        <v>55.392161575700541</v>
      </c>
      <c r="K13" s="13">
        <f>SUM(K9:K12)</f>
        <v>165832.90620999999</v>
      </c>
      <c r="L13" s="14">
        <f t="shared" si="0"/>
        <v>79.852790250838481</v>
      </c>
      <c r="M13" s="421">
        <f>SUM(M9:M12)</f>
        <v>233315.68478000001</v>
      </c>
      <c r="N13" s="14">
        <f t="shared" si="1"/>
        <v>112.34747593083316</v>
      </c>
      <c r="O13" s="461">
        <f t="shared" si="4"/>
        <v>25642.407880000013</v>
      </c>
      <c r="P13" s="464">
        <f>SUM(P9:P12)</f>
        <v>186382</v>
      </c>
      <c r="Q13" s="152">
        <f t="shared" si="5"/>
        <v>1.0793928408031366</v>
      </c>
      <c r="R13" s="263" t="e">
        <f>SUM(R9:R12)</f>
        <v>#REF!</v>
      </c>
      <c r="S13" s="263" t="e">
        <f>SUM(S9:S12)</f>
        <v>#REF!</v>
      </c>
      <c r="V13" s="110"/>
    </row>
    <row r="14" spans="1:22" x14ac:dyDescent="0.2">
      <c r="A14" s="174"/>
      <c r="B14" s="100" t="s">
        <v>12</v>
      </c>
      <c r="C14" s="10">
        <f>+výdaje!E131</f>
        <v>154729</v>
      </c>
      <c r="D14" s="16">
        <f>+výdaje!H131</f>
        <v>18208.135190000005</v>
      </c>
      <c r="E14" s="348">
        <f>SUM(C14:D14)</f>
        <v>172937.13519</v>
      </c>
      <c r="F14" s="81">
        <f>C14/C16</f>
        <v>0.7661899715765601</v>
      </c>
      <c r="G14" s="10">
        <f>+výdaje!M131</f>
        <v>33024.88334</v>
      </c>
      <c r="H14" s="11">
        <f t="shared" si="2"/>
        <v>19.09646722418335</v>
      </c>
      <c r="I14" s="10">
        <f>+výdaje!Q131</f>
        <v>72464.502280000001</v>
      </c>
      <c r="J14" s="11">
        <f t="shared" si="3"/>
        <v>41.902221983951435</v>
      </c>
      <c r="K14" s="10">
        <f>výdaje!U131</f>
        <v>112095.86318999999</v>
      </c>
      <c r="L14" s="11">
        <f t="shared" si="0"/>
        <v>64.818850541755637</v>
      </c>
      <c r="M14" s="147">
        <f>výdaje!Y131</f>
        <v>150025.40744000001</v>
      </c>
      <c r="N14" s="11">
        <f t="shared" si="1"/>
        <v>86.751412457001976</v>
      </c>
      <c r="O14" s="460">
        <f t="shared" si="4"/>
        <v>-22911.727749999991</v>
      </c>
      <c r="P14" s="463">
        <f>+výdaje!AD131</f>
        <v>174769</v>
      </c>
      <c r="Q14" s="152">
        <f t="shared" si="5"/>
        <v>1.1295167680266789</v>
      </c>
      <c r="R14" s="262" t="e">
        <f>výdaje!#REF!</f>
        <v>#REF!</v>
      </c>
      <c r="S14" s="262" t="e">
        <f>R14-E14</f>
        <v>#REF!</v>
      </c>
      <c r="V14" s="110"/>
    </row>
    <row r="15" spans="1:22" x14ac:dyDescent="0.2">
      <c r="A15" s="174"/>
      <c r="B15" s="100" t="s">
        <v>13</v>
      </c>
      <c r="C15" s="10">
        <f>+výdaje!F131</f>
        <v>47217</v>
      </c>
      <c r="D15" s="16">
        <f>+výdaje!I131</f>
        <v>16792.14171</v>
      </c>
      <c r="E15" s="348">
        <f>SUM(C15:D15)</f>
        <v>64009.141709999996</v>
      </c>
      <c r="F15" s="81">
        <f>C15/C16</f>
        <v>0.23381002842343993</v>
      </c>
      <c r="G15" s="10">
        <f>+výdaje!N131</f>
        <v>3148.1497100000001</v>
      </c>
      <c r="H15" s="11">
        <f t="shared" si="2"/>
        <v>4.9182813984024607</v>
      </c>
      <c r="I15" s="10">
        <f>+výdaje!R131</f>
        <v>23535.220590000001</v>
      </c>
      <c r="J15" s="11">
        <f t="shared" si="3"/>
        <v>36.768530183748972</v>
      </c>
      <c r="K15" s="10">
        <f>výdaje!V131</f>
        <v>27751.163069999995</v>
      </c>
      <c r="L15" s="11">
        <f t="shared" si="0"/>
        <v>43.354999502617133</v>
      </c>
      <c r="M15" s="348">
        <f>+výdaje!Z131</f>
        <v>59689.097869999998</v>
      </c>
      <c r="N15" s="11">
        <f t="shared" si="1"/>
        <v>93.250895536808784</v>
      </c>
      <c r="O15" s="460">
        <f t="shared" si="4"/>
        <v>-4320.0438399999985</v>
      </c>
      <c r="P15" s="463">
        <f>+výdaje!AE131</f>
        <v>42326</v>
      </c>
      <c r="Q15" s="152">
        <f t="shared" si="5"/>
        <v>0.89641442700722196</v>
      </c>
      <c r="R15" s="262" t="e">
        <f>výdaje!#REF!</f>
        <v>#REF!</v>
      </c>
      <c r="S15" s="262" t="e">
        <f>R15-E15</f>
        <v>#REF!</v>
      </c>
      <c r="V15" s="110"/>
    </row>
    <row r="16" spans="1:22" s="3" customFormat="1" x14ac:dyDescent="0.2">
      <c r="A16" s="175"/>
      <c r="B16" s="12" t="s">
        <v>14</v>
      </c>
      <c r="C16" s="13">
        <f>SUM(C14:C15)</f>
        <v>201946</v>
      </c>
      <c r="D16" s="425">
        <f>SUM(D14:D15)</f>
        <v>35000.276900000004</v>
      </c>
      <c r="E16" s="421">
        <f>SUM(E14:E15)</f>
        <v>236946.2769</v>
      </c>
      <c r="F16" s="82">
        <v>1</v>
      </c>
      <c r="G16" s="13">
        <f>SUM(G14:G15)</f>
        <v>36173.033049999998</v>
      </c>
      <c r="H16" s="14">
        <f>G16/$E16*100</f>
        <v>15.266343714388194</v>
      </c>
      <c r="I16" s="13">
        <f>SUM(I14:I15)</f>
        <v>95999.722869999998</v>
      </c>
      <c r="J16" s="14">
        <f>I16/$E16*100</f>
        <v>40.515396201188416</v>
      </c>
      <c r="K16" s="13">
        <f>SUM(K14:K15)</f>
        <v>139847.02625999998</v>
      </c>
      <c r="L16" s="14">
        <f t="shared" si="0"/>
        <v>59.020562842192511</v>
      </c>
      <c r="M16" s="421">
        <f>SUM(M14:M15)</f>
        <v>209714.50531000001</v>
      </c>
      <c r="N16" s="14">
        <f t="shared" si="1"/>
        <v>88.507195830938173</v>
      </c>
      <c r="O16" s="461">
        <f t="shared" si="4"/>
        <v>-27231.771589999989</v>
      </c>
      <c r="P16" s="464">
        <f>SUM(P14:P15)</f>
        <v>217095</v>
      </c>
      <c r="Q16" s="153">
        <f>P16/C16</f>
        <v>1.0750151030473494</v>
      </c>
      <c r="R16" s="263" t="e">
        <f>SUM(R14:R15)</f>
        <v>#REF!</v>
      </c>
      <c r="S16" s="263" t="e">
        <f>SUM(S14:S15)</f>
        <v>#REF!</v>
      </c>
      <c r="V16" s="110"/>
    </row>
    <row r="17" spans="1:22" x14ac:dyDescent="0.2">
      <c r="A17" s="174"/>
      <c r="B17" s="100"/>
      <c r="C17" s="10"/>
      <c r="D17" s="91"/>
      <c r="E17" s="348"/>
      <c r="F17" s="83"/>
      <c r="G17" s="10"/>
      <c r="H17" s="14"/>
      <c r="I17" s="10"/>
      <c r="J17" s="14"/>
      <c r="K17" s="10"/>
      <c r="L17" s="14"/>
      <c r="M17" s="348"/>
      <c r="N17" s="14"/>
      <c r="O17" s="425"/>
      <c r="P17" s="348"/>
      <c r="Q17" s="72"/>
      <c r="R17" s="262"/>
      <c r="S17" s="262"/>
    </row>
    <row r="18" spans="1:22" s="3" customFormat="1" x14ac:dyDescent="0.2">
      <c r="A18" s="175"/>
      <c r="B18" s="12" t="s">
        <v>15</v>
      </c>
      <c r="C18" s="13">
        <f>C13-C16</f>
        <v>-29273</v>
      </c>
      <c r="D18" s="13">
        <f>D13-D16</f>
        <v>0</v>
      </c>
      <c r="E18" s="421">
        <f>E13-E16</f>
        <v>-29273</v>
      </c>
      <c r="F18" s="84"/>
      <c r="G18" s="13">
        <f>G13-G16</f>
        <v>21577.804650000005</v>
      </c>
      <c r="H18" s="14"/>
      <c r="I18" s="13">
        <f>I13-I16</f>
        <v>19034.994219999993</v>
      </c>
      <c r="J18" s="11"/>
      <c r="K18" s="13">
        <f>K13-K16</f>
        <v>25985.879950000002</v>
      </c>
      <c r="L18" s="11"/>
      <c r="M18" s="421">
        <f>M13-M16</f>
        <v>23601.179470000003</v>
      </c>
      <c r="N18" s="11"/>
      <c r="O18" s="461">
        <f t="shared" si="4"/>
        <v>52874.179470000003</v>
      </c>
      <c r="P18" s="464">
        <f>P13-P16</f>
        <v>-30713</v>
      </c>
      <c r="Q18" s="71"/>
      <c r="R18" s="262" t="e">
        <f>R13-R16</f>
        <v>#REF!</v>
      </c>
      <c r="S18" s="262" t="e">
        <f>R18-E18</f>
        <v>#REF!</v>
      </c>
      <c r="V18" s="446"/>
    </row>
    <row r="19" spans="1:22" x14ac:dyDescent="0.2">
      <c r="A19" s="174"/>
      <c r="B19" s="100"/>
      <c r="C19" s="10"/>
      <c r="D19" s="91"/>
      <c r="E19" s="348"/>
      <c r="F19" s="83"/>
      <c r="G19" s="10"/>
      <c r="H19" s="14"/>
      <c r="I19" s="10"/>
      <c r="J19" s="14"/>
      <c r="K19" s="10"/>
      <c r="L19" s="14"/>
      <c r="M19" s="10"/>
      <c r="N19" s="14"/>
      <c r="O19" s="425"/>
      <c r="P19" s="10"/>
      <c r="Q19" s="72"/>
      <c r="R19" s="262"/>
      <c r="S19" s="262"/>
    </row>
    <row r="20" spans="1:22" s="3" customFormat="1" x14ac:dyDescent="0.2">
      <c r="A20" s="176" t="s">
        <v>16</v>
      </c>
      <c r="B20" s="12" t="s">
        <v>17</v>
      </c>
      <c r="C20" s="13"/>
      <c r="D20" s="92"/>
      <c r="E20" s="421"/>
      <c r="F20" s="84"/>
      <c r="G20" s="13"/>
      <c r="H20" s="14"/>
      <c r="I20" s="13"/>
      <c r="J20" s="14"/>
      <c r="K20" s="13"/>
      <c r="L20" s="14"/>
      <c r="M20" s="13"/>
      <c r="N20" s="14"/>
      <c r="O20" s="425"/>
      <c r="P20" s="13"/>
      <c r="Q20" s="71"/>
      <c r="R20" s="262"/>
      <c r="S20" s="262"/>
    </row>
    <row r="21" spans="1:22" x14ac:dyDescent="0.2">
      <c r="A21" s="174">
        <v>8124</v>
      </c>
      <c r="B21" s="100" t="s">
        <v>313</v>
      </c>
      <c r="C21" s="147">
        <f>-2255-2000</f>
        <v>-4255</v>
      </c>
      <c r="D21" s="148"/>
      <c r="E21" s="348">
        <f>SUM(C21:D21)</f>
        <v>-4255</v>
      </c>
      <c r="F21" s="83"/>
      <c r="G21" s="10">
        <v>-560.41</v>
      </c>
      <c r="H21" s="11">
        <f>G21/$E21*100</f>
        <v>13.170622796709752</v>
      </c>
      <c r="I21" s="10">
        <v>-3123.0349999999999</v>
      </c>
      <c r="J21" s="11">
        <f>I21/$E21*100</f>
        <v>73.396827262044653</v>
      </c>
      <c r="K21" s="10">
        <v>-3687.886</v>
      </c>
      <c r="L21" s="11">
        <f>K21/$E21*100</f>
        <v>86.671821386603995</v>
      </c>
      <c r="M21" s="354">
        <v>-4254.97</v>
      </c>
      <c r="N21" s="11">
        <f>M21/$E21*100</f>
        <v>99.999294947121044</v>
      </c>
      <c r="O21" s="460">
        <f t="shared" ref="O21:O22" si="6">M21-E21</f>
        <v>2.9999999999745341E-2</v>
      </c>
      <c r="P21" s="463">
        <f>-2291-2000</f>
        <v>-4291</v>
      </c>
      <c r="Q21" s="152">
        <f>-P21/C21</f>
        <v>-1.0084606345475911</v>
      </c>
      <c r="R21" s="262"/>
      <c r="S21" s="262">
        <f>R21-E21</f>
        <v>4255</v>
      </c>
      <c r="V21" s="110"/>
    </row>
    <row r="22" spans="1:22" x14ac:dyDescent="0.2">
      <c r="A22" s="177"/>
      <c r="B22" s="100"/>
      <c r="C22" s="147"/>
      <c r="D22" s="16"/>
      <c r="E22" s="348"/>
      <c r="F22" s="83"/>
      <c r="G22" s="10"/>
      <c r="H22" s="11"/>
      <c r="I22" s="10"/>
      <c r="J22" s="11"/>
      <c r="K22" s="10"/>
      <c r="L22" s="11"/>
      <c r="M22" s="147"/>
      <c r="N22" s="11"/>
      <c r="O22" s="460">
        <f t="shared" si="6"/>
        <v>0</v>
      </c>
      <c r="P22" s="463"/>
      <c r="Q22" s="152"/>
      <c r="R22" s="262"/>
      <c r="S22" s="262">
        <f t="shared" ref="S22:S30" si="7">R22-E22</f>
        <v>0</v>
      </c>
    </row>
    <row r="23" spans="1:22" x14ac:dyDescent="0.2">
      <c r="A23" s="174">
        <v>8123</v>
      </c>
      <c r="B23" s="100" t="s">
        <v>326</v>
      </c>
      <c r="C23" s="16">
        <v>0</v>
      </c>
      <c r="D23" s="16"/>
      <c r="E23" s="348">
        <f>SUM(C23:D23)</f>
        <v>0</v>
      </c>
      <c r="F23" s="83"/>
      <c r="G23" s="16"/>
      <c r="H23" s="11"/>
      <c r="I23" s="16"/>
      <c r="J23" s="11"/>
      <c r="K23" s="16"/>
      <c r="L23" s="11"/>
      <c r="M23" s="16">
        <v>0</v>
      </c>
      <c r="N23" s="11"/>
      <c r="O23" s="460">
        <f>M23-E23</f>
        <v>0</v>
      </c>
      <c r="P23" s="465">
        <v>0</v>
      </c>
      <c r="Q23" s="72"/>
      <c r="R23" s="262"/>
      <c r="S23" s="262">
        <f t="shared" si="7"/>
        <v>0</v>
      </c>
    </row>
    <row r="24" spans="1:22" x14ac:dyDescent="0.2">
      <c r="A24" s="174">
        <v>8115</v>
      </c>
      <c r="B24" s="100" t="s">
        <v>360</v>
      </c>
      <c r="C24" s="17"/>
      <c r="D24" s="16"/>
      <c r="E24" s="348">
        <f t="shared" ref="E24:E25" si="8">SUM(C24:D24)</f>
        <v>0</v>
      </c>
      <c r="F24" s="83"/>
      <c r="G24" s="17"/>
      <c r="H24" s="11"/>
      <c r="I24" s="17"/>
      <c r="J24" s="11"/>
      <c r="K24" s="17"/>
      <c r="L24" s="11"/>
      <c r="M24" s="17">
        <v>0</v>
      </c>
      <c r="N24" s="11"/>
      <c r="O24" s="460">
        <f t="shared" ref="O24:O30" si="9">M24-E24</f>
        <v>0</v>
      </c>
      <c r="P24" s="466">
        <v>0</v>
      </c>
      <c r="Q24" s="72"/>
      <c r="R24" s="262"/>
      <c r="S24" s="262">
        <f t="shared" si="7"/>
        <v>0</v>
      </c>
    </row>
    <row r="25" spans="1:22" s="349" customFormat="1" x14ac:dyDescent="0.2">
      <c r="A25" s="174">
        <v>8115</v>
      </c>
      <c r="B25" s="100" t="s">
        <v>399</v>
      </c>
      <c r="C25" s="17">
        <v>-2770</v>
      </c>
      <c r="D25" s="16"/>
      <c r="E25" s="348">
        <f t="shared" si="8"/>
        <v>-2770</v>
      </c>
      <c r="F25" s="83"/>
      <c r="G25" s="17">
        <v>-2770</v>
      </c>
      <c r="H25" s="11">
        <f>G25/$E25*100</f>
        <v>100</v>
      </c>
      <c r="I25" s="17">
        <v>-2770</v>
      </c>
      <c r="J25" s="11">
        <f t="shared" ref="J25:J26" si="10">I25/$E25*100</f>
        <v>100</v>
      </c>
      <c r="K25" s="17">
        <v>-2770</v>
      </c>
      <c r="L25" s="11">
        <f t="shared" ref="L25:L26" si="11">K25/$E25*100</f>
        <v>100</v>
      </c>
      <c r="M25" s="17">
        <v>-2770</v>
      </c>
      <c r="N25" s="11"/>
      <c r="O25" s="460">
        <f t="shared" si="9"/>
        <v>0</v>
      </c>
      <c r="P25" s="466">
        <v>0</v>
      </c>
      <c r="Q25" s="72"/>
      <c r="R25" s="262"/>
      <c r="S25" s="262">
        <f t="shared" si="7"/>
        <v>2770</v>
      </c>
    </row>
    <row r="26" spans="1:22" x14ac:dyDescent="0.2">
      <c r="A26" s="174">
        <v>8115</v>
      </c>
      <c r="B26" s="100" t="s">
        <v>400</v>
      </c>
      <c r="C26" s="147">
        <v>36298</v>
      </c>
      <c r="D26" s="16"/>
      <c r="E26" s="348">
        <f>SUM(C26:D26)</f>
        <v>36298</v>
      </c>
      <c r="F26" s="83"/>
      <c r="G26" s="10">
        <f>E26/4</f>
        <v>9074.5</v>
      </c>
      <c r="H26" s="11">
        <f>G26/$E26*100</f>
        <v>25</v>
      </c>
      <c r="I26" s="147">
        <f>E26/2</f>
        <v>18149</v>
      </c>
      <c r="J26" s="11">
        <f t="shared" si="10"/>
        <v>50</v>
      </c>
      <c r="K26" s="10">
        <f>E26/4*3</f>
        <v>27223.5</v>
      </c>
      <c r="L26" s="11">
        <f t="shared" si="11"/>
        <v>75</v>
      </c>
      <c r="M26" s="147">
        <v>36298</v>
      </c>
      <c r="N26" s="11">
        <f>M26/$E26*100</f>
        <v>100</v>
      </c>
      <c r="O26" s="460">
        <f t="shared" si="9"/>
        <v>0</v>
      </c>
      <c r="P26" s="463"/>
      <c r="Q26" s="128"/>
      <c r="R26" s="262"/>
      <c r="S26" s="262">
        <f t="shared" si="7"/>
        <v>-36298</v>
      </c>
    </row>
    <row r="27" spans="1:22" x14ac:dyDescent="0.2">
      <c r="A27" s="174"/>
      <c r="B27" s="100"/>
      <c r="C27" s="10"/>
      <c r="D27" s="148"/>
      <c r="E27" s="182"/>
      <c r="F27" s="83"/>
      <c r="G27" s="10"/>
      <c r="H27" s="14"/>
      <c r="I27" s="10"/>
      <c r="J27" s="14"/>
      <c r="K27" s="10"/>
      <c r="L27" s="14"/>
      <c r="M27" s="10"/>
      <c r="N27" s="14"/>
      <c r="O27" s="460">
        <f t="shared" si="9"/>
        <v>0</v>
      </c>
      <c r="P27" s="463"/>
      <c r="Q27" s="72"/>
      <c r="R27" s="262"/>
      <c r="S27" s="262"/>
    </row>
    <row r="28" spans="1:22" x14ac:dyDescent="0.2">
      <c r="A28" s="174"/>
      <c r="B28" s="12" t="s">
        <v>128</v>
      </c>
      <c r="C28" s="333">
        <f>-C21-C23+C30-C26-C22-C24-C25</f>
        <v>0</v>
      </c>
      <c r="D28" s="333">
        <f>-D21-D23+D30-D26-D22-D24-D25</f>
        <v>0</v>
      </c>
      <c r="E28" s="333">
        <f>-E21-E23+E30-E26-E22-E24-E25</f>
        <v>0</v>
      </c>
      <c r="F28" s="83"/>
      <c r="G28" s="90">
        <f>-G21-G23+G30-G26-G22-G24-G25</f>
        <v>-27321.894650000006</v>
      </c>
      <c r="H28" s="83"/>
      <c r="I28" s="90">
        <f>-I21-I23+I30-I26-I22-I24-I25</f>
        <v>-31290.95921999999</v>
      </c>
      <c r="J28" s="83"/>
      <c r="K28" s="90">
        <f>-K21-K23+K30-K26-K22-K24-K25</f>
        <v>-46751.493950000004</v>
      </c>
      <c r="L28" s="83"/>
      <c r="M28" s="90">
        <f>-M21-M23+M30-M26-M22-M24-M25</f>
        <v>-52874.209470000002</v>
      </c>
      <c r="N28" s="83"/>
      <c r="O28" s="460">
        <f t="shared" si="9"/>
        <v>-52874.209470000002</v>
      </c>
      <c r="P28" s="467">
        <f>-P21-P23+P30-P26-P22-P24-P25</f>
        <v>35004</v>
      </c>
      <c r="Q28" s="72"/>
      <c r="R28" s="263" t="e">
        <f>-R21-R23+R30-R26-R22-R24-R25</f>
        <v>#REF!</v>
      </c>
      <c r="S28" s="262" t="e">
        <f t="shared" si="7"/>
        <v>#REF!</v>
      </c>
      <c r="V28" s="110"/>
    </row>
    <row r="29" spans="1:22" s="3" customFormat="1" x14ac:dyDescent="0.2">
      <c r="A29" s="175"/>
      <c r="B29" s="100"/>
      <c r="C29" s="13"/>
      <c r="D29" s="18"/>
      <c r="E29" s="183"/>
      <c r="F29" s="85"/>
      <c r="G29" s="13"/>
      <c r="H29" s="14"/>
      <c r="I29" s="13"/>
      <c r="J29" s="14"/>
      <c r="K29" s="13"/>
      <c r="L29" s="14"/>
      <c r="M29" s="13"/>
      <c r="N29" s="14"/>
      <c r="O29" s="460">
        <f t="shared" si="9"/>
        <v>0</v>
      </c>
      <c r="P29" s="464"/>
      <c r="Q29" s="71"/>
      <c r="R29" s="262"/>
      <c r="S29" s="262"/>
    </row>
    <row r="30" spans="1:22" ht="13.5" thickBot="1" x14ac:dyDescent="0.25">
      <c r="A30" s="178"/>
      <c r="B30" s="124" t="s">
        <v>18</v>
      </c>
      <c r="C30" s="79">
        <f>-C18</f>
        <v>29273</v>
      </c>
      <c r="D30" s="160">
        <f>-D18</f>
        <v>0</v>
      </c>
      <c r="E30" s="458">
        <f>-E18</f>
        <v>29273</v>
      </c>
      <c r="F30" s="86"/>
      <c r="G30" s="79">
        <f>-G18</f>
        <v>-21577.804650000005</v>
      </c>
      <c r="H30" s="19"/>
      <c r="I30" s="79">
        <f>-I18</f>
        <v>-19034.994219999993</v>
      </c>
      <c r="J30" s="19"/>
      <c r="K30" s="79">
        <f>-K18</f>
        <v>-25985.879950000002</v>
      </c>
      <c r="L30" s="19"/>
      <c r="M30" s="79">
        <f>-M18</f>
        <v>-23601.179470000003</v>
      </c>
      <c r="N30" s="19"/>
      <c r="O30" s="462">
        <f t="shared" si="9"/>
        <v>-52874.179470000003</v>
      </c>
      <c r="P30" s="468">
        <f>-P18</f>
        <v>30713</v>
      </c>
      <c r="Q30" s="154"/>
      <c r="R30" s="323" t="e">
        <f>-R18</f>
        <v>#REF!</v>
      </c>
      <c r="S30" s="323" t="e">
        <f t="shared" si="7"/>
        <v>#REF!</v>
      </c>
      <c r="V30" s="110"/>
    </row>
    <row r="31" spans="1:22" x14ac:dyDescent="0.2">
      <c r="C31" s="20"/>
      <c r="E31" s="65"/>
      <c r="F31" s="21"/>
      <c r="G31" s="21"/>
      <c r="H31" s="21"/>
      <c r="I31" s="21"/>
      <c r="J31" s="21"/>
      <c r="K31" s="21"/>
      <c r="L31" s="21"/>
      <c r="M31" s="21"/>
      <c r="N31" s="21"/>
      <c r="P31" s="21"/>
    </row>
    <row r="32" spans="1:22" x14ac:dyDescent="0.2">
      <c r="B32" s="334"/>
      <c r="C32" s="250"/>
      <c r="E32" s="142"/>
      <c r="F32" s="256"/>
      <c r="H32" s="114"/>
      <c r="J32" s="114"/>
      <c r="L32" s="114"/>
      <c r="M32" s="357"/>
      <c r="N32" s="251"/>
      <c r="O32" s="251"/>
      <c r="P32" s="358"/>
      <c r="Q32" s="125"/>
      <c r="R32" s="125"/>
      <c r="S32" s="125"/>
      <c r="T32" s="125"/>
    </row>
    <row r="33" spans="2:20" ht="12.75" customHeight="1" x14ac:dyDescent="0.2">
      <c r="B33" t="s">
        <v>606</v>
      </c>
      <c r="C33" s="426"/>
      <c r="D33" s="426"/>
      <c r="E33" s="426"/>
      <c r="F33" s="666"/>
      <c r="G33" s="666"/>
      <c r="H33" s="426"/>
      <c r="I33" s="426" t="s">
        <v>603</v>
      </c>
      <c r="J33" s="114"/>
      <c r="K33" s="114"/>
      <c r="L33" s="114"/>
      <c r="M33" s="357"/>
      <c r="N33" s="251"/>
      <c r="O33" s="426" t="s">
        <v>605</v>
      </c>
      <c r="P33" s="358"/>
      <c r="Q33" s="125"/>
      <c r="R33" s="125"/>
      <c r="S33" s="125"/>
      <c r="T33" s="125"/>
    </row>
    <row r="34" spans="2:20" x14ac:dyDescent="0.2">
      <c r="B34"/>
      <c r="C34" s="426"/>
      <c r="D34" s="426"/>
      <c r="E34" s="426"/>
      <c r="F34" s="666"/>
      <c r="G34" s="666"/>
      <c r="H34" s="426"/>
      <c r="I34" s="426" t="s">
        <v>604</v>
      </c>
      <c r="J34" s="114"/>
      <c r="K34" s="114"/>
      <c r="L34" s="114"/>
      <c r="M34" s="357"/>
      <c r="N34" s="251"/>
      <c r="O34" s="426" t="s">
        <v>604</v>
      </c>
      <c r="P34" s="357"/>
      <c r="Q34" s="125"/>
      <c r="R34" s="125"/>
      <c r="S34" s="125"/>
      <c r="T34" s="125"/>
    </row>
    <row r="35" spans="2:20" x14ac:dyDescent="0.2">
      <c r="B35"/>
      <c r="C35" s="426"/>
      <c r="D35" s="426"/>
      <c r="E35" s="426"/>
      <c r="F35" s="666"/>
      <c r="G35" s="666"/>
      <c r="H35" s="426"/>
      <c r="I35" s="426"/>
      <c r="J35" s="114"/>
      <c r="K35" s="114"/>
      <c r="L35" s="114"/>
      <c r="M35" s="357"/>
      <c r="N35" s="251"/>
      <c r="O35" s="251"/>
      <c r="P35" s="251"/>
      <c r="Q35" s="125"/>
      <c r="R35" s="125"/>
      <c r="S35" s="125"/>
      <c r="T35" s="125"/>
    </row>
    <row r="36" spans="2:20" x14ac:dyDescent="0.2">
      <c r="B36"/>
      <c r="C36" s="426"/>
      <c r="D36" s="426"/>
      <c r="E36" s="426"/>
      <c r="F36" s="666"/>
      <c r="G36" s="666"/>
      <c r="H36" s="426"/>
      <c r="I36" s="426"/>
      <c r="J36" s="114"/>
      <c r="K36" s="114"/>
      <c r="L36" s="114"/>
      <c r="M36" s="357"/>
      <c r="N36" s="251"/>
      <c r="O36" s="251"/>
      <c r="P36" s="251"/>
      <c r="Q36" s="125"/>
      <c r="R36" s="125"/>
      <c r="S36" s="125"/>
      <c r="T36" s="125"/>
    </row>
    <row r="37" spans="2:20" x14ac:dyDescent="0.2">
      <c r="B37" t="s">
        <v>607</v>
      </c>
      <c r="C37" s="426"/>
      <c r="D37" s="426"/>
      <c r="E37" s="426"/>
      <c r="F37" s="666"/>
      <c r="G37" s="666"/>
      <c r="H37" s="426"/>
      <c r="I37" s="426"/>
      <c r="J37" s="114"/>
      <c r="K37" s="114"/>
      <c r="L37" s="114"/>
      <c r="M37" s="359"/>
      <c r="N37" s="251"/>
      <c r="O37" s="251"/>
      <c r="P37" s="251"/>
      <c r="Q37" s="125"/>
      <c r="R37" s="125"/>
      <c r="S37" s="125"/>
      <c r="T37" s="125"/>
    </row>
    <row r="38" spans="2:20" x14ac:dyDescent="0.2">
      <c r="B38"/>
      <c r="C38" s="426"/>
      <c r="D38" s="426"/>
      <c r="E38" s="426"/>
      <c r="F38" s="666"/>
      <c r="G38" s="666"/>
      <c r="H38" s="426"/>
      <c r="I38" s="426"/>
      <c r="J38" s="114"/>
      <c r="K38" s="114"/>
      <c r="L38" s="114"/>
      <c r="M38" s="357"/>
      <c r="N38" s="251"/>
      <c r="O38" s="251"/>
      <c r="P38" s="251"/>
      <c r="Q38" s="125"/>
      <c r="R38" s="125"/>
      <c r="S38" s="125"/>
      <c r="T38" s="125"/>
    </row>
    <row r="39" spans="2:20" x14ac:dyDescent="0.2">
      <c r="B39" s="257"/>
      <c r="C39" s="250"/>
      <c r="D39" s="114"/>
      <c r="E39" s="142"/>
      <c r="F39" s="256"/>
      <c r="G39" s="114"/>
      <c r="H39" s="114"/>
      <c r="I39" s="114"/>
      <c r="J39" s="114"/>
      <c r="K39" s="114"/>
      <c r="L39" s="114"/>
      <c r="M39" s="357"/>
      <c r="N39" s="251"/>
      <c r="O39" s="251"/>
      <c r="P39" s="357"/>
      <c r="Q39" s="125"/>
      <c r="R39" s="125"/>
      <c r="S39" s="125"/>
      <c r="T39" s="125"/>
    </row>
    <row r="40" spans="2:20" x14ac:dyDescent="0.2">
      <c r="B40" s="257"/>
      <c r="C40" s="250"/>
      <c r="D40" s="114"/>
      <c r="E40" s="142"/>
      <c r="F40" s="256"/>
      <c r="G40" s="114"/>
      <c r="H40" s="114"/>
      <c r="I40" s="114"/>
      <c r="J40" s="114"/>
      <c r="K40" s="114"/>
      <c r="L40" s="114"/>
      <c r="M40" s="357"/>
      <c r="N40" s="357"/>
      <c r="O40" s="251"/>
      <c r="P40" s="251"/>
      <c r="Q40" s="125"/>
      <c r="R40" s="125"/>
      <c r="S40" s="125"/>
      <c r="T40" s="125"/>
    </row>
    <row r="41" spans="2:20" x14ac:dyDescent="0.2">
      <c r="B41" s="258"/>
      <c r="C41" s="250"/>
      <c r="D41" s="114"/>
      <c r="E41" s="142"/>
      <c r="F41" s="256"/>
      <c r="G41" s="114"/>
      <c r="H41" s="114"/>
      <c r="I41" s="114"/>
      <c r="J41" s="114"/>
      <c r="K41" s="114"/>
      <c r="L41" s="114"/>
      <c r="M41" s="251"/>
      <c r="N41" s="251"/>
      <c r="O41" s="251"/>
      <c r="P41" s="251"/>
      <c r="Q41" s="125"/>
      <c r="R41" s="125"/>
      <c r="S41" s="125"/>
      <c r="T41" s="125"/>
    </row>
    <row r="42" spans="2:20" x14ac:dyDescent="0.2">
      <c r="B42" s="258"/>
      <c r="C42" s="250"/>
      <c r="D42" s="114"/>
      <c r="E42" s="142"/>
      <c r="F42" s="256"/>
      <c r="G42" s="114"/>
      <c r="H42" s="114"/>
      <c r="I42" s="114"/>
      <c r="J42" s="114"/>
      <c r="K42" s="114"/>
      <c r="L42" s="114"/>
      <c r="M42" s="251"/>
      <c r="N42" s="251"/>
      <c r="O42" s="251"/>
      <c r="P42" s="251"/>
      <c r="Q42" s="125"/>
      <c r="R42" s="125"/>
      <c r="S42" s="125"/>
      <c r="T42" s="125"/>
    </row>
    <row r="43" spans="2:20" x14ac:dyDescent="0.2">
      <c r="B43" s="257"/>
      <c r="C43" s="250"/>
      <c r="D43" s="114"/>
      <c r="E43" s="142"/>
      <c r="F43" s="256"/>
      <c r="G43" s="114"/>
      <c r="H43" s="114"/>
      <c r="I43" s="114"/>
      <c r="J43" s="114"/>
      <c r="K43" s="114"/>
      <c r="L43" s="114"/>
      <c r="M43" s="251"/>
      <c r="N43" s="251"/>
      <c r="O43" s="251"/>
      <c r="P43" s="251"/>
      <c r="Q43" s="125"/>
      <c r="R43" s="125"/>
      <c r="S43" s="125"/>
      <c r="T43" s="125"/>
    </row>
    <row r="44" spans="2:20" x14ac:dyDescent="0.2">
      <c r="B44" s="257"/>
      <c r="C44" s="250"/>
      <c r="D44" s="114"/>
      <c r="E44" s="142"/>
      <c r="F44" s="256"/>
      <c r="G44" s="114"/>
      <c r="H44" s="114"/>
      <c r="I44" s="114"/>
      <c r="J44" s="114"/>
      <c r="K44" s="114"/>
      <c r="L44" s="114"/>
      <c r="M44" s="114"/>
      <c r="N44" s="114"/>
      <c r="O44" s="114"/>
      <c r="P44" s="114"/>
    </row>
    <row r="45" spans="2:20" x14ac:dyDescent="0.2">
      <c r="B45" s="257"/>
      <c r="C45" s="250"/>
      <c r="D45" s="114"/>
      <c r="E45" s="142"/>
      <c r="F45" s="256"/>
      <c r="G45" s="114"/>
      <c r="H45" s="114"/>
      <c r="I45" s="114"/>
      <c r="J45" s="114"/>
      <c r="K45" s="114"/>
      <c r="L45" s="114"/>
      <c r="M45" s="114"/>
      <c r="N45" s="114"/>
      <c r="O45" s="114"/>
      <c r="P45" s="114"/>
    </row>
    <row r="46" spans="2:20" x14ac:dyDescent="0.2">
      <c r="B46" s="257"/>
      <c r="C46" s="250"/>
      <c r="D46" s="114"/>
      <c r="E46" s="142"/>
      <c r="F46" s="256"/>
      <c r="G46" s="114"/>
      <c r="H46" s="114"/>
      <c r="I46" s="114"/>
      <c r="J46" s="114"/>
      <c r="K46" s="114"/>
      <c r="L46" s="114"/>
      <c r="M46" s="114"/>
      <c r="N46" s="114"/>
      <c r="O46" s="114"/>
      <c r="P46" s="114"/>
    </row>
    <row r="47" spans="2:20" x14ac:dyDescent="0.2">
      <c r="B47" s="257"/>
      <c r="C47" s="250"/>
      <c r="D47" s="114"/>
      <c r="E47" s="142"/>
      <c r="F47" s="256"/>
      <c r="G47" s="114"/>
      <c r="H47" s="114"/>
      <c r="I47" s="114"/>
      <c r="J47" s="114"/>
      <c r="K47" s="114"/>
      <c r="L47" s="114"/>
      <c r="M47" s="114"/>
      <c r="N47" s="114"/>
      <c r="O47" s="114"/>
      <c r="P47" s="114"/>
    </row>
    <row r="48" spans="2:20" x14ac:dyDescent="0.2">
      <c r="B48" s="257"/>
      <c r="C48" s="250"/>
      <c r="D48" s="114"/>
      <c r="E48" s="142"/>
      <c r="F48" s="256"/>
      <c r="G48" s="114"/>
      <c r="H48" s="114"/>
      <c r="I48" s="114"/>
      <c r="J48" s="114"/>
      <c r="K48" s="114"/>
      <c r="L48" s="114"/>
      <c r="M48" s="114"/>
      <c r="N48" s="114"/>
      <c r="O48" s="114"/>
      <c r="P48" s="114"/>
    </row>
    <row r="49" spans="2:16" x14ac:dyDescent="0.2">
      <c r="B49" s="257"/>
      <c r="C49" s="250"/>
      <c r="D49" s="114"/>
      <c r="E49" s="142"/>
      <c r="F49" s="256"/>
      <c r="G49" s="114"/>
      <c r="H49" s="114"/>
      <c r="I49" s="114"/>
      <c r="J49" s="114"/>
      <c r="K49" s="114"/>
      <c r="L49" s="114"/>
      <c r="M49" s="114"/>
      <c r="N49" s="114"/>
      <c r="O49" s="114"/>
      <c r="P49" s="114"/>
    </row>
    <row r="50" spans="2:16" x14ac:dyDescent="0.2">
      <c r="B50" s="257"/>
      <c r="C50" s="250"/>
      <c r="D50" s="114"/>
      <c r="E50" s="142"/>
      <c r="F50" s="256"/>
      <c r="G50" s="114"/>
      <c r="H50" s="114"/>
      <c r="I50" s="114"/>
      <c r="J50" s="114"/>
      <c r="K50" s="114"/>
      <c r="L50" s="114"/>
      <c r="M50" s="114"/>
      <c r="N50" s="114"/>
      <c r="O50" s="114"/>
      <c r="P50" s="114"/>
    </row>
    <row r="51" spans="2:16" x14ac:dyDescent="0.2">
      <c r="B51" s="257"/>
      <c r="C51" s="250"/>
      <c r="D51" s="114"/>
      <c r="E51" s="142"/>
      <c r="F51" s="256"/>
      <c r="G51" s="114"/>
      <c r="H51" s="114"/>
      <c r="I51" s="114"/>
      <c r="J51" s="114"/>
      <c r="K51" s="114"/>
      <c r="L51" s="114"/>
      <c r="M51" s="114"/>
      <c r="N51" s="114"/>
      <c r="O51" s="114"/>
      <c r="P51" s="114"/>
    </row>
    <row r="52" spans="2:16" x14ac:dyDescent="0.2">
      <c r="B52" s="257"/>
      <c r="C52" s="250"/>
      <c r="D52" s="114"/>
      <c r="E52" s="142"/>
      <c r="F52" s="256"/>
      <c r="G52" s="114"/>
      <c r="H52" s="114"/>
      <c r="I52" s="114"/>
      <c r="J52" s="114"/>
      <c r="K52" s="114"/>
      <c r="L52" s="114"/>
      <c r="M52" s="114"/>
      <c r="N52" s="114"/>
      <c r="O52" s="114"/>
      <c r="P52" s="114"/>
    </row>
    <row r="53" spans="2:16" x14ac:dyDescent="0.2">
      <c r="B53" s="257"/>
      <c r="C53" s="250"/>
      <c r="D53" s="114"/>
      <c r="E53" s="142"/>
      <c r="F53" s="256"/>
      <c r="G53" s="114"/>
      <c r="H53" s="114"/>
      <c r="I53" s="114"/>
      <c r="J53" s="114"/>
      <c r="K53" s="114"/>
      <c r="L53" s="114"/>
      <c r="M53" s="114"/>
      <c r="N53" s="114"/>
      <c r="O53" s="114"/>
      <c r="P53" s="114"/>
    </row>
    <row r="54" spans="2:16" x14ac:dyDescent="0.2">
      <c r="B54" s="258"/>
      <c r="C54" s="250"/>
      <c r="D54" s="114"/>
      <c r="E54" s="142"/>
      <c r="F54" s="256"/>
      <c r="G54" s="114"/>
      <c r="H54" s="114"/>
      <c r="I54" s="114"/>
      <c r="J54" s="114"/>
      <c r="K54" s="114"/>
      <c r="L54" s="114"/>
      <c r="M54" s="114"/>
      <c r="N54" s="114"/>
      <c r="O54" s="114"/>
      <c r="P54" s="114"/>
    </row>
    <row r="55" spans="2:16" x14ac:dyDescent="0.2">
      <c r="B55" s="258"/>
      <c r="C55" s="250"/>
      <c r="D55" s="114"/>
      <c r="E55" s="142"/>
      <c r="F55" s="256"/>
      <c r="G55" s="114"/>
      <c r="H55" s="114"/>
      <c r="I55" s="114"/>
      <c r="J55" s="114"/>
      <c r="K55" s="114"/>
      <c r="L55" s="114"/>
      <c r="M55" s="114"/>
      <c r="N55" s="114"/>
      <c r="O55" s="114"/>
      <c r="P55" s="114"/>
    </row>
    <row r="56" spans="2:16" x14ac:dyDescent="0.2">
      <c r="B56" s="258"/>
      <c r="C56" s="250"/>
      <c r="D56" s="114"/>
      <c r="E56" s="142"/>
      <c r="F56" s="256"/>
      <c r="G56" s="114"/>
      <c r="H56" s="114"/>
      <c r="I56" s="114"/>
      <c r="J56" s="114"/>
      <c r="K56" s="114"/>
      <c r="L56" s="114"/>
      <c r="M56" s="114"/>
      <c r="N56" s="114"/>
      <c r="O56" s="114"/>
      <c r="P56" s="114"/>
    </row>
    <row r="57" spans="2:16" x14ac:dyDescent="0.2">
      <c r="B57" s="258"/>
      <c r="C57" s="250"/>
      <c r="D57" s="114"/>
      <c r="E57" s="142"/>
      <c r="F57" s="256"/>
      <c r="G57" s="114"/>
      <c r="H57" s="114"/>
      <c r="I57" s="114"/>
      <c r="J57" s="114"/>
      <c r="K57" s="114"/>
      <c r="L57" s="114"/>
      <c r="M57" s="114"/>
      <c r="N57" s="114"/>
      <c r="O57" s="114"/>
      <c r="P57" s="114"/>
    </row>
    <row r="58" spans="2:16" x14ac:dyDescent="0.2">
      <c r="B58" s="258"/>
      <c r="C58" s="250"/>
      <c r="D58" s="114"/>
      <c r="E58" s="142"/>
      <c r="F58" s="256"/>
      <c r="G58" s="114"/>
      <c r="H58" s="114"/>
      <c r="I58" s="114"/>
      <c r="J58" s="114"/>
      <c r="K58" s="114"/>
      <c r="L58" s="114"/>
      <c r="M58" s="114"/>
      <c r="N58" s="114"/>
      <c r="O58" s="114"/>
      <c r="P58" s="114"/>
    </row>
    <row r="59" spans="2:16" x14ac:dyDescent="0.2">
      <c r="B59" s="258"/>
      <c r="C59" s="250"/>
      <c r="D59" s="114"/>
      <c r="E59" s="142"/>
      <c r="F59" s="256"/>
      <c r="G59" s="114"/>
      <c r="H59" s="114"/>
      <c r="I59" s="114"/>
      <c r="J59" s="114"/>
      <c r="K59" s="114"/>
      <c r="L59" s="114"/>
      <c r="M59" s="114"/>
      <c r="N59" s="114"/>
      <c r="O59" s="114"/>
      <c r="P59" s="114"/>
    </row>
    <row r="60" spans="2:16" x14ac:dyDescent="0.2">
      <c r="B60" s="258"/>
      <c r="C60" s="250"/>
      <c r="D60" s="114"/>
      <c r="E60" s="142"/>
      <c r="F60" s="256"/>
      <c r="G60" s="114"/>
      <c r="H60" s="114"/>
      <c r="I60" s="114"/>
      <c r="J60" s="114"/>
      <c r="K60" s="114"/>
      <c r="L60" s="114"/>
      <c r="M60" s="114"/>
      <c r="N60" s="114"/>
      <c r="O60" s="114"/>
      <c r="P60" s="114"/>
    </row>
    <row r="61" spans="2:16" x14ac:dyDescent="0.2">
      <c r="B61" s="258"/>
      <c r="C61" s="250"/>
      <c r="D61" s="114"/>
      <c r="E61" s="142"/>
      <c r="F61" s="256"/>
      <c r="G61" s="114"/>
      <c r="H61" s="114"/>
      <c r="I61" s="114"/>
      <c r="J61" s="114"/>
      <c r="K61" s="114"/>
      <c r="L61" s="114"/>
      <c r="M61" s="114"/>
      <c r="N61" s="114"/>
      <c r="O61" s="114"/>
      <c r="P61" s="114"/>
    </row>
    <row r="62" spans="2:16" x14ac:dyDescent="0.2">
      <c r="B62" s="258"/>
      <c r="C62" s="250"/>
      <c r="D62" s="114"/>
      <c r="E62" s="142"/>
      <c r="F62" s="256"/>
      <c r="G62" s="114"/>
      <c r="H62" s="114"/>
      <c r="I62" s="114"/>
      <c r="J62" s="114"/>
      <c r="K62" s="114"/>
      <c r="L62" s="114"/>
      <c r="M62" s="114"/>
      <c r="N62" s="114"/>
      <c r="O62" s="114"/>
      <c r="P62" s="114"/>
    </row>
    <row r="63" spans="2:16" x14ac:dyDescent="0.2">
      <c r="B63" s="258"/>
      <c r="C63" s="250"/>
      <c r="D63" s="114"/>
      <c r="E63" s="142"/>
      <c r="F63" s="256"/>
      <c r="G63" s="114"/>
      <c r="H63" s="114"/>
      <c r="I63" s="114"/>
      <c r="J63" s="114"/>
      <c r="K63" s="114"/>
      <c r="L63" s="114"/>
      <c r="M63" s="114"/>
      <c r="N63" s="114"/>
      <c r="O63" s="114"/>
      <c r="P63" s="114"/>
    </row>
    <row r="64" spans="2:16" x14ac:dyDescent="0.2">
      <c r="B64" s="114"/>
      <c r="C64" s="250"/>
      <c r="D64" s="114"/>
      <c r="E64" s="142"/>
      <c r="F64" s="250"/>
      <c r="G64" s="114"/>
      <c r="H64" s="114"/>
      <c r="I64" s="114"/>
      <c r="J64" s="114"/>
      <c r="K64" s="114"/>
      <c r="L64" s="114"/>
      <c r="M64" s="114"/>
      <c r="N64" s="114"/>
      <c r="O64" s="114"/>
      <c r="P64" s="114"/>
    </row>
  </sheetData>
  <mergeCells count="6">
    <mergeCell ref="F38:G38"/>
    <mergeCell ref="F33:G33"/>
    <mergeCell ref="F34:G34"/>
    <mergeCell ref="F35:G35"/>
    <mergeCell ref="F36:G36"/>
    <mergeCell ref="F37:G37"/>
  </mergeCells>
  <phoneticPr fontId="6" type="noConversion"/>
  <pageMargins left="0.35433070866141736" right="0.27559055118110237" top="0.59055118110236227" bottom="0" header="0.23622047244094491" footer="0.27559055118110237"/>
  <pageSetup paperSize="9" orientation="landscape" r:id="rId1"/>
  <headerFooter alignWithMargins="0">
    <oddHeader>&amp;R&amp;P. strana</oddHeader>
    <oddFooter>&amp;LV Jilemnici &amp;D&amp;RIng. Hana Trojanová
vedoucí finančního odboru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U173"/>
  <sheetViews>
    <sheetView zoomScale="98" zoomScaleNormal="98" workbookViewId="0">
      <pane ySplit="3" topLeftCell="A4" activePane="bottomLeft" state="frozen"/>
      <selection pane="bottomLeft" activeCell="A2" sqref="A2"/>
    </sheetView>
  </sheetViews>
  <sheetFormatPr defaultColWidth="7.85546875" defaultRowHeight="12.75" x14ac:dyDescent="0.2"/>
  <cols>
    <col min="1" max="1" width="4" style="93" customWidth="1"/>
    <col min="2" max="2" width="4.42578125" style="93" customWidth="1"/>
    <col min="3" max="4" width="5.28515625" style="93" customWidth="1"/>
    <col min="5" max="5" width="23" style="93" customWidth="1"/>
    <col min="6" max="6" width="10" style="110" customWidth="1"/>
    <col min="7" max="7" width="7.140625" style="110" customWidth="1"/>
    <col min="8" max="8" width="11.5703125" style="141" bestFit="1" customWidth="1"/>
    <col min="9" max="9" width="9.42578125" style="110" hidden="1" customWidth="1"/>
    <col min="10" max="10" width="6.140625" style="93" hidden="1" customWidth="1"/>
    <col min="11" max="11" width="9.140625" style="110" hidden="1" customWidth="1"/>
    <col min="12" max="12" width="6.85546875" style="93" hidden="1" customWidth="1"/>
    <col min="13" max="13" width="9.7109375" style="110" hidden="1" customWidth="1"/>
    <col min="14" max="14" width="6.140625" style="93" hidden="1" customWidth="1"/>
    <col min="15" max="15" width="11.42578125" style="110" customWidth="1"/>
    <col min="16" max="16" width="9.7109375" style="93" customWidth="1"/>
    <col min="17" max="17" width="7.5703125" style="250" bestFit="1" customWidth="1"/>
    <col min="18" max="18" width="15.42578125" style="200" customWidth="1"/>
    <col min="19" max="19" width="10.42578125" style="444" bestFit="1" customWidth="1"/>
    <col min="20" max="20" width="9.7109375" style="349" customWidth="1"/>
    <col min="21" max="21" width="3.85546875" style="93" customWidth="1"/>
    <col min="22" max="16384" width="7.85546875" style="93"/>
  </cols>
  <sheetData>
    <row r="1" spans="1:21" ht="18" x14ac:dyDescent="0.25">
      <c r="A1" s="103" t="s">
        <v>597</v>
      </c>
      <c r="B1" s="23"/>
      <c r="C1" s="104"/>
      <c r="D1" s="23"/>
      <c r="E1" s="23"/>
      <c r="F1" s="145"/>
      <c r="G1" s="145"/>
      <c r="H1" s="138"/>
      <c r="I1" s="145"/>
      <c r="J1" s="106"/>
      <c r="K1" s="145"/>
      <c r="L1" s="106"/>
      <c r="M1" s="145"/>
      <c r="N1" s="106"/>
      <c r="O1" s="145"/>
      <c r="P1" s="106"/>
      <c r="Q1" s="105"/>
      <c r="R1" s="353"/>
      <c r="S1" s="429"/>
      <c r="T1" s="106"/>
    </row>
    <row r="2" spans="1:21" x14ac:dyDescent="0.2">
      <c r="A2" s="24"/>
      <c r="B2" s="24"/>
      <c r="C2" s="24"/>
      <c r="D2" s="24"/>
      <c r="E2" s="343"/>
      <c r="F2" s="158" t="s">
        <v>363</v>
      </c>
      <c r="G2" s="600"/>
      <c r="H2" s="139" t="s">
        <v>97</v>
      </c>
      <c r="I2" s="158" t="s">
        <v>5</v>
      </c>
      <c r="J2" s="25" t="s">
        <v>5</v>
      </c>
      <c r="K2" s="158" t="s">
        <v>5</v>
      </c>
      <c r="L2" s="25" t="s">
        <v>5</v>
      </c>
      <c r="M2" s="158" t="s">
        <v>5</v>
      </c>
      <c r="N2" s="25" t="s">
        <v>5</v>
      </c>
      <c r="O2" s="663" t="s">
        <v>5</v>
      </c>
      <c r="P2" s="664" t="s">
        <v>5</v>
      </c>
      <c r="Q2" s="452" t="s">
        <v>183</v>
      </c>
      <c r="R2" s="661" t="s">
        <v>19</v>
      </c>
      <c r="S2" s="481" t="s">
        <v>392</v>
      </c>
      <c r="T2" s="482" t="s">
        <v>393</v>
      </c>
    </row>
    <row r="3" spans="1:21" ht="13.5" thickBot="1" x14ac:dyDescent="0.25">
      <c r="A3" s="26"/>
      <c r="B3" s="26" t="s">
        <v>20</v>
      </c>
      <c r="C3" s="27" t="s">
        <v>21</v>
      </c>
      <c r="D3" s="26" t="s">
        <v>22</v>
      </c>
      <c r="E3" s="26" t="s">
        <v>23</v>
      </c>
      <c r="F3" s="281"/>
      <c r="G3" s="601" t="s">
        <v>127</v>
      </c>
      <c r="H3" s="137" t="s">
        <v>92</v>
      </c>
      <c r="I3" s="281" t="s">
        <v>388</v>
      </c>
      <c r="J3" s="27" t="s">
        <v>4</v>
      </c>
      <c r="K3" s="281" t="s">
        <v>389</v>
      </c>
      <c r="L3" s="27" t="s">
        <v>4</v>
      </c>
      <c r="M3" s="281" t="s">
        <v>390</v>
      </c>
      <c r="N3" s="27" t="s">
        <v>4</v>
      </c>
      <c r="O3" s="448" t="s">
        <v>391</v>
      </c>
      <c r="P3" s="27" t="s">
        <v>4</v>
      </c>
      <c r="Q3" s="453" t="s">
        <v>177</v>
      </c>
      <c r="R3" s="662" t="s">
        <v>104</v>
      </c>
      <c r="S3" s="430"/>
      <c r="T3" s="27" t="s">
        <v>4</v>
      </c>
      <c r="U3" s="260"/>
    </row>
    <row r="4" spans="1:21" x14ac:dyDescent="0.2">
      <c r="A4" s="108" t="s">
        <v>24</v>
      </c>
      <c r="B4" s="75"/>
      <c r="C4" s="108"/>
      <c r="D4" s="75"/>
      <c r="E4" s="108" t="s">
        <v>25</v>
      </c>
      <c r="F4" s="74"/>
      <c r="G4" s="602"/>
      <c r="H4" s="140"/>
      <c r="I4" s="74"/>
      <c r="J4" s="29"/>
      <c r="K4" s="74"/>
      <c r="L4" s="29"/>
      <c r="M4" s="74"/>
      <c r="N4" s="29"/>
      <c r="O4" s="74"/>
      <c r="P4" s="29"/>
      <c r="Q4" s="469"/>
      <c r="R4" s="102"/>
      <c r="S4" s="431"/>
      <c r="T4" s="29"/>
      <c r="U4" s="96"/>
    </row>
    <row r="5" spans="1:21" x14ac:dyDescent="0.2">
      <c r="A5" s="94" t="s">
        <v>26</v>
      </c>
      <c r="B5" s="31"/>
      <c r="C5" s="94"/>
      <c r="D5" s="31"/>
      <c r="E5" s="31"/>
      <c r="F5" s="68">
        <f>SUM(F6:F12)</f>
        <v>72124</v>
      </c>
      <c r="G5" s="602">
        <f>SUM(G6:G12)</f>
        <v>0</v>
      </c>
      <c r="H5" s="68">
        <f>SUM(H6:H12)</f>
        <v>72124</v>
      </c>
      <c r="I5" s="68">
        <f>SUM(I6:I12)</f>
        <v>22294.48546</v>
      </c>
      <c r="J5" s="169">
        <f t="shared" ref="J5:J12" si="0">I5/$H5*100</f>
        <v>30.911326964671954</v>
      </c>
      <c r="K5" s="68">
        <f>SUM(K6:K12)</f>
        <v>40054.638209999997</v>
      </c>
      <c r="L5" s="169">
        <f t="shared" ref="L5:L12" si="1">K5/$H5*100</f>
        <v>55.535796974654758</v>
      </c>
      <c r="M5" s="68">
        <f>SUM(M6:M12)</f>
        <v>64293.678169999999</v>
      </c>
      <c r="N5" s="169">
        <f t="shared" ref="N5:N12" si="2">M5/$H5*100</f>
        <v>89.143250748710557</v>
      </c>
      <c r="O5" s="68">
        <f>SUM(O6:O12)</f>
        <v>87468.65976000001</v>
      </c>
      <c r="P5" s="169">
        <f t="shared" ref="P5:P12" si="3">O5/$H5*100</f>
        <v>121.27538650102603</v>
      </c>
      <c r="Q5" s="470">
        <f>SUM(Q6:Q12)</f>
        <v>15344.659760000004</v>
      </c>
      <c r="R5" s="319"/>
      <c r="S5" s="478">
        <f>SUM(S6:S12)</f>
        <v>87780</v>
      </c>
      <c r="T5" s="169">
        <f>S5/$F5*100</f>
        <v>121.70706006322445</v>
      </c>
      <c r="U5" s="21"/>
    </row>
    <row r="6" spans="1:21" x14ac:dyDescent="0.2">
      <c r="A6" s="107" t="s">
        <v>27</v>
      </c>
      <c r="B6" s="28">
        <v>1111</v>
      </c>
      <c r="C6" s="107"/>
      <c r="D6" s="109"/>
      <c r="E6" s="28" t="s">
        <v>107</v>
      </c>
      <c r="F6" s="67">
        <v>12000</v>
      </c>
      <c r="G6" s="603"/>
      <c r="H6" s="67">
        <f t="shared" ref="H6:H12" si="4">SUM(F6:G6)</f>
        <v>12000</v>
      </c>
      <c r="I6" s="67">
        <v>4112.3953499999998</v>
      </c>
      <c r="J6" s="33">
        <f t="shared" si="0"/>
        <v>34.269961249999994</v>
      </c>
      <c r="K6" s="67">
        <v>6036.1844199999996</v>
      </c>
      <c r="L6" s="33">
        <f t="shared" si="1"/>
        <v>50.30153683333333</v>
      </c>
      <c r="M6" s="67">
        <v>9813.4930999999997</v>
      </c>
      <c r="N6" s="33">
        <f t="shared" si="2"/>
        <v>81.779109166666657</v>
      </c>
      <c r="O6" s="424">
        <v>13895.51179</v>
      </c>
      <c r="P6" s="33">
        <f t="shared" si="3"/>
        <v>115.79593158333334</v>
      </c>
      <c r="Q6" s="471">
        <f t="shared" ref="Q6:Q12" si="5">O6-H6</f>
        <v>1895.5117900000005</v>
      </c>
      <c r="R6" s="33" t="s">
        <v>112</v>
      </c>
      <c r="S6" s="479">
        <v>13000</v>
      </c>
      <c r="T6" s="33">
        <f t="shared" ref="T6:T70" si="6">S6/$F6*100</f>
        <v>108.33333333333333</v>
      </c>
      <c r="U6" s="279"/>
    </row>
    <row r="7" spans="1:21" x14ac:dyDescent="0.2">
      <c r="A7" s="107"/>
      <c r="B7" s="28">
        <v>1112</v>
      </c>
      <c r="C7" s="107"/>
      <c r="D7" s="107"/>
      <c r="E7" s="28" t="s">
        <v>190</v>
      </c>
      <c r="F7" s="67">
        <v>200</v>
      </c>
      <c r="G7" s="603"/>
      <c r="H7" s="67">
        <f t="shared" si="4"/>
        <v>200</v>
      </c>
      <c r="I7" s="67">
        <v>218.86189999999999</v>
      </c>
      <c r="J7" s="33">
        <f t="shared" si="0"/>
        <v>109.43095000000001</v>
      </c>
      <c r="K7" s="67">
        <v>218.86189999999999</v>
      </c>
      <c r="L7" s="33">
        <f t="shared" si="1"/>
        <v>109.43095000000001</v>
      </c>
      <c r="M7" s="67">
        <v>502.78607</v>
      </c>
      <c r="N7" s="33">
        <f t="shared" si="2"/>
        <v>251.393035</v>
      </c>
      <c r="O7" s="424">
        <v>927.46687999999995</v>
      </c>
      <c r="P7" s="33">
        <f t="shared" si="3"/>
        <v>463.73343999999992</v>
      </c>
      <c r="Q7" s="471">
        <f t="shared" si="5"/>
        <v>727.46687999999995</v>
      </c>
      <c r="R7" s="33" t="s">
        <v>112</v>
      </c>
      <c r="S7" s="479">
        <v>400</v>
      </c>
      <c r="T7" s="33">
        <f t="shared" si="6"/>
        <v>200</v>
      </c>
      <c r="U7" s="279"/>
    </row>
    <row r="8" spans="1:21" x14ac:dyDescent="0.2">
      <c r="A8" s="107"/>
      <c r="B8" s="28">
        <v>1113</v>
      </c>
      <c r="C8" s="107"/>
      <c r="D8" s="107"/>
      <c r="E8" s="28" t="s">
        <v>109</v>
      </c>
      <c r="F8" s="67">
        <v>1900</v>
      </c>
      <c r="G8" s="603"/>
      <c r="H8" s="67">
        <f t="shared" si="4"/>
        <v>1900</v>
      </c>
      <c r="I8" s="67">
        <v>504.12076999999999</v>
      </c>
      <c r="J8" s="33">
        <f t="shared" si="0"/>
        <v>26.532672105263156</v>
      </c>
      <c r="K8" s="67">
        <v>1046.7726600000001</v>
      </c>
      <c r="L8" s="33">
        <f t="shared" si="1"/>
        <v>55.09329789473685</v>
      </c>
      <c r="M8" s="67">
        <v>1790.7999199999999</v>
      </c>
      <c r="N8" s="33">
        <f t="shared" si="2"/>
        <v>94.252627368421045</v>
      </c>
      <c r="O8" s="424">
        <v>2405.02486</v>
      </c>
      <c r="P8" s="33">
        <f t="shared" si="3"/>
        <v>126.5802557894737</v>
      </c>
      <c r="Q8" s="471">
        <f t="shared" si="5"/>
        <v>505.02485999999999</v>
      </c>
      <c r="R8" s="33" t="s">
        <v>112</v>
      </c>
      <c r="S8" s="479">
        <v>2300</v>
      </c>
      <c r="T8" s="33">
        <f t="shared" si="6"/>
        <v>121.05263157894737</v>
      </c>
      <c r="U8" s="279"/>
    </row>
    <row r="9" spans="1:21" x14ac:dyDescent="0.2">
      <c r="A9" s="107"/>
      <c r="B9" s="28">
        <v>1121</v>
      </c>
      <c r="C9" s="107"/>
      <c r="D9" s="107"/>
      <c r="E9" s="28" t="s">
        <v>110</v>
      </c>
      <c r="F9" s="67">
        <v>13000</v>
      </c>
      <c r="G9" s="603"/>
      <c r="H9" s="67">
        <f t="shared" si="4"/>
        <v>13000</v>
      </c>
      <c r="I9" s="67">
        <v>4184.9539500000001</v>
      </c>
      <c r="J9" s="33">
        <f t="shared" si="0"/>
        <v>32.191953461538461</v>
      </c>
      <c r="K9" s="67">
        <v>8947.0043000000005</v>
      </c>
      <c r="L9" s="33">
        <f t="shared" si="1"/>
        <v>68.82311</v>
      </c>
      <c r="M9" s="67">
        <v>16091.990449999999</v>
      </c>
      <c r="N9" s="33">
        <f t="shared" si="2"/>
        <v>123.7845419230769</v>
      </c>
      <c r="O9" s="424">
        <v>20292.899580000001</v>
      </c>
      <c r="P9" s="33">
        <f t="shared" si="3"/>
        <v>156.09922753846155</v>
      </c>
      <c r="Q9" s="471">
        <f t="shared" si="5"/>
        <v>7292.8995800000012</v>
      </c>
      <c r="R9" s="33" t="s">
        <v>112</v>
      </c>
      <c r="S9" s="479">
        <v>18000</v>
      </c>
      <c r="T9" s="33">
        <f t="shared" si="6"/>
        <v>138.46153846153845</v>
      </c>
      <c r="U9" s="279"/>
    </row>
    <row r="10" spans="1:21" x14ac:dyDescent="0.2">
      <c r="A10" s="107"/>
      <c r="B10" s="28">
        <v>1211</v>
      </c>
      <c r="C10" s="107"/>
      <c r="D10" s="107"/>
      <c r="E10" s="28" t="s">
        <v>108</v>
      </c>
      <c r="F10" s="67">
        <v>40500</v>
      </c>
      <c r="G10" s="603"/>
      <c r="H10" s="67">
        <f t="shared" si="4"/>
        <v>40500</v>
      </c>
      <c r="I10" s="67">
        <v>9789.9079500000007</v>
      </c>
      <c r="J10" s="33">
        <f t="shared" si="0"/>
        <v>24.172612222222224</v>
      </c>
      <c r="K10" s="67">
        <v>20109.661120000001</v>
      </c>
      <c r="L10" s="33">
        <f t="shared" si="1"/>
        <v>49.653484246913578</v>
      </c>
      <c r="M10" s="67">
        <v>31974.653289999998</v>
      </c>
      <c r="N10" s="33">
        <f t="shared" si="2"/>
        <v>78.949761209876527</v>
      </c>
      <c r="O10" s="424">
        <v>45374.699890000004</v>
      </c>
      <c r="P10" s="33">
        <f t="shared" si="3"/>
        <v>112.03629602469137</v>
      </c>
      <c r="Q10" s="471">
        <f t="shared" si="5"/>
        <v>4874.6998900000035</v>
      </c>
      <c r="R10" s="33" t="s">
        <v>112</v>
      </c>
      <c r="S10" s="479">
        <v>45000</v>
      </c>
      <c r="T10" s="33">
        <f t="shared" si="6"/>
        <v>111.11111111111111</v>
      </c>
      <c r="U10" s="279"/>
    </row>
    <row r="11" spans="1:21" x14ac:dyDescent="0.2">
      <c r="A11" s="107"/>
      <c r="B11" s="28">
        <v>1111</v>
      </c>
      <c r="C11" s="107"/>
      <c r="D11" s="28">
        <v>2</v>
      </c>
      <c r="E11" s="28" t="s">
        <v>120</v>
      </c>
      <c r="F11" s="67">
        <v>1500</v>
      </c>
      <c r="G11" s="603"/>
      <c r="H11" s="67">
        <f t="shared" si="4"/>
        <v>1500</v>
      </c>
      <c r="I11" s="67">
        <v>460.39553999999998</v>
      </c>
      <c r="J11" s="33">
        <f t="shared" si="0"/>
        <v>30.693036000000003</v>
      </c>
      <c r="K11" s="67">
        <v>672.30381</v>
      </c>
      <c r="L11" s="33">
        <f t="shared" si="1"/>
        <v>44.820253999999998</v>
      </c>
      <c r="M11" s="67">
        <v>1096.1053400000001</v>
      </c>
      <c r="N11" s="33">
        <f t="shared" si="2"/>
        <v>73.073689333333334</v>
      </c>
      <c r="O11" s="424">
        <v>1549.20676</v>
      </c>
      <c r="P11" s="33">
        <f t="shared" si="3"/>
        <v>103.28045066666667</v>
      </c>
      <c r="Q11" s="471">
        <f t="shared" si="5"/>
        <v>49.206760000000031</v>
      </c>
      <c r="R11" s="186"/>
      <c r="S11" s="479">
        <v>1400</v>
      </c>
      <c r="T11" s="33">
        <f t="shared" si="6"/>
        <v>93.333333333333329</v>
      </c>
      <c r="U11" s="279"/>
    </row>
    <row r="12" spans="1:21" x14ac:dyDescent="0.2">
      <c r="A12" s="107"/>
      <c r="B12" s="28">
        <v>1122</v>
      </c>
      <c r="C12" s="107"/>
      <c r="D12" s="107"/>
      <c r="E12" s="28" t="s">
        <v>111</v>
      </c>
      <c r="F12" s="67">
        <v>3024</v>
      </c>
      <c r="G12" s="604"/>
      <c r="H12" s="67">
        <f t="shared" si="4"/>
        <v>3024</v>
      </c>
      <c r="I12" s="67">
        <v>3023.85</v>
      </c>
      <c r="J12" s="33">
        <f t="shared" si="0"/>
        <v>99.995039682539684</v>
      </c>
      <c r="K12" s="67">
        <v>3023.85</v>
      </c>
      <c r="L12" s="33">
        <f t="shared" si="1"/>
        <v>99.995039682539684</v>
      </c>
      <c r="M12" s="67">
        <v>3023.85</v>
      </c>
      <c r="N12" s="33">
        <f t="shared" si="2"/>
        <v>99.995039682539684</v>
      </c>
      <c r="O12" s="424">
        <v>3023.85</v>
      </c>
      <c r="P12" s="33">
        <f t="shared" si="3"/>
        <v>99.995039682539684</v>
      </c>
      <c r="Q12" s="471">
        <f t="shared" si="5"/>
        <v>-0.15000000000009095</v>
      </c>
      <c r="R12" s="109" t="s">
        <v>150</v>
      </c>
      <c r="S12" s="479">
        <v>7680</v>
      </c>
      <c r="T12" s="33">
        <f t="shared" si="6"/>
        <v>253.96825396825395</v>
      </c>
      <c r="U12" s="279"/>
    </row>
    <row r="13" spans="1:21" x14ac:dyDescent="0.2">
      <c r="A13" s="94" t="s">
        <v>28</v>
      </c>
      <c r="B13" s="31"/>
      <c r="C13" s="94"/>
      <c r="D13" s="31"/>
      <c r="E13" s="31"/>
      <c r="F13" s="68"/>
      <c r="G13" s="602"/>
      <c r="H13" s="68"/>
      <c r="I13" s="68"/>
      <c r="J13" s="33"/>
      <c r="K13" s="68"/>
      <c r="L13" s="33"/>
      <c r="M13" s="68"/>
      <c r="N13" s="33"/>
      <c r="O13" s="68"/>
      <c r="P13" s="33"/>
      <c r="Q13" s="472"/>
      <c r="R13" s="255"/>
      <c r="S13" s="478"/>
      <c r="T13" s="33"/>
      <c r="U13" s="344"/>
    </row>
    <row r="14" spans="1:21" x14ac:dyDescent="0.2">
      <c r="A14" s="107"/>
      <c r="B14" s="107"/>
      <c r="C14" s="107"/>
      <c r="D14" s="107"/>
      <c r="E14" s="31" t="s">
        <v>144</v>
      </c>
      <c r="F14" s="68">
        <f>SUM(F15:F25)</f>
        <v>4535</v>
      </c>
      <c r="G14" s="602">
        <f>SUM(G15:G25)</f>
        <v>0</v>
      </c>
      <c r="H14" s="68">
        <f>SUM(H15:H25)</f>
        <v>4535</v>
      </c>
      <c r="I14" s="68">
        <f>SUM(I15:I25)</f>
        <v>870.87700000000007</v>
      </c>
      <c r="J14" s="169">
        <f>I14/$H14*100</f>
        <v>19.203461962513781</v>
      </c>
      <c r="K14" s="68">
        <f>SUM(K15:K25)</f>
        <v>2220.2114100000003</v>
      </c>
      <c r="L14" s="169">
        <f t="shared" ref="L14:L26" si="7">K14/$H14*100</f>
        <v>48.957252701212795</v>
      </c>
      <c r="M14" s="68">
        <f>SUM(M15:M25)</f>
        <v>3242.2664099999993</v>
      </c>
      <c r="N14" s="169">
        <f t="shared" ref="N14:N26" si="8">M14/$H14*100</f>
        <v>71.494297905181909</v>
      </c>
      <c r="O14" s="68">
        <f>SUM(O15:O25)</f>
        <v>4237.721410000001</v>
      </c>
      <c r="P14" s="169">
        <f t="shared" ref="P14:P23" si="9">O14/$H14*100</f>
        <v>93.444794046306527</v>
      </c>
      <c r="Q14" s="470">
        <f>SUM(Q15:Q25)</f>
        <v>-297.27858999999967</v>
      </c>
      <c r="R14" s="255"/>
      <c r="S14" s="478">
        <f>SUM(S15:S25)</f>
        <v>4480</v>
      </c>
      <c r="T14" s="169">
        <f t="shared" si="6"/>
        <v>98.787210584343981</v>
      </c>
      <c r="U14" s="142"/>
    </row>
    <row r="15" spans="1:21" x14ac:dyDescent="0.2">
      <c r="A15" s="107"/>
      <c r="B15" s="28">
        <v>1361</v>
      </c>
      <c r="D15" s="109" t="s">
        <v>135</v>
      </c>
      <c r="E15" s="28" t="s">
        <v>29</v>
      </c>
      <c r="F15" s="67">
        <v>200</v>
      </c>
      <c r="G15" s="604"/>
      <c r="H15" s="67">
        <f t="shared" ref="H15:H25" si="10">SUM(F15:G15)</f>
        <v>200</v>
      </c>
      <c r="I15" s="67">
        <f>2.15+19.38+2+6</f>
        <v>29.529999999999998</v>
      </c>
      <c r="J15" s="33">
        <f t="shared" ref="J15:J36" si="11">I15/$H15*100</f>
        <v>14.764999999999997</v>
      </c>
      <c r="K15" s="67">
        <f>3.865+42.72641+3.1+31</f>
        <v>80.691410000000005</v>
      </c>
      <c r="L15" s="33">
        <f t="shared" si="7"/>
        <v>40.345705000000002</v>
      </c>
      <c r="M15" s="67">
        <f>6.38+64.39641+3.1+50</f>
        <v>123.87640999999999</v>
      </c>
      <c r="N15" s="33">
        <f t="shared" si="8"/>
        <v>61.938205000000004</v>
      </c>
      <c r="O15" s="424">
        <f>8.68+85.70641+3.1+60</f>
        <v>157.48641000000001</v>
      </c>
      <c r="P15" s="33">
        <f t="shared" si="9"/>
        <v>78.743205000000003</v>
      </c>
      <c r="Q15" s="471">
        <f t="shared" ref="Q15:Q25" si="12">O15-H15</f>
        <v>-42.513589999999994</v>
      </c>
      <c r="R15" s="187" t="s">
        <v>336</v>
      </c>
      <c r="S15" s="479">
        <v>195</v>
      </c>
      <c r="T15" s="33">
        <f t="shared" si="6"/>
        <v>97.5</v>
      </c>
      <c r="U15" s="114"/>
    </row>
    <row r="16" spans="1:21" x14ac:dyDescent="0.2">
      <c r="A16" s="107"/>
      <c r="B16" s="28">
        <v>1361</v>
      </c>
      <c r="C16" s="107"/>
      <c r="D16" s="28">
        <v>7</v>
      </c>
      <c r="E16" s="28" t="s">
        <v>158</v>
      </c>
      <c r="F16" s="67">
        <v>800</v>
      </c>
      <c r="G16" s="604"/>
      <c r="H16" s="67">
        <f t="shared" si="10"/>
        <v>800</v>
      </c>
      <c r="I16" s="67">
        <v>228.08500000000001</v>
      </c>
      <c r="J16" s="33">
        <f t="shared" si="11"/>
        <v>28.510625000000001</v>
      </c>
      <c r="K16" s="67">
        <v>476.60500000000002</v>
      </c>
      <c r="L16" s="33">
        <f t="shared" si="7"/>
        <v>59.575625000000002</v>
      </c>
      <c r="M16" s="67">
        <v>625.69500000000005</v>
      </c>
      <c r="N16" s="33">
        <f t="shared" si="8"/>
        <v>78.211875000000006</v>
      </c>
      <c r="O16" s="424">
        <v>782.45</v>
      </c>
      <c r="P16" s="33">
        <f t="shared" si="9"/>
        <v>97.806250000000006</v>
      </c>
      <c r="Q16" s="471">
        <f t="shared" si="12"/>
        <v>-17.549999999999955</v>
      </c>
      <c r="R16" s="187"/>
      <c r="S16" s="479">
        <v>800</v>
      </c>
      <c r="T16" s="33">
        <f t="shared" si="6"/>
        <v>100</v>
      </c>
      <c r="U16" s="114"/>
    </row>
    <row r="17" spans="1:21" x14ac:dyDescent="0.2">
      <c r="A17" s="107"/>
      <c r="B17" s="28">
        <v>1361</v>
      </c>
      <c r="C17" s="107"/>
      <c r="D17" s="28">
        <v>10.23</v>
      </c>
      <c r="E17" s="111" t="s">
        <v>160</v>
      </c>
      <c r="F17" s="67">
        <f>40+70</f>
        <v>110</v>
      </c>
      <c r="G17" s="604"/>
      <c r="H17" s="67">
        <f t="shared" si="10"/>
        <v>110</v>
      </c>
      <c r="I17" s="67">
        <f>22.975+29.9</f>
        <v>52.875</v>
      </c>
      <c r="J17" s="33">
        <f t="shared" si="11"/>
        <v>48.068181818181813</v>
      </c>
      <c r="K17" s="67">
        <f>33.975+67.5</f>
        <v>101.47499999999999</v>
      </c>
      <c r="L17" s="33">
        <f t="shared" si="7"/>
        <v>92.25</v>
      </c>
      <c r="M17" s="67">
        <f>37.9+94</f>
        <v>131.9</v>
      </c>
      <c r="N17" s="33">
        <f t="shared" si="8"/>
        <v>119.90909090909092</v>
      </c>
      <c r="O17" s="424">
        <f>42.85+116.3</f>
        <v>159.15</v>
      </c>
      <c r="P17" s="33">
        <f t="shared" si="9"/>
        <v>144.68181818181819</v>
      </c>
      <c r="Q17" s="471">
        <f t="shared" si="12"/>
        <v>49.150000000000006</v>
      </c>
      <c r="R17" s="187"/>
      <c r="S17" s="479">
        <f>85+35</f>
        <v>120</v>
      </c>
      <c r="T17" s="33">
        <f t="shared" si="6"/>
        <v>109.09090909090908</v>
      </c>
    </row>
    <row r="18" spans="1:21" x14ac:dyDescent="0.2">
      <c r="A18" s="107"/>
      <c r="B18" s="28">
        <v>1361</v>
      </c>
      <c r="C18" s="107"/>
      <c r="D18" s="28">
        <v>11</v>
      </c>
      <c r="E18" s="28" t="s">
        <v>30</v>
      </c>
      <c r="F18" s="67">
        <v>150</v>
      </c>
      <c r="G18" s="604"/>
      <c r="H18" s="67">
        <f t="shared" si="10"/>
        <v>150</v>
      </c>
      <c r="I18" s="67">
        <v>33.340000000000003</v>
      </c>
      <c r="J18" s="33">
        <f t="shared" si="11"/>
        <v>22.22666666666667</v>
      </c>
      <c r="K18" s="67">
        <v>73.56</v>
      </c>
      <c r="L18" s="33">
        <f t="shared" si="7"/>
        <v>49.04</v>
      </c>
      <c r="M18" s="67">
        <v>108.3</v>
      </c>
      <c r="N18" s="33">
        <f t="shared" si="8"/>
        <v>72.2</v>
      </c>
      <c r="O18" s="424">
        <v>145.6</v>
      </c>
      <c r="P18" s="33">
        <f t="shared" si="9"/>
        <v>97.066666666666663</v>
      </c>
      <c r="Q18" s="471">
        <f t="shared" si="12"/>
        <v>-4.4000000000000057</v>
      </c>
      <c r="R18" s="187"/>
      <c r="S18" s="479">
        <v>150</v>
      </c>
      <c r="T18" s="33">
        <f t="shared" si="6"/>
        <v>100</v>
      </c>
    </row>
    <row r="19" spans="1:21" x14ac:dyDescent="0.2">
      <c r="A19" s="107"/>
      <c r="B19" s="28">
        <v>1361</v>
      </c>
      <c r="C19" s="107"/>
      <c r="D19" s="28">
        <v>24</v>
      </c>
      <c r="E19" s="28" t="s">
        <v>161</v>
      </c>
      <c r="F19" s="67">
        <v>30</v>
      </c>
      <c r="G19" s="604"/>
      <c r="H19" s="67">
        <f t="shared" si="10"/>
        <v>30</v>
      </c>
      <c r="I19" s="67">
        <v>2.6</v>
      </c>
      <c r="J19" s="33">
        <f t="shared" si="11"/>
        <v>8.6666666666666679</v>
      </c>
      <c r="K19" s="67">
        <v>17</v>
      </c>
      <c r="L19" s="33">
        <f t="shared" si="7"/>
        <v>56.666666666666664</v>
      </c>
      <c r="M19" s="67">
        <v>21.9</v>
      </c>
      <c r="N19" s="33">
        <f t="shared" si="8"/>
        <v>73</v>
      </c>
      <c r="O19" s="424">
        <v>24.8</v>
      </c>
      <c r="P19" s="33">
        <f t="shared" si="9"/>
        <v>82.666666666666671</v>
      </c>
      <c r="Q19" s="471">
        <f t="shared" si="12"/>
        <v>-5.1999999999999993</v>
      </c>
      <c r="R19" s="187"/>
      <c r="S19" s="479">
        <v>30</v>
      </c>
      <c r="T19" s="33">
        <f t="shared" si="6"/>
        <v>100</v>
      </c>
      <c r="U19" s="349"/>
    </row>
    <row r="20" spans="1:21" x14ac:dyDescent="0.2">
      <c r="A20" s="107"/>
      <c r="B20" s="28">
        <v>1361</v>
      </c>
      <c r="C20" s="107"/>
      <c r="D20" s="28" t="s">
        <v>432</v>
      </c>
      <c r="E20" s="28" t="s">
        <v>162</v>
      </c>
      <c r="F20" s="67">
        <v>2500</v>
      </c>
      <c r="G20" s="603"/>
      <c r="H20" s="67">
        <f t="shared" si="10"/>
        <v>2500</v>
      </c>
      <c r="I20" s="67">
        <f>6.6+398.88+7.43</f>
        <v>412.91</v>
      </c>
      <c r="J20" s="33">
        <f t="shared" si="11"/>
        <v>16.516400000000001</v>
      </c>
      <c r="K20" s="67">
        <f>64.7+966.98+62.195</f>
        <v>1093.875</v>
      </c>
      <c r="L20" s="33">
        <f t="shared" si="7"/>
        <v>43.755000000000003</v>
      </c>
      <c r="M20" s="67">
        <f>84.1+1458.93+118.71</f>
        <v>1661.74</v>
      </c>
      <c r="N20" s="33">
        <f t="shared" si="8"/>
        <v>66.4696</v>
      </c>
      <c r="O20" s="424">
        <f>90.6+2016.28+159.65</f>
        <v>2266.5300000000002</v>
      </c>
      <c r="P20" s="33">
        <f t="shared" si="9"/>
        <v>90.661200000000008</v>
      </c>
      <c r="Q20" s="471">
        <f t="shared" si="12"/>
        <v>-233.4699999999998</v>
      </c>
      <c r="R20" s="187"/>
      <c r="S20" s="479">
        <f>90+210+2200</f>
        <v>2500</v>
      </c>
      <c r="T20" s="33">
        <f t="shared" si="6"/>
        <v>100</v>
      </c>
      <c r="U20" s="110"/>
    </row>
    <row r="21" spans="1:21" x14ac:dyDescent="0.2">
      <c r="A21" s="107"/>
      <c r="B21" s="28">
        <v>1353</v>
      </c>
      <c r="C21" s="107"/>
      <c r="D21" s="28">
        <v>26</v>
      </c>
      <c r="E21" s="28" t="s">
        <v>189</v>
      </c>
      <c r="F21" s="67">
        <v>400</v>
      </c>
      <c r="G21" s="603"/>
      <c r="H21" s="67">
        <f t="shared" si="10"/>
        <v>400</v>
      </c>
      <c r="I21" s="67">
        <v>57.7</v>
      </c>
      <c r="J21" s="33">
        <f t="shared" si="11"/>
        <v>14.425000000000002</v>
      </c>
      <c r="K21" s="67">
        <v>170.4</v>
      </c>
      <c r="L21" s="33">
        <f t="shared" si="7"/>
        <v>42.6</v>
      </c>
      <c r="M21" s="67">
        <v>222.9</v>
      </c>
      <c r="N21" s="33">
        <f t="shared" si="8"/>
        <v>55.725000000000001</v>
      </c>
      <c r="O21" s="424">
        <v>255</v>
      </c>
      <c r="P21" s="33">
        <f t="shared" si="9"/>
        <v>63.749999999999993</v>
      </c>
      <c r="Q21" s="471">
        <f t="shared" si="12"/>
        <v>-145</v>
      </c>
      <c r="R21" s="187"/>
      <c r="S21" s="479">
        <v>250</v>
      </c>
      <c r="T21" s="33">
        <f t="shared" si="6"/>
        <v>62.5</v>
      </c>
    </row>
    <row r="22" spans="1:21" x14ac:dyDescent="0.2">
      <c r="A22" s="107"/>
      <c r="B22" s="28">
        <v>1361</v>
      </c>
      <c r="C22" s="107"/>
      <c r="D22" s="28">
        <v>32.33</v>
      </c>
      <c r="E22" s="28" t="s">
        <v>132</v>
      </c>
      <c r="F22" s="67">
        <f>260+50</f>
        <v>310</v>
      </c>
      <c r="G22" s="603"/>
      <c r="H22" s="67">
        <f t="shared" si="10"/>
        <v>310</v>
      </c>
      <c r="I22" s="67">
        <f>38.9+11.4</f>
        <v>50.3</v>
      </c>
      <c r="J22" s="33">
        <f t="shared" si="11"/>
        <v>16.225806451612904</v>
      </c>
      <c r="K22" s="67">
        <f>154.9+33.05</f>
        <v>187.95</v>
      </c>
      <c r="L22" s="33">
        <f t="shared" si="7"/>
        <v>60.629032258064505</v>
      </c>
      <c r="M22" s="67">
        <f>253.2+68.1</f>
        <v>321.29999999999995</v>
      </c>
      <c r="N22" s="33">
        <f t="shared" si="8"/>
        <v>103.64516129032258</v>
      </c>
      <c r="O22" s="424">
        <f>318.6+96.25</f>
        <v>414.85</v>
      </c>
      <c r="P22" s="33">
        <f t="shared" si="9"/>
        <v>133.82258064516131</v>
      </c>
      <c r="Q22" s="471">
        <f t="shared" si="12"/>
        <v>104.85000000000002</v>
      </c>
      <c r="R22" s="190"/>
      <c r="S22" s="479">
        <v>400</v>
      </c>
      <c r="T22" s="33">
        <f t="shared" si="6"/>
        <v>129.03225806451613</v>
      </c>
    </row>
    <row r="23" spans="1:21" x14ac:dyDescent="0.2">
      <c r="A23" s="107"/>
      <c r="B23" s="28">
        <v>1361</v>
      </c>
      <c r="C23" s="107"/>
      <c r="D23" s="28">
        <v>35</v>
      </c>
      <c r="E23" s="28" t="s">
        <v>228</v>
      </c>
      <c r="F23" s="67">
        <v>35</v>
      </c>
      <c r="G23" s="604"/>
      <c r="H23" s="67">
        <f t="shared" si="10"/>
        <v>35</v>
      </c>
      <c r="I23" s="67">
        <v>7.9</v>
      </c>
      <c r="J23" s="33">
        <f t="shared" si="11"/>
        <v>22.571428571428573</v>
      </c>
      <c r="K23" s="67">
        <v>11.4</v>
      </c>
      <c r="L23" s="33">
        <f t="shared" si="7"/>
        <v>32.571428571428577</v>
      </c>
      <c r="M23" s="67">
        <v>16.600000000000001</v>
      </c>
      <c r="N23" s="33">
        <f t="shared" si="8"/>
        <v>47.428571428571431</v>
      </c>
      <c r="O23" s="424">
        <v>23.8</v>
      </c>
      <c r="P23" s="33">
        <f t="shared" si="9"/>
        <v>68</v>
      </c>
      <c r="Q23" s="471">
        <f t="shared" si="12"/>
        <v>-11.2</v>
      </c>
      <c r="R23" s="187"/>
      <c r="S23" s="479">
        <v>35</v>
      </c>
      <c r="T23" s="33">
        <f t="shared" si="6"/>
        <v>100</v>
      </c>
    </row>
    <row r="24" spans="1:21" x14ac:dyDescent="0.2">
      <c r="A24" s="107"/>
      <c r="B24" s="28">
        <v>1361</v>
      </c>
      <c r="C24" s="107"/>
      <c r="D24" s="28">
        <v>40</v>
      </c>
      <c r="E24" s="28" t="s">
        <v>31</v>
      </c>
      <c r="F24" s="67">
        <v>0</v>
      </c>
      <c r="G24" s="604"/>
      <c r="H24" s="67">
        <f t="shared" si="10"/>
        <v>0</v>
      </c>
      <c r="I24" s="67">
        <v>0.04</v>
      </c>
      <c r="J24" s="33"/>
      <c r="K24" s="67">
        <v>8.0399999999999991</v>
      </c>
      <c r="L24" s="33"/>
      <c r="M24" s="67">
        <v>8.0399999999999991</v>
      </c>
      <c r="N24" s="33"/>
      <c r="O24" s="424">
        <v>8.0399999999999991</v>
      </c>
      <c r="P24" s="33"/>
      <c r="Q24" s="471">
        <f t="shared" si="12"/>
        <v>8.0399999999999991</v>
      </c>
      <c r="R24" s="409"/>
      <c r="S24" s="479">
        <v>0</v>
      </c>
      <c r="T24" s="33"/>
    </row>
    <row r="25" spans="1:21" x14ac:dyDescent="0.2">
      <c r="A25" s="107"/>
      <c r="B25" s="28">
        <v>1361</v>
      </c>
      <c r="C25" s="107"/>
      <c r="D25" s="109" t="s">
        <v>188</v>
      </c>
      <c r="E25" s="28" t="s">
        <v>100</v>
      </c>
      <c r="F25" s="67"/>
      <c r="G25" s="604"/>
      <c r="H25" s="67">
        <f t="shared" si="10"/>
        <v>0</v>
      </c>
      <c r="I25" s="67">
        <v>-4.4029999999999996</v>
      </c>
      <c r="J25" s="33"/>
      <c r="K25" s="67">
        <f>-0.8+0.015</f>
        <v>-0.78500000000000003</v>
      </c>
      <c r="L25" s="33"/>
      <c r="M25" s="67">
        <v>1.4999999999999999E-2</v>
      </c>
      <c r="N25" s="33"/>
      <c r="O25" s="424">
        <v>1.4999999999999999E-2</v>
      </c>
      <c r="P25" s="33"/>
      <c r="Q25" s="471">
        <f t="shared" si="12"/>
        <v>1.4999999999999999E-2</v>
      </c>
      <c r="R25" s="187"/>
      <c r="S25" s="479"/>
      <c r="T25" s="33"/>
    </row>
    <row r="26" spans="1:21" x14ac:dyDescent="0.2">
      <c r="A26" s="107"/>
      <c r="B26" s="107"/>
      <c r="C26" s="107"/>
      <c r="D26" s="107"/>
      <c r="E26" s="31" t="s">
        <v>253</v>
      </c>
      <c r="F26" s="68">
        <f>SUM(F27:F28)</f>
        <v>3250</v>
      </c>
      <c r="G26" s="602">
        <f>SUM(G27:G28)</f>
        <v>0</v>
      </c>
      <c r="H26" s="68">
        <f>SUM(H27:H28)</f>
        <v>3250</v>
      </c>
      <c r="I26" s="68">
        <f>SUM(I27:I28)</f>
        <v>823.64263000000005</v>
      </c>
      <c r="J26" s="169">
        <f>I26/$H26*100</f>
        <v>25.342850153846157</v>
      </c>
      <c r="K26" s="68">
        <f>SUM(K27:K28)</f>
        <v>1529.66382</v>
      </c>
      <c r="L26" s="169">
        <f t="shared" si="7"/>
        <v>47.066579076923077</v>
      </c>
      <c r="M26" s="68">
        <f>SUM(M27:M28)</f>
        <v>1786.4038499999999</v>
      </c>
      <c r="N26" s="169">
        <f t="shared" si="8"/>
        <v>54.966272307692307</v>
      </c>
      <c r="O26" s="68">
        <f>SUM(O27:O28)</f>
        <v>3563.1470300000001</v>
      </c>
      <c r="P26" s="169">
        <f>O26/$H26*100</f>
        <v>109.63529323076924</v>
      </c>
      <c r="Q26" s="470">
        <f>SUM(Q27:Q28)</f>
        <v>313.14703000000009</v>
      </c>
      <c r="R26" s="109"/>
      <c r="S26" s="478">
        <f>SUM(S27:S28)</f>
        <v>3500</v>
      </c>
      <c r="T26" s="169">
        <f t="shared" si="6"/>
        <v>107.69230769230769</v>
      </c>
      <c r="U26" s="114"/>
    </row>
    <row r="27" spans="1:21" x14ac:dyDescent="0.2">
      <c r="A27" s="107"/>
      <c r="B27" s="28">
        <v>1332.1333999999999</v>
      </c>
      <c r="C27" s="107"/>
      <c r="D27" s="28">
        <v>23.12</v>
      </c>
      <c r="E27" s="28" t="s">
        <v>343</v>
      </c>
      <c r="F27" s="67">
        <v>0</v>
      </c>
      <c r="G27" s="604"/>
      <c r="H27" s="67">
        <f>SUM(F27:G27)</f>
        <v>0</v>
      </c>
      <c r="I27" s="67"/>
      <c r="J27" s="33"/>
      <c r="K27" s="67"/>
      <c r="L27" s="33"/>
      <c r="M27" s="67">
        <f>0.9184</f>
        <v>0.91839999999999999</v>
      </c>
      <c r="N27" s="33"/>
      <c r="O27" s="424">
        <v>1.2789999999999999</v>
      </c>
      <c r="P27" s="33"/>
      <c r="Q27" s="471">
        <f>O27-H27</f>
        <v>1.2789999999999999</v>
      </c>
      <c r="R27" s="187"/>
      <c r="S27" s="479"/>
      <c r="T27" s="33"/>
    </row>
    <row r="28" spans="1:21" x14ac:dyDescent="0.2">
      <c r="A28" s="107"/>
      <c r="B28" s="28">
        <v>1381</v>
      </c>
      <c r="C28" s="107"/>
      <c r="D28" s="28">
        <v>401</v>
      </c>
      <c r="E28" s="28" t="s">
        <v>312</v>
      </c>
      <c r="F28" s="67">
        <v>3250</v>
      </c>
      <c r="G28" s="603"/>
      <c r="H28" s="67">
        <f>SUM(F28:G28)</f>
        <v>3250</v>
      </c>
      <c r="I28" s="67">
        <f>182.12225+641.52038</f>
        <v>823.64263000000005</v>
      </c>
      <c r="J28" s="33">
        <f>I28/$H28*100</f>
        <v>25.342850153846157</v>
      </c>
      <c r="K28" s="67">
        <f>332.87376+1196.79006</f>
        <v>1529.66382</v>
      </c>
      <c r="L28" s="33">
        <f t="shared" ref="L28:L36" si="13">K28/$H28*100</f>
        <v>47.066579076923077</v>
      </c>
      <c r="M28" s="67">
        <f>503.17239+1282.31306</f>
        <v>1785.4854499999999</v>
      </c>
      <c r="N28" s="33">
        <f t="shared" ref="N28:N37" si="14">M28/$H28*100</f>
        <v>54.938013846153844</v>
      </c>
      <c r="O28" s="424">
        <f>2892.38163+669.45343+0.03297</f>
        <v>3561.8680300000001</v>
      </c>
      <c r="P28" s="33">
        <f t="shared" ref="P28:P33" si="15">O28/$H28*100</f>
        <v>109.59593938461538</v>
      </c>
      <c r="Q28" s="471">
        <f>O28-H28</f>
        <v>311.86803000000009</v>
      </c>
      <c r="R28" s="187"/>
      <c r="S28" s="479">
        <v>3500</v>
      </c>
      <c r="T28" s="33">
        <f t="shared" si="6"/>
        <v>107.69230769230769</v>
      </c>
    </row>
    <row r="29" spans="1:21" x14ac:dyDescent="0.2">
      <c r="A29" s="107"/>
      <c r="B29" s="107"/>
      <c r="C29" s="107"/>
      <c r="D29" s="107"/>
      <c r="E29" s="31" t="s">
        <v>145</v>
      </c>
      <c r="F29" s="68">
        <f>SUM(F30:F34)</f>
        <v>3435</v>
      </c>
      <c r="G29" s="602">
        <f>SUM(G30:G34)</f>
        <v>0</v>
      </c>
      <c r="H29" s="68">
        <f>SUM(H30:H34)</f>
        <v>3435</v>
      </c>
      <c r="I29" s="68">
        <f>SUM(I30:I34)</f>
        <v>1434.1993900000002</v>
      </c>
      <c r="J29" s="169">
        <f t="shared" si="11"/>
        <v>41.752529548762745</v>
      </c>
      <c r="K29" s="68">
        <f>SUM(K30:K34)</f>
        <v>2790.99863</v>
      </c>
      <c r="L29" s="169">
        <f t="shared" si="13"/>
        <v>81.251779621542937</v>
      </c>
      <c r="M29" s="68">
        <f>SUM(M30:M34)</f>
        <v>3031.4607500000002</v>
      </c>
      <c r="N29" s="169">
        <f t="shared" si="14"/>
        <v>88.252132459970895</v>
      </c>
      <c r="O29" s="68">
        <f>SUM(O30:O34)</f>
        <v>3405.6445599999997</v>
      </c>
      <c r="P29" s="169">
        <f t="shared" si="15"/>
        <v>99.145402037845699</v>
      </c>
      <c r="Q29" s="470">
        <f>SUM(Q30:Q34)</f>
        <v>-29.355440000000044</v>
      </c>
      <c r="R29" s="255"/>
      <c r="S29" s="478">
        <f>SUM(S30:S34)</f>
        <v>3485</v>
      </c>
      <c r="T29" s="169">
        <f t="shared" si="6"/>
        <v>101.45560407569141</v>
      </c>
    </row>
    <row r="30" spans="1:21" x14ac:dyDescent="0.2">
      <c r="A30" s="107"/>
      <c r="B30" s="28">
        <v>1340</v>
      </c>
      <c r="C30" s="107"/>
      <c r="D30" s="28">
        <v>240</v>
      </c>
      <c r="E30" s="28" t="s">
        <v>102</v>
      </c>
      <c r="F30" s="67">
        <v>3200</v>
      </c>
      <c r="G30" s="604"/>
      <c r="H30" s="67">
        <f>SUM(F30:G30)</f>
        <v>3200</v>
      </c>
      <c r="I30" s="67">
        <v>1351.8491300000001</v>
      </c>
      <c r="J30" s="33">
        <f>I30/$H30*100</f>
        <v>42.245285312500002</v>
      </c>
      <c r="K30" s="67">
        <v>2673.8906900000002</v>
      </c>
      <c r="L30" s="33">
        <f t="shared" si="13"/>
        <v>83.559084062500006</v>
      </c>
      <c r="M30" s="67">
        <v>2871.5862200000001</v>
      </c>
      <c r="N30" s="33">
        <f t="shared" si="14"/>
        <v>89.737069375000004</v>
      </c>
      <c r="O30" s="424">
        <v>3220.47435</v>
      </c>
      <c r="P30" s="33">
        <f t="shared" si="15"/>
        <v>100.6398234375</v>
      </c>
      <c r="Q30" s="471">
        <f>O30-H30</f>
        <v>20.474349999999959</v>
      </c>
      <c r="R30" s="109" t="s">
        <v>259</v>
      </c>
      <c r="S30" s="479">
        <v>3200</v>
      </c>
      <c r="T30" s="33">
        <f t="shared" si="6"/>
        <v>100</v>
      </c>
    </row>
    <row r="31" spans="1:21" x14ac:dyDescent="0.2">
      <c r="A31" s="107"/>
      <c r="B31" s="28">
        <v>1341</v>
      </c>
      <c r="C31" s="107"/>
      <c r="D31" s="28">
        <v>5</v>
      </c>
      <c r="E31" s="28" t="s">
        <v>105</v>
      </c>
      <c r="F31" s="67">
        <v>115</v>
      </c>
      <c r="G31" s="604"/>
      <c r="H31" s="67">
        <f>SUM(F31:G31)</f>
        <v>115</v>
      </c>
      <c r="I31" s="67">
        <v>76.690259999999995</v>
      </c>
      <c r="J31" s="33">
        <f>I31/$H31*100</f>
        <v>66.68718260869565</v>
      </c>
      <c r="K31" s="67">
        <v>105.02794</v>
      </c>
      <c r="L31" s="33">
        <f t="shared" si="13"/>
        <v>91.328643478260872</v>
      </c>
      <c r="M31" s="67">
        <v>110.32953000000001</v>
      </c>
      <c r="N31" s="33">
        <f t="shared" si="14"/>
        <v>95.938721739130443</v>
      </c>
      <c r="O31" s="424">
        <v>117.68221</v>
      </c>
      <c r="P31" s="33">
        <f t="shared" si="15"/>
        <v>102.33235652173913</v>
      </c>
      <c r="Q31" s="471">
        <f>O31-H31</f>
        <v>2.6822099999999978</v>
      </c>
      <c r="R31" s="109"/>
      <c r="S31" s="479">
        <v>105</v>
      </c>
      <c r="T31" s="33">
        <f t="shared" si="6"/>
        <v>91.304347826086953</v>
      </c>
    </row>
    <row r="32" spans="1:21" x14ac:dyDescent="0.2">
      <c r="A32" s="107"/>
      <c r="B32" s="28">
        <v>1342</v>
      </c>
      <c r="C32" s="107"/>
      <c r="D32" s="28">
        <v>9</v>
      </c>
      <c r="E32" s="28" t="s">
        <v>334</v>
      </c>
      <c r="F32" s="67">
        <v>30</v>
      </c>
      <c r="G32" s="604"/>
      <c r="H32" s="67">
        <f>SUM(F32:G32)</f>
        <v>30</v>
      </c>
      <c r="I32" s="67"/>
      <c r="J32" s="33"/>
      <c r="K32" s="67">
        <v>0.96</v>
      </c>
      <c r="L32" s="33">
        <f t="shared" si="13"/>
        <v>3.2</v>
      </c>
      <c r="M32" s="67">
        <v>0.96</v>
      </c>
      <c r="N32" s="33">
        <f t="shared" si="14"/>
        <v>3.2</v>
      </c>
      <c r="O32" s="424">
        <v>0.96</v>
      </c>
      <c r="P32" s="33">
        <f t="shared" si="15"/>
        <v>3.2</v>
      </c>
      <c r="Q32" s="471">
        <f>O32-H32</f>
        <v>-29.04</v>
      </c>
      <c r="R32" s="109"/>
      <c r="S32" s="479">
        <v>90</v>
      </c>
      <c r="T32" s="33">
        <f t="shared" si="6"/>
        <v>300</v>
      </c>
    </row>
    <row r="33" spans="1:21" x14ac:dyDescent="0.2">
      <c r="A33" s="107"/>
      <c r="B33" s="28">
        <v>1343</v>
      </c>
      <c r="C33" s="107"/>
      <c r="D33" s="28">
        <v>30</v>
      </c>
      <c r="E33" s="28" t="s">
        <v>106</v>
      </c>
      <c r="F33" s="67">
        <v>90</v>
      </c>
      <c r="G33" s="604"/>
      <c r="H33" s="67">
        <f>SUM(F33:G33)</f>
        <v>90</v>
      </c>
      <c r="I33" s="67">
        <v>5.66</v>
      </c>
      <c r="J33" s="33">
        <f>I33/$H33*100</f>
        <v>6.2888888888888896</v>
      </c>
      <c r="K33" s="67">
        <v>11.12</v>
      </c>
      <c r="L33" s="33">
        <f t="shared" si="13"/>
        <v>12.355555555555554</v>
      </c>
      <c r="M33" s="67">
        <v>24.298999999999999</v>
      </c>
      <c r="N33" s="33">
        <f>M33/$H33*100</f>
        <v>26.998888888888889</v>
      </c>
      <c r="O33" s="424">
        <v>33.210099999999997</v>
      </c>
      <c r="P33" s="33">
        <f t="shared" si="15"/>
        <v>36.900111111111109</v>
      </c>
      <c r="Q33" s="471">
        <f>O33-H33</f>
        <v>-56.789900000000003</v>
      </c>
      <c r="R33" s="109" t="s">
        <v>436</v>
      </c>
      <c r="S33" s="479">
        <v>90</v>
      </c>
      <c r="T33" s="33">
        <f t="shared" si="6"/>
        <v>100</v>
      </c>
    </row>
    <row r="34" spans="1:21" x14ac:dyDescent="0.2">
      <c r="A34" s="107"/>
      <c r="B34" s="28">
        <v>1349</v>
      </c>
      <c r="C34" s="107"/>
      <c r="D34" s="28">
        <v>31</v>
      </c>
      <c r="E34" s="28" t="s">
        <v>476</v>
      </c>
      <c r="F34" s="67">
        <v>0</v>
      </c>
      <c r="G34" s="604"/>
      <c r="H34" s="67">
        <f>SUM(F34:G34)</f>
        <v>0</v>
      </c>
      <c r="I34" s="67"/>
      <c r="J34" s="33"/>
      <c r="K34" s="67"/>
      <c r="L34" s="33"/>
      <c r="M34" s="67">
        <v>24.286000000000001</v>
      </c>
      <c r="N34" s="33"/>
      <c r="O34" s="424">
        <f>0.0319+33.286</f>
        <v>33.317900000000002</v>
      </c>
      <c r="P34" s="33"/>
      <c r="Q34" s="471">
        <f>O34-H34</f>
        <v>33.317900000000002</v>
      </c>
      <c r="R34" s="109"/>
      <c r="S34" s="479"/>
      <c r="T34" s="33"/>
    </row>
    <row r="35" spans="1:21" x14ac:dyDescent="0.2">
      <c r="A35" s="94" t="s">
        <v>32</v>
      </c>
      <c r="B35" s="31"/>
      <c r="C35" s="94"/>
      <c r="D35" s="31"/>
      <c r="E35" s="31"/>
      <c r="F35" s="68">
        <f>SUM(F36)</f>
        <v>4300</v>
      </c>
      <c r="G35" s="602">
        <f>SUM(G36)</f>
        <v>0</v>
      </c>
      <c r="H35" s="68">
        <f>SUM(H36:H36)</f>
        <v>4300</v>
      </c>
      <c r="I35" s="68">
        <f>SUM(I36)</f>
        <v>42.750340000000001</v>
      </c>
      <c r="J35" s="169">
        <f t="shared" si="11"/>
        <v>0.99419395348837214</v>
      </c>
      <c r="K35" s="68">
        <f>SUM(K36)</f>
        <v>2647.6820400000001</v>
      </c>
      <c r="L35" s="169">
        <f t="shared" si="13"/>
        <v>61.574000930232565</v>
      </c>
      <c r="M35" s="68">
        <f>SUM(M36)</f>
        <v>2783.8711499999999</v>
      </c>
      <c r="N35" s="169">
        <f t="shared" si="14"/>
        <v>64.741189534883716</v>
      </c>
      <c r="O35" s="68">
        <f>SUM(O36)</f>
        <v>4154.5292699999991</v>
      </c>
      <c r="P35" s="169">
        <f>O35/$H35*100</f>
        <v>96.616959767441841</v>
      </c>
      <c r="Q35" s="470">
        <f>SUM(Q36:Q36)</f>
        <v>-145.47073000000091</v>
      </c>
      <c r="R35" s="188"/>
      <c r="S35" s="478">
        <f>SUM(S36)</f>
        <v>4200</v>
      </c>
      <c r="T35" s="169">
        <f t="shared" si="6"/>
        <v>97.674418604651152</v>
      </c>
    </row>
    <row r="36" spans="1:21" ht="13.5" thickBot="1" x14ac:dyDescent="0.25">
      <c r="A36" s="107"/>
      <c r="B36" s="28">
        <v>1511</v>
      </c>
      <c r="C36" s="107" t="s">
        <v>33</v>
      </c>
      <c r="D36" s="107"/>
      <c r="E36" s="28" t="s">
        <v>167</v>
      </c>
      <c r="F36" s="67">
        <v>4300</v>
      </c>
      <c r="G36" s="604"/>
      <c r="H36" s="67">
        <f>SUM(F36:G36)</f>
        <v>4300</v>
      </c>
      <c r="I36" s="67">
        <v>42.750340000000001</v>
      </c>
      <c r="J36" s="33">
        <f t="shared" si="11"/>
        <v>0.99419395348837214</v>
      </c>
      <c r="K36" s="67">
        <v>2647.6820400000001</v>
      </c>
      <c r="L36" s="33">
        <f t="shared" si="13"/>
        <v>61.574000930232565</v>
      </c>
      <c r="M36" s="67">
        <v>2783.8711499999999</v>
      </c>
      <c r="N36" s="33">
        <f t="shared" si="14"/>
        <v>64.741189534883716</v>
      </c>
      <c r="O36" s="424">
        <v>4154.5292699999991</v>
      </c>
      <c r="P36" s="33">
        <f>O36/$H36*100</f>
        <v>96.616959767441841</v>
      </c>
      <c r="Q36" s="471">
        <f>O36-H36</f>
        <v>-145.47073000000091</v>
      </c>
      <c r="R36" s="109"/>
      <c r="S36" s="479">
        <v>4200</v>
      </c>
      <c r="T36" s="33">
        <f t="shared" si="6"/>
        <v>97.674418604651152</v>
      </c>
      <c r="U36" s="279"/>
    </row>
    <row r="37" spans="1:21" ht="18" customHeight="1" thickBot="1" x14ac:dyDescent="0.3">
      <c r="A37" s="112" t="s">
        <v>34</v>
      </c>
      <c r="B37" s="113"/>
      <c r="C37" s="112"/>
      <c r="D37" s="113"/>
      <c r="E37" s="112"/>
      <c r="F37" s="69">
        <f>SUM(F5+F14+F26+F29+F35)</f>
        <v>87644</v>
      </c>
      <c r="G37" s="69">
        <f>SUM(G5+G14+G26+G29+G35)</f>
        <v>0</v>
      </c>
      <c r="H37" s="69">
        <f>SUM(H5+H14+H26+H29+H35)</f>
        <v>87644</v>
      </c>
      <c r="I37" s="69">
        <f>SUM(I5+I14+I26+I29+I35)</f>
        <v>25465.954819999999</v>
      </c>
      <c r="J37" s="35">
        <f>I37/$H37*100</f>
        <v>29.056130277029801</v>
      </c>
      <c r="K37" s="69">
        <f>SUM(K5+K14+K26+K29+K35)</f>
        <v>49243.194110000004</v>
      </c>
      <c r="L37" s="35">
        <f>K37/$H37*100</f>
        <v>56.185470893615083</v>
      </c>
      <c r="M37" s="69">
        <f>SUM(M5+M14+M26+M29+M35)</f>
        <v>75137.680330000003</v>
      </c>
      <c r="N37" s="35">
        <f t="shared" si="14"/>
        <v>85.730546677467942</v>
      </c>
      <c r="O37" s="69">
        <f>SUM(O5+O14+O26+O29+O35)</f>
        <v>102829.70203</v>
      </c>
      <c r="P37" s="69">
        <f>SUM(P5+P14+P26+P29+P35)</f>
        <v>520.11783558338936</v>
      </c>
      <c r="Q37" s="473">
        <f>SUM(Q5+Q14+Q26+Q29+Q35)</f>
        <v>15185.702030000004</v>
      </c>
      <c r="R37" s="69"/>
      <c r="S37" s="434">
        <f>SUM(S5+S14+S26+S29+S35)</f>
        <v>103445</v>
      </c>
      <c r="T37" s="351">
        <f>S37/$F37</f>
        <v>1.1802861576377162</v>
      </c>
      <c r="U37" s="114"/>
    </row>
    <row r="38" spans="1:21" x14ac:dyDescent="0.2">
      <c r="A38" s="108"/>
      <c r="B38" s="75"/>
      <c r="C38" s="108"/>
      <c r="D38" s="75"/>
      <c r="E38" s="108" t="s">
        <v>35</v>
      </c>
      <c r="F38" s="74"/>
      <c r="G38" s="74"/>
      <c r="H38" s="74"/>
      <c r="I38" s="74"/>
      <c r="J38" s="36"/>
      <c r="K38" s="74"/>
      <c r="L38" s="36"/>
      <c r="M38" s="74"/>
      <c r="N38" s="36"/>
      <c r="O38" s="74"/>
      <c r="P38" s="36"/>
      <c r="Q38" s="474"/>
      <c r="R38" s="189"/>
      <c r="S38" s="431"/>
      <c r="T38" s="36"/>
    </row>
    <row r="39" spans="1:21" x14ac:dyDescent="0.2">
      <c r="A39" s="94" t="s">
        <v>36</v>
      </c>
      <c r="B39" s="31"/>
      <c r="C39" s="94"/>
      <c r="D39" s="31"/>
      <c r="E39" s="31"/>
      <c r="F39" s="68"/>
      <c r="G39" s="68"/>
      <c r="H39" s="68"/>
      <c r="I39" s="68"/>
      <c r="J39" s="33"/>
      <c r="K39" s="68"/>
      <c r="L39" s="33"/>
      <c r="M39" s="68"/>
      <c r="N39" s="33"/>
      <c r="O39" s="68"/>
      <c r="P39" s="33"/>
      <c r="Q39" s="253"/>
      <c r="R39" s="188"/>
      <c r="S39" s="432"/>
      <c r="T39" s="33"/>
    </row>
    <row r="40" spans="1:21" x14ac:dyDescent="0.2">
      <c r="A40" s="107"/>
      <c r="B40" s="31"/>
      <c r="C40" s="107"/>
      <c r="D40" s="31"/>
      <c r="E40" s="31" t="s">
        <v>143</v>
      </c>
      <c r="F40" s="68">
        <f>SUM(F41:F61)</f>
        <v>10899</v>
      </c>
      <c r="G40" s="602">
        <f>SUM(G41:G61)</f>
        <v>620.68200000000002</v>
      </c>
      <c r="H40" s="68">
        <f>SUM(H41:H61)</f>
        <v>11519.682000000001</v>
      </c>
      <c r="I40" s="68">
        <f>SUM(I41:I61)</f>
        <v>2068.4009000000001</v>
      </c>
      <c r="J40" s="169">
        <f t="shared" ref="J40:J77" si="16">I40/$H40*100</f>
        <v>17.955364566487162</v>
      </c>
      <c r="K40" s="68">
        <f>SUM(K41:K61)</f>
        <v>4764.4286900000006</v>
      </c>
      <c r="L40" s="169">
        <f t="shared" ref="L40:L60" si="17">K40/$H40*100</f>
        <v>41.359029615574464</v>
      </c>
      <c r="M40" s="68">
        <f>SUM(M41:M61)</f>
        <v>10103.276310000001</v>
      </c>
      <c r="N40" s="169">
        <f t="shared" ref="N40:N60" si="18">M40/$H40*100</f>
        <v>87.704472310954415</v>
      </c>
      <c r="O40" s="68">
        <f>SUM(O41:O61)</f>
        <v>13979.726789999999</v>
      </c>
      <c r="P40" s="169">
        <f t="shared" ref="P40:P73" si="19">O40/$H40*100</f>
        <v>121.35514495973064</v>
      </c>
      <c r="Q40" s="470">
        <f>SUM(Q41:Q61)</f>
        <v>2460.0447900000008</v>
      </c>
      <c r="R40" s="109"/>
      <c r="S40" s="478">
        <f>SUM(S41:S61)</f>
        <v>12224</v>
      </c>
      <c r="T40" s="169">
        <f t="shared" si="6"/>
        <v>112.15707863106708</v>
      </c>
      <c r="U40" s="114" t="s">
        <v>246</v>
      </c>
    </row>
    <row r="41" spans="1:21" x14ac:dyDescent="0.2">
      <c r="A41" s="107"/>
      <c r="B41" s="28">
        <v>2111</v>
      </c>
      <c r="C41" s="107">
        <v>1031</v>
      </c>
      <c r="D41" s="28">
        <v>201</v>
      </c>
      <c r="E41" s="28" t="s">
        <v>93</v>
      </c>
      <c r="F41" s="67">
        <v>252</v>
      </c>
      <c r="G41" s="603"/>
      <c r="H41" s="67">
        <f t="shared" ref="H41:H49" si="20">SUM(F41:G41)</f>
        <v>252</v>
      </c>
      <c r="I41" s="67">
        <v>0</v>
      </c>
      <c r="J41" s="33">
        <f t="shared" si="16"/>
        <v>0</v>
      </c>
      <c r="K41" s="67">
        <v>0</v>
      </c>
      <c r="L41" s="33">
        <f t="shared" si="17"/>
        <v>0</v>
      </c>
      <c r="M41" s="67">
        <v>169.21541999999999</v>
      </c>
      <c r="N41" s="33">
        <f t="shared" si="18"/>
        <v>67.148976190476191</v>
      </c>
      <c r="O41" s="424">
        <v>1025.0114100000001</v>
      </c>
      <c r="P41" s="33">
        <f t="shared" si="19"/>
        <v>406.75055952380956</v>
      </c>
      <c r="Q41" s="471">
        <f t="shared" ref="Q41:Q61" si="21">O41-H41</f>
        <v>773.01141000000007</v>
      </c>
      <c r="R41" s="109"/>
      <c r="S41" s="479">
        <v>400</v>
      </c>
      <c r="T41" s="33">
        <f t="shared" si="6"/>
        <v>158.73015873015873</v>
      </c>
      <c r="U41" s="345">
        <v>70</v>
      </c>
    </row>
    <row r="42" spans="1:21" x14ac:dyDescent="0.2">
      <c r="A42" s="107"/>
      <c r="B42" s="28">
        <v>2111</v>
      </c>
      <c r="C42" s="107">
        <v>2219</v>
      </c>
      <c r="D42" s="28">
        <v>43</v>
      </c>
      <c r="E42" s="28" t="s">
        <v>165</v>
      </c>
      <c r="F42" s="67">
        <v>1000</v>
      </c>
      <c r="G42" s="603"/>
      <c r="H42" s="67">
        <f t="shared" si="20"/>
        <v>1000</v>
      </c>
      <c r="I42" s="67">
        <v>168.02600000000001</v>
      </c>
      <c r="J42" s="33">
        <f t="shared" si="16"/>
        <v>16.802600000000002</v>
      </c>
      <c r="K42" s="67">
        <v>360.10700000000003</v>
      </c>
      <c r="L42" s="33">
        <f t="shared" si="17"/>
        <v>36.0107</v>
      </c>
      <c r="M42" s="67">
        <v>617.03499999999997</v>
      </c>
      <c r="N42" s="33">
        <f t="shared" si="18"/>
        <v>61.703499999999998</v>
      </c>
      <c r="O42" s="424">
        <v>809.39200000000005</v>
      </c>
      <c r="P42" s="33">
        <f t="shared" si="19"/>
        <v>80.9392</v>
      </c>
      <c r="Q42" s="471">
        <f t="shared" si="21"/>
        <v>-190.60799999999995</v>
      </c>
      <c r="R42" s="109"/>
      <c r="S42" s="479">
        <v>1000</v>
      </c>
      <c r="T42" s="33">
        <f t="shared" si="6"/>
        <v>100</v>
      </c>
      <c r="U42" s="114"/>
    </row>
    <row r="43" spans="1:21" x14ac:dyDescent="0.2">
      <c r="A43" s="107"/>
      <c r="B43" s="28">
        <v>2111</v>
      </c>
      <c r="C43" s="107">
        <v>3113</v>
      </c>
      <c r="D43" s="28">
        <v>302</v>
      </c>
      <c r="E43" s="28" t="s">
        <v>301</v>
      </c>
      <c r="F43" s="67">
        <v>272</v>
      </c>
      <c r="G43" s="604"/>
      <c r="H43" s="67">
        <f t="shared" si="20"/>
        <v>272</v>
      </c>
      <c r="I43" s="67">
        <v>68.223249999999993</v>
      </c>
      <c r="J43" s="33">
        <f t="shared" si="16"/>
        <v>25.082077205882353</v>
      </c>
      <c r="K43" s="67">
        <v>136.44649999999999</v>
      </c>
      <c r="L43" s="33">
        <f t="shared" si="17"/>
        <v>50.164154411764706</v>
      </c>
      <c r="M43" s="67">
        <v>204.66974999999999</v>
      </c>
      <c r="N43" s="33">
        <f t="shared" si="18"/>
        <v>75.246231617647055</v>
      </c>
      <c r="O43" s="424">
        <v>272.89299999999997</v>
      </c>
      <c r="P43" s="33">
        <f t="shared" si="19"/>
        <v>100.32830882352941</v>
      </c>
      <c r="Q43" s="471">
        <f t="shared" si="21"/>
        <v>0.89299999999997226</v>
      </c>
      <c r="R43" s="109"/>
      <c r="S43" s="479">
        <v>272</v>
      </c>
      <c r="T43" s="33">
        <f t="shared" si="6"/>
        <v>100</v>
      </c>
      <c r="U43" s="114"/>
    </row>
    <row r="44" spans="1:21" s="349" customFormat="1" x14ac:dyDescent="0.2">
      <c r="A44" s="107"/>
      <c r="B44" s="28">
        <v>2111</v>
      </c>
      <c r="C44" s="107">
        <v>3141</v>
      </c>
      <c r="D44" s="28">
        <v>309</v>
      </c>
      <c r="E44" s="28" t="s">
        <v>376</v>
      </c>
      <c r="F44" s="67">
        <v>1160</v>
      </c>
      <c r="G44" s="604"/>
      <c r="H44" s="67">
        <f t="shared" si="20"/>
        <v>1160</v>
      </c>
      <c r="I44" s="67">
        <v>509.76416999999998</v>
      </c>
      <c r="J44" s="33">
        <f t="shared" si="16"/>
        <v>43.945187068965517</v>
      </c>
      <c r="K44" s="67">
        <f>1466.54336-0.13046</f>
        <v>1466.4128999999998</v>
      </c>
      <c r="L44" s="33">
        <f t="shared" si="17"/>
        <v>126.41490517241378</v>
      </c>
      <c r="M44" s="67">
        <v>1950.4882600000001</v>
      </c>
      <c r="N44" s="33">
        <f t="shared" si="18"/>
        <v>168.14553965517243</v>
      </c>
      <c r="O44" s="424">
        <v>3280.7345</v>
      </c>
      <c r="P44" s="33">
        <f t="shared" si="19"/>
        <v>282.8219396551724</v>
      </c>
      <c r="Q44" s="471">
        <f t="shared" si="21"/>
        <v>2120.7345</v>
      </c>
      <c r="R44" s="109"/>
      <c r="S44" s="479">
        <v>1950</v>
      </c>
      <c r="T44" s="33"/>
      <c r="U44" s="114"/>
    </row>
    <row r="45" spans="1:21" x14ac:dyDescent="0.2">
      <c r="A45" s="107"/>
      <c r="B45" s="28">
        <v>2111</v>
      </c>
      <c r="C45" s="107">
        <v>3613</v>
      </c>
      <c r="D45" s="28">
        <v>316</v>
      </c>
      <c r="E45" s="28" t="s">
        <v>303</v>
      </c>
      <c r="F45" s="67">
        <v>125</v>
      </c>
      <c r="G45" s="604"/>
      <c r="H45" s="67">
        <f t="shared" si="20"/>
        <v>125</v>
      </c>
      <c r="I45" s="67">
        <v>22.268999999999998</v>
      </c>
      <c r="J45" s="33">
        <f t="shared" si="16"/>
        <v>17.815199999999997</v>
      </c>
      <c r="K45" s="67">
        <v>39.279000000000003</v>
      </c>
      <c r="L45" s="33">
        <f t="shared" si="17"/>
        <v>31.423200000000001</v>
      </c>
      <c r="M45" s="67">
        <v>55.4</v>
      </c>
      <c r="N45" s="33">
        <f t="shared" si="18"/>
        <v>44.32</v>
      </c>
      <c r="O45" s="424">
        <v>90.331999999999994</v>
      </c>
      <c r="P45" s="33">
        <f t="shared" si="19"/>
        <v>72.265599999999992</v>
      </c>
      <c r="Q45" s="471">
        <f t="shared" si="21"/>
        <v>-34.668000000000006</v>
      </c>
      <c r="R45" s="109"/>
      <c r="S45" s="479">
        <v>125</v>
      </c>
      <c r="T45" s="33">
        <f t="shared" si="6"/>
        <v>100</v>
      </c>
      <c r="U45" s="114"/>
    </row>
    <row r="46" spans="1:21" x14ac:dyDescent="0.2">
      <c r="A46" s="107"/>
      <c r="B46" s="28">
        <v>2111</v>
      </c>
      <c r="C46" s="107">
        <v>3412</v>
      </c>
      <c r="D46" s="28">
        <v>216</v>
      </c>
      <c r="E46" s="28" t="s">
        <v>315</v>
      </c>
      <c r="F46" s="67">
        <f>115+5</f>
        <v>120</v>
      </c>
      <c r="G46" s="604"/>
      <c r="H46" s="67">
        <f t="shared" si="20"/>
        <v>120</v>
      </c>
      <c r="I46" s="67">
        <v>16.631</v>
      </c>
      <c r="J46" s="33">
        <f t="shared" si="16"/>
        <v>13.859166666666667</v>
      </c>
      <c r="K46" s="67">
        <v>33.331000000000003</v>
      </c>
      <c r="L46" s="33">
        <f t="shared" si="17"/>
        <v>27.775833333333338</v>
      </c>
      <c r="M46" s="67">
        <v>67.561000000000007</v>
      </c>
      <c r="N46" s="33">
        <f t="shared" si="18"/>
        <v>56.300833333333344</v>
      </c>
      <c r="O46" s="424">
        <v>93.822000000000003</v>
      </c>
      <c r="P46" s="33">
        <f t="shared" si="19"/>
        <v>78.185000000000002</v>
      </c>
      <c r="Q46" s="471">
        <f t="shared" si="21"/>
        <v>-26.177999999999997</v>
      </c>
      <c r="R46" s="109"/>
      <c r="S46" s="479">
        <v>126</v>
      </c>
      <c r="T46" s="33">
        <f t="shared" si="6"/>
        <v>105</v>
      </c>
      <c r="U46" s="114"/>
    </row>
    <row r="47" spans="1:21" x14ac:dyDescent="0.2">
      <c r="A47" s="107"/>
      <c r="B47" s="28">
        <v>2111</v>
      </c>
      <c r="C47" s="107">
        <v>3314</v>
      </c>
      <c r="D47" s="28">
        <v>504</v>
      </c>
      <c r="E47" s="28" t="s">
        <v>164</v>
      </c>
      <c r="F47" s="67">
        <v>100</v>
      </c>
      <c r="G47" s="604"/>
      <c r="H47" s="67">
        <f t="shared" si="20"/>
        <v>100</v>
      </c>
      <c r="I47" s="67">
        <v>17.82</v>
      </c>
      <c r="J47" s="33">
        <f t="shared" si="16"/>
        <v>17.82</v>
      </c>
      <c r="K47" s="67">
        <v>48.197000000000003</v>
      </c>
      <c r="L47" s="33">
        <f t="shared" si="17"/>
        <v>48.197000000000003</v>
      </c>
      <c r="M47" s="67">
        <v>62.35</v>
      </c>
      <c r="N47" s="33">
        <f t="shared" si="18"/>
        <v>62.350000000000009</v>
      </c>
      <c r="O47" s="424">
        <v>70.724999999999994</v>
      </c>
      <c r="P47" s="33">
        <f t="shared" si="19"/>
        <v>70.724999999999994</v>
      </c>
      <c r="Q47" s="471">
        <f t="shared" si="21"/>
        <v>-29.275000000000006</v>
      </c>
      <c r="R47" s="109"/>
      <c r="S47" s="479">
        <v>0</v>
      </c>
      <c r="T47" s="33">
        <f t="shared" si="6"/>
        <v>0</v>
      </c>
      <c r="U47" s="114"/>
    </row>
    <row r="48" spans="1:21" x14ac:dyDescent="0.2">
      <c r="A48" s="107"/>
      <c r="B48" s="28">
        <v>2111</v>
      </c>
      <c r="C48" s="280" t="s">
        <v>270</v>
      </c>
      <c r="D48" s="28">
        <v>41</v>
      </c>
      <c r="E48" s="28" t="s">
        <v>40</v>
      </c>
      <c r="F48" s="67">
        <v>70</v>
      </c>
      <c r="G48" s="604"/>
      <c r="H48" s="67">
        <f t="shared" si="20"/>
        <v>70</v>
      </c>
      <c r="I48" s="67">
        <v>8.58</v>
      </c>
      <c r="J48" s="33">
        <f t="shared" si="16"/>
        <v>12.257142857142856</v>
      </c>
      <c r="K48" s="67">
        <v>15.84</v>
      </c>
      <c r="L48" s="33">
        <f t="shared" si="17"/>
        <v>22.62857142857143</v>
      </c>
      <c r="M48" s="67">
        <v>26.4</v>
      </c>
      <c r="N48" s="33">
        <f t="shared" si="18"/>
        <v>37.714285714285708</v>
      </c>
      <c r="O48" s="424">
        <v>63</v>
      </c>
      <c r="P48" s="33">
        <f t="shared" si="19"/>
        <v>90</v>
      </c>
      <c r="Q48" s="471">
        <f t="shared" si="21"/>
        <v>-7</v>
      </c>
      <c r="R48" s="377"/>
      <c r="S48" s="479">
        <v>55</v>
      </c>
      <c r="T48" s="33">
        <f t="shared" si="6"/>
        <v>78.571428571428569</v>
      </c>
      <c r="U48" s="345">
        <v>10</v>
      </c>
    </row>
    <row r="49" spans="1:21" x14ac:dyDescent="0.2">
      <c r="A49" s="107"/>
      <c r="B49" s="28">
        <v>2111</v>
      </c>
      <c r="C49" s="107">
        <v>3349</v>
      </c>
      <c r="D49" s="28">
        <v>42</v>
      </c>
      <c r="E49" s="28" t="s">
        <v>37</v>
      </c>
      <c r="F49" s="67">
        <v>100</v>
      </c>
      <c r="G49" s="604"/>
      <c r="H49" s="67">
        <f t="shared" si="20"/>
        <v>100</v>
      </c>
      <c r="I49" s="67">
        <v>21.641999999999999</v>
      </c>
      <c r="J49" s="33">
        <f t="shared" si="16"/>
        <v>21.641999999999999</v>
      </c>
      <c r="K49" s="67">
        <v>50.006999999999998</v>
      </c>
      <c r="L49" s="33">
        <f t="shared" si="17"/>
        <v>50.007000000000005</v>
      </c>
      <c r="M49" s="67">
        <v>64.054000000000002</v>
      </c>
      <c r="N49" s="33">
        <f t="shared" si="18"/>
        <v>64.054000000000002</v>
      </c>
      <c r="O49" s="424">
        <v>90.733000000000004</v>
      </c>
      <c r="P49" s="33">
        <f t="shared" si="19"/>
        <v>90.733000000000004</v>
      </c>
      <c r="Q49" s="471">
        <f t="shared" si="21"/>
        <v>-9.2669999999999959</v>
      </c>
      <c r="R49" s="377"/>
      <c r="S49" s="479">
        <v>80</v>
      </c>
      <c r="T49" s="33">
        <f t="shared" si="6"/>
        <v>80</v>
      </c>
      <c r="U49" s="345">
        <v>14</v>
      </c>
    </row>
    <row r="50" spans="1:21" s="426" customFormat="1" x14ac:dyDescent="0.2">
      <c r="A50" s="427"/>
      <c r="B50" s="422">
        <v>2111</v>
      </c>
      <c r="C50" s="427">
        <v>3349</v>
      </c>
      <c r="D50" s="422">
        <v>650</v>
      </c>
      <c r="E50" s="422" t="s">
        <v>479</v>
      </c>
      <c r="F50" s="424"/>
      <c r="G50" s="604"/>
      <c r="H50" s="424"/>
      <c r="I50" s="424"/>
      <c r="J50" s="423"/>
      <c r="K50" s="424"/>
      <c r="L50" s="423"/>
      <c r="M50" s="424"/>
      <c r="N50" s="423"/>
      <c r="O50" s="424"/>
      <c r="P50" s="423"/>
      <c r="Q50" s="471"/>
      <c r="R50" s="445"/>
      <c r="S50" s="479">
        <v>250</v>
      </c>
      <c r="T50" s="423"/>
      <c r="U50" s="428"/>
    </row>
    <row r="51" spans="1:21" x14ac:dyDescent="0.2">
      <c r="A51" s="107"/>
      <c r="B51" s="28">
        <v>2111</v>
      </c>
      <c r="C51" s="107">
        <v>3612</v>
      </c>
      <c r="D51" s="28" t="s">
        <v>283</v>
      </c>
      <c r="E51" s="28" t="s">
        <v>168</v>
      </c>
      <c r="F51" s="67">
        <v>1960</v>
      </c>
      <c r="G51" s="604"/>
      <c r="H51" s="67">
        <f t="shared" ref="H51:H61" si="22">SUM(F51:G51)</f>
        <v>1960</v>
      </c>
      <c r="I51" s="67">
        <f>188.17+0.658+46.563</f>
        <v>235.39099999999996</v>
      </c>
      <c r="J51" s="33">
        <f t="shared" si="16"/>
        <v>12.009744897959182</v>
      </c>
      <c r="K51" s="67">
        <f>505.77912+9.083+256.504</f>
        <v>771.36612000000002</v>
      </c>
      <c r="L51" s="33">
        <f t="shared" si="17"/>
        <v>39.355414285714282</v>
      </c>
      <c r="M51" s="67">
        <v>1517.8561199999999</v>
      </c>
      <c r="N51" s="33">
        <f t="shared" si="18"/>
        <v>77.441638775510199</v>
      </c>
      <c r="O51" s="424">
        <v>1739.76412</v>
      </c>
      <c r="P51" s="33">
        <f t="shared" si="19"/>
        <v>88.763475510204088</v>
      </c>
      <c r="Q51" s="471">
        <f t="shared" si="21"/>
        <v>-220.23587999999995</v>
      </c>
      <c r="R51" s="122"/>
      <c r="S51" s="479">
        <f>1150+800</f>
        <v>1950</v>
      </c>
      <c r="T51" s="33">
        <f t="shared" si="6"/>
        <v>99.489795918367349</v>
      </c>
      <c r="U51" s="114"/>
    </row>
    <row r="52" spans="1:21" x14ac:dyDescent="0.2">
      <c r="A52" s="107"/>
      <c r="B52" s="28">
        <v>2111</v>
      </c>
      <c r="C52" s="107">
        <v>3613</v>
      </c>
      <c r="D52" s="28">
        <v>703</v>
      </c>
      <c r="E52" s="28" t="s">
        <v>169</v>
      </c>
      <c r="F52" s="67">
        <v>300</v>
      </c>
      <c r="G52" s="604"/>
      <c r="H52" s="67">
        <f t="shared" si="22"/>
        <v>300</v>
      </c>
      <c r="I52" s="67">
        <v>51.043999999999997</v>
      </c>
      <c r="J52" s="33">
        <f t="shared" si="16"/>
        <v>17.014666666666667</v>
      </c>
      <c r="K52" s="67">
        <v>59.03</v>
      </c>
      <c r="L52" s="33">
        <f t="shared" si="17"/>
        <v>19.676666666666666</v>
      </c>
      <c r="M52" s="67">
        <v>154.352</v>
      </c>
      <c r="N52" s="33">
        <f t="shared" si="18"/>
        <v>51.450666666666663</v>
      </c>
      <c r="O52" s="424">
        <v>247.958</v>
      </c>
      <c r="P52" s="33">
        <f t="shared" si="19"/>
        <v>82.652666666666661</v>
      </c>
      <c r="Q52" s="471">
        <f t="shared" si="21"/>
        <v>-52.042000000000002</v>
      </c>
      <c r="R52" s="416"/>
      <c r="S52" s="479">
        <v>200</v>
      </c>
      <c r="T52" s="33">
        <f t="shared" si="6"/>
        <v>66.666666666666657</v>
      </c>
      <c r="U52" s="114"/>
    </row>
    <row r="53" spans="1:21" x14ac:dyDescent="0.2">
      <c r="A53" s="107"/>
      <c r="B53" s="28">
        <v>2111</v>
      </c>
      <c r="C53" s="107">
        <v>3632</v>
      </c>
      <c r="D53" s="28">
        <v>238</v>
      </c>
      <c r="E53" s="28" t="s">
        <v>38</v>
      </c>
      <c r="F53" s="67">
        <v>390</v>
      </c>
      <c r="G53" s="604"/>
      <c r="H53" s="67">
        <f t="shared" si="22"/>
        <v>390</v>
      </c>
      <c r="I53" s="67">
        <v>0</v>
      </c>
      <c r="J53" s="33">
        <f t="shared" si="16"/>
        <v>0</v>
      </c>
      <c r="K53" s="67">
        <v>101.47499999999999</v>
      </c>
      <c r="L53" s="33">
        <f t="shared" si="17"/>
        <v>26.019230769230766</v>
      </c>
      <c r="M53" s="67">
        <f>127.95+82.908</f>
        <v>210.858</v>
      </c>
      <c r="N53" s="33">
        <f t="shared" si="18"/>
        <v>54.066153846153853</v>
      </c>
      <c r="O53" s="424">
        <f>263.14+82.908</f>
        <v>346.048</v>
      </c>
      <c r="P53" s="33">
        <f t="shared" si="19"/>
        <v>88.730256410256416</v>
      </c>
      <c r="Q53" s="471">
        <f t="shared" si="21"/>
        <v>-43.951999999999998</v>
      </c>
      <c r="S53" s="479">
        <v>278</v>
      </c>
      <c r="T53" s="33">
        <f t="shared" si="6"/>
        <v>71.282051282051285</v>
      </c>
      <c r="U53" s="114"/>
    </row>
    <row r="54" spans="1:21" x14ac:dyDescent="0.2">
      <c r="A54" s="107"/>
      <c r="B54" s="28">
        <v>2111</v>
      </c>
      <c r="C54" s="107">
        <v>3639</v>
      </c>
      <c r="D54" s="28">
        <v>21.318999999999999</v>
      </c>
      <c r="E54" s="28" t="s">
        <v>254</v>
      </c>
      <c r="F54" s="67">
        <f>36+91</f>
        <v>127</v>
      </c>
      <c r="G54" s="604"/>
      <c r="H54" s="67">
        <f t="shared" si="22"/>
        <v>127</v>
      </c>
      <c r="I54" s="67">
        <f>15.685</f>
        <v>15.685</v>
      </c>
      <c r="J54" s="33">
        <f t="shared" si="16"/>
        <v>12.350393700787402</v>
      </c>
      <c r="K54" s="67">
        <f>37.3</f>
        <v>37.299999999999997</v>
      </c>
      <c r="L54" s="33">
        <f t="shared" si="17"/>
        <v>29.370078740157478</v>
      </c>
      <c r="M54" s="67">
        <f>56.59</f>
        <v>56.59</v>
      </c>
      <c r="N54" s="33">
        <f t="shared" si="18"/>
        <v>44.559055118110244</v>
      </c>
      <c r="O54" s="424">
        <f>69.879</f>
        <v>69.879000000000005</v>
      </c>
      <c r="P54" s="33">
        <f t="shared" si="19"/>
        <v>55.022834645669292</v>
      </c>
      <c r="Q54" s="471">
        <f t="shared" si="21"/>
        <v>-57.120999999999995</v>
      </c>
      <c r="S54" s="479">
        <f>10+96</f>
        <v>106</v>
      </c>
      <c r="T54" s="33">
        <f t="shared" si="6"/>
        <v>83.464566929133852</v>
      </c>
      <c r="U54" s="345">
        <v>5</v>
      </c>
    </row>
    <row r="55" spans="1:21" x14ac:dyDescent="0.2">
      <c r="A55" s="107"/>
      <c r="B55" s="28">
        <v>2111.2323999999999</v>
      </c>
      <c r="C55" s="107">
        <v>3639</v>
      </c>
      <c r="D55" s="28">
        <v>239.22300000000001</v>
      </c>
      <c r="E55" s="28" t="s">
        <v>372</v>
      </c>
      <c r="F55" s="67">
        <v>10</v>
      </c>
      <c r="G55" s="604"/>
      <c r="H55" s="67">
        <f t="shared" si="22"/>
        <v>10</v>
      </c>
      <c r="I55" s="67">
        <v>0</v>
      </c>
      <c r="J55" s="33">
        <f t="shared" si="16"/>
        <v>0</v>
      </c>
      <c r="K55" s="67"/>
      <c r="L55" s="33">
        <f t="shared" si="17"/>
        <v>0</v>
      </c>
      <c r="M55" s="67">
        <f>15+3.821</f>
        <v>18.821000000000002</v>
      </c>
      <c r="N55" s="33">
        <f t="shared" si="18"/>
        <v>188.21</v>
      </c>
      <c r="O55" s="424">
        <f>15+3.821</f>
        <v>18.821000000000002</v>
      </c>
      <c r="P55" s="33">
        <f t="shared" si="19"/>
        <v>188.21</v>
      </c>
      <c r="Q55" s="471">
        <f t="shared" si="21"/>
        <v>8.8210000000000015</v>
      </c>
      <c r="R55" s="109"/>
      <c r="S55" s="479">
        <v>20</v>
      </c>
      <c r="T55" s="33">
        <f t="shared" si="6"/>
        <v>200</v>
      </c>
      <c r="U55" s="114"/>
    </row>
    <row r="56" spans="1:21" x14ac:dyDescent="0.2">
      <c r="A56" s="107"/>
      <c r="B56" s="28">
        <v>2111</v>
      </c>
      <c r="C56" s="107">
        <v>3639</v>
      </c>
      <c r="D56" s="28">
        <v>243</v>
      </c>
      <c r="E56" s="28" t="s">
        <v>91</v>
      </c>
      <c r="F56" s="67">
        <v>30</v>
      </c>
      <c r="G56" s="605"/>
      <c r="H56" s="67">
        <f t="shared" si="22"/>
        <v>30</v>
      </c>
      <c r="I56" s="67">
        <v>5.04</v>
      </c>
      <c r="J56" s="33">
        <f t="shared" si="16"/>
        <v>16.8</v>
      </c>
      <c r="K56" s="67">
        <v>16.47</v>
      </c>
      <c r="L56" s="33">
        <f t="shared" si="17"/>
        <v>54.899999999999991</v>
      </c>
      <c r="M56" s="67">
        <v>37.14</v>
      </c>
      <c r="N56" s="33">
        <f t="shared" si="18"/>
        <v>123.8</v>
      </c>
      <c r="O56" s="424">
        <v>46.835000000000001</v>
      </c>
      <c r="P56" s="33">
        <f t="shared" si="19"/>
        <v>156.11666666666665</v>
      </c>
      <c r="Q56" s="471">
        <f t="shared" si="21"/>
        <v>16.835000000000001</v>
      </c>
      <c r="R56" s="415"/>
      <c r="S56" s="479">
        <v>40</v>
      </c>
      <c r="T56" s="33">
        <f t="shared" si="6"/>
        <v>133.33333333333331</v>
      </c>
      <c r="U56" s="345">
        <v>8</v>
      </c>
    </row>
    <row r="57" spans="1:21" x14ac:dyDescent="0.2">
      <c r="A57" s="107"/>
      <c r="B57" s="28">
        <v>2111</v>
      </c>
      <c r="C57" s="107">
        <v>4351</v>
      </c>
      <c r="D57" s="28">
        <v>227</v>
      </c>
      <c r="E57" s="28" t="s">
        <v>142</v>
      </c>
      <c r="F57" s="67">
        <f>110+770+250</f>
        <v>1130</v>
      </c>
      <c r="G57" s="603">
        <v>44</v>
      </c>
      <c r="H57" s="67">
        <f t="shared" si="22"/>
        <v>1174</v>
      </c>
      <c r="I57" s="67">
        <v>249.79199</v>
      </c>
      <c r="J57" s="33">
        <f t="shared" si="16"/>
        <v>21.277000851788756</v>
      </c>
      <c r="K57" s="67">
        <f>485.59268+80.56</f>
        <v>566.15267999999992</v>
      </c>
      <c r="L57" s="33">
        <f t="shared" si="17"/>
        <v>48.224248722316858</v>
      </c>
      <c r="M57" s="67">
        <f>743.03767+130.56</f>
        <v>873.59767000000011</v>
      </c>
      <c r="N57" s="33">
        <f t="shared" si="18"/>
        <v>74.412067291311772</v>
      </c>
      <c r="O57" s="424">
        <f>1105.65367+184.72</f>
        <v>1290.3736699999999</v>
      </c>
      <c r="P57" s="33">
        <f t="shared" si="19"/>
        <v>109.91257836456558</v>
      </c>
      <c r="Q57" s="471">
        <f t="shared" si="21"/>
        <v>116.37366999999995</v>
      </c>
      <c r="R57" s="111"/>
      <c r="S57" s="479">
        <f>110+1000+5+150</f>
        <v>1265</v>
      </c>
      <c r="T57" s="33">
        <f t="shared" si="6"/>
        <v>111.94690265486726</v>
      </c>
      <c r="U57" s="114"/>
    </row>
    <row r="58" spans="1:21" x14ac:dyDescent="0.2">
      <c r="A58" s="107"/>
      <c r="B58" s="28">
        <v>2111</v>
      </c>
      <c r="C58" s="107">
        <v>6171</v>
      </c>
      <c r="D58" s="28">
        <v>314.911</v>
      </c>
      <c r="E58" s="28" t="s">
        <v>170</v>
      </c>
      <c r="F58" s="67">
        <f>180+30</f>
        <v>210</v>
      </c>
      <c r="G58" s="603"/>
      <c r="H58" s="67">
        <f t="shared" si="22"/>
        <v>210</v>
      </c>
      <c r="I58" s="67">
        <f>13+1.2+13.176+1.815+2.4+6.54819+0.185</f>
        <v>38.324190000000002</v>
      </c>
      <c r="J58" s="33">
        <f t="shared" si="16"/>
        <v>18.249614285714287</v>
      </c>
      <c r="K58" s="67">
        <f>10+1.2+12.325+13.176+1.815+2.4+6.54819+0.275</f>
        <v>47.739189999999994</v>
      </c>
      <c r="L58" s="33">
        <f t="shared" si="17"/>
        <v>22.732947619047618</v>
      </c>
      <c r="M58" s="67">
        <f>10+1.36+13.176+19.4656+1.855+8.8+6.64819+6.176+0.275</f>
        <v>67.755790000000005</v>
      </c>
      <c r="N58" s="33">
        <f t="shared" si="18"/>
        <v>32.264661904761901</v>
      </c>
      <c r="O58" s="424">
        <f>10+1.44+13.176+1.855+8.8+8.73819+6.176+1.3+0.867+16.8886</f>
        <v>69.240790000000004</v>
      </c>
      <c r="P58" s="33">
        <f t="shared" si="19"/>
        <v>32.971804761904764</v>
      </c>
      <c r="Q58" s="471">
        <f t="shared" si="21"/>
        <v>-140.75921</v>
      </c>
      <c r="R58" s="109"/>
      <c r="S58" s="479">
        <f>50</f>
        <v>50</v>
      </c>
      <c r="T58" s="33">
        <f t="shared" si="6"/>
        <v>23.809523809523807</v>
      </c>
      <c r="U58" s="345">
        <v>9</v>
      </c>
    </row>
    <row r="59" spans="1:21" x14ac:dyDescent="0.2">
      <c r="A59" s="107"/>
      <c r="B59" s="28">
        <v>2119</v>
      </c>
      <c r="C59" s="107">
        <v>2121</v>
      </c>
      <c r="D59" s="28">
        <v>20</v>
      </c>
      <c r="E59" s="28" t="s">
        <v>229</v>
      </c>
      <c r="F59" s="67">
        <f>50+50</f>
        <v>100</v>
      </c>
      <c r="G59" s="603"/>
      <c r="H59" s="67">
        <f t="shared" si="22"/>
        <v>100</v>
      </c>
      <c r="I59" s="67">
        <v>247.2998</v>
      </c>
      <c r="J59" s="33">
        <f t="shared" si="16"/>
        <v>247.2998</v>
      </c>
      <c r="K59" s="67">
        <v>247.2998</v>
      </c>
      <c r="L59" s="33">
        <f t="shared" si="17"/>
        <v>247.2998</v>
      </c>
      <c r="M59" s="67">
        <v>247.2998</v>
      </c>
      <c r="N59" s="33">
        <f t="shared" si="18"/>
        <v>247.2998</v>
      </c>
      <c r="O59" s="424">
        <v>256.0598</v>
      </c>
      <c r="P59" s="33">
        <f t="shared" si="19"/>
        <v>256.0598</v>
      </c>
      <c r="Q59" s="471">
        <f t="shared" si="21"/>
        <v>156.0598</v>
      </c>
      <c r="R59" s="109"/>
      <c r="S59" s="479">
        <v>50</v>
      </c>
      <c r="T59" s="33">
        <f t="shared" si="6"/>
        <v>50</v>
      </c>
      <c r="U59" s="287">
        <v>9</v>
      </c>
    </row>
    <row r="60" spans="1:21" x14ac:dyDescent="0.2">
      <c r="A60" s="107"/>
      <c r="B60" s="28">
        <v>2122</v>
      </c>
      <c r="C60" s="107"/>
      <c r="D60" s="28"/>
      <c r="E60" s="28" t="s">
        <v>238</v>
      </c>
      <c r="F60" s="67">
        <f>231+661+655+540+66</f>
        <v>2153</v>
      </c>
      <c r="G60" s="604">
        <v>376.68200000000002</v>
      </c>
      <c r="H60" s="67">
        <f t="shared" si="22"/>
        <v>2529.6819999999998</v>
      </c>
      <c r="I60" s="67"/>
      <c r="J60" s="33">
        <f t="shared" si="16"/>
        <v>0</v>
      </c>
      <c r="K60" s="67"/>
      <c r="L60" s="33">
        <f t="shared" si="17"/>
        <v>0</v>
      </c>
      <c r="M60" s="362">
        <f>259.707+660.227+887.975+66.257+654.599</f>
        <v>2528.7650000000003</v>
      </c>
      <c r="N60" s="33">
        <f t="shared" si="18"/>
        <v>99.963750384435684</v>
      </c>
      <c r="O60" s="424">
        <f>259.707+660.227+887.975+66.257+654.599</f>
        <v>2528.7650000000003</v>
      </c>
      <c r="P60" s="310">
        <f t="shared" si="19"/>
        <v>99.963750384435684</v>
      </c>
      <c r="Q60" s="471">
        <f t="shared" si="21"/>
        <v>-0.91699999999946158</v>
      </c>
      <c r="R60" s="414"/>
      <c r="S60" s="479">
        <f>888+660+338+66+655</f>
        <v>2607</v>
      </c>
      <c r="T60" s="310">
        <f t="shared" si="6"/>
        <v>121.0868555503948</v>
      </c>
      <c r="U60" s="114"/>
    </row>
    <row r="61" spans="1:21" x14ac:dyDescent="0.2">
      <c r="A61" s="107"/>
      <c r="B61" s="28">
        <v>2324</v>
      </c>
      <c r="C61" s="107">
        <v>3725</v>
      </c>
      <c r="D61" s="28">
        <v>240</v>
      </c>
      <c r="E61" s="28" t="s">
        <v>118</v>
      </c>
      <c r="F61" s="67">
        <f>890+110+290</f>
        <v>1290</v>
      </c>
      <c r="G61" s="604">
        <v>200</v>
      </c>
      <c r="H61" s="67">
        <f t="shared" si="22"/>
        <v>1490</v>
      </c>
      <c r="I61" s="67">
        <f>58.849+334.0205</f>
        <v>392.86950000000002</v>
      </c>
      <c r="J61" s="33">
        <f t="shared" si="16"/>
        <v>26.367080536912752</v>
      </c>
      <c r="K61" s="67">
        <f>85.994+681.9815</f>
        <v>767.97550000000001</v>
      </c>
      <c r="L61" s="33">
        <f>K61/$H61*100</f>
        <v>51.541979865771815</v>
      </c>
      <c r="M61" s="67">
        <f>107.524+30+1035.5435</f>
        <v>1173.0675000000001</v>
      </c>
      <c r="N61" s="33">
        <f>M61/$H61*100</f>
        <v>78.729362416107378</v>
      </c>
      <c r="O61" s="424">
        <f>128.571+52.78+10+1377.9885</f>
        <v>1569.3395</v>
      </c>
      <c r="P61" s="33">
        <f t="shared" si="19"/>
        <v>105.32479865771813</v>
      </c>
      <c r="Q61" s="471">
        <f t="shared" si="21"/>
        <v>79.339500000000044</v>
      </c>
      <c r="R61" s="255"/>
      <c r="S61" s="479">
        <f>1300+100</f>
        <v>1400</v>
      </c>
      <c r="T61" s="33">
        <f t="shared" si="6"/>
        <v>108.52713178294573</v>
      </c>
      <c r="U61" s="114"/>
    </row>
    <row r="62" spans="1:21" ht="15" customHeight="1" x14ac:dyDescent="0.2">
      <c r="A62" s="107"/>
      <c r="B62" s="107"/>
      <c r="C62" s="107"/>
      <c r="D62" s="107"/>
      <c r="E62" s="31" t="s">
        <v>41</v>
      </c>
      <c r="F62" s="68">
        <f>SUM(F63:F72)</f>
        <v>14183</v>
      </c>
      <c r="G62" s="602">
        <f>SUM(G63:G72)</f>
        <v>0</v>
      </c>
      <c r="H62" s="68">
        <f>SUM(H63:H72)</f>
        <v>14183</v>
      </c>
      <c r="I62" s="68">
        <f>SUM(I63:I72)</f>
        <v>3310.5933199999999</v>
      </c>
      <c r="J62" s="169">
        <f t="shared" si="16"/>
        <v>23.341982091235984</v>
      </c>
      <c r="K62" s="68">
        <f>SUM(K63:K72)</f>
        <v>6655.5729599999995</v>
      </c>
      <c r="L62" s="169">
        <f t="shared" ref="L62:L96" si="23">K62/$H62*100</f>
        <v>46.926411619544524</v>
      </c>
      <c r="M62" s="68">
        <f>SUM(M63:M72)</f>
        <v>10847.29623</v>
      </c>
      <c r="N62" s="169">
        <f t="shared" ref="N62:N91" si="24">M62/$H62*100</f>
        <v>76.480971797222026</v>
      </c>
      <c r="O62" s="68">
        <f>SUM(O63:O72)</f>
        <v>14094.352930000003</v>
      </c>
      <c r="P62" s="169">
        <f t="shared" si="19"/>
        <v>99.374976591694292</v>
      </c>
      <c r="Q62" s="470">
        <f>SUM(Q63:Q72)</f>
        <v>-88.647069999999189</v>
      </c>
      <c r="R62" s="109"/>
      <c r="S62" s="478">
        <f>SUM(S63:S72)</f>
        <v>14301</v>
      </c>
      <c r="T62" s="169">
        <f t="shared" si="6"/>
        <v>100.83198195022209</v>
      </c>
      <c r="U62" s="114"/>
    </row>
    <row r="63" spans="1:21" x14ac:dyDescent="0.2">
      <c r="A63" s="107"/>
      <c r="B63" s="28">
        <v>2131</v>
      </c>
      <c r="C63" s="107">
        <v>1012</v>
      </c>
      <c r="D63" s="28">
        <v>38</v>
      </c>
      <c r="E63" s="28" t="s">
        <v>181</v>
      </c>
      <c r="F63" s="67">
        <v>492</v>
      </c>
      <c r="G63" s="604"/>
      <c r="H63" s="67">
        <f t="shared" ref="H63:H72" si="25">SUM(F63:G63)</f>
        <v>492</v>
      </c>
      <c r="I63" s="67">
        <v>187.19139999999999</v>
      </c>
      <c r="J63" s="33">
        <f t="shared" si="16"/>
        <v>38.047032520325203</v>
      </c>
      <c r="K63" s="67">
        <v>373.19380000000001</v>
      </c>
      <c r="L63" s="33">
        <f t="shared" si="23"/>
        <v>75.852398373983746</v>
      </c>
      <c r="M63" s="67">
        <v>430.9812</v>
      </c>
      <c r="N63" s="33">
        <f t="shared" si="24"/>
        <v>87.597804878048777</v>
      </c>
      <c r="O63" s="424">
        <v>488.18700000000001</v>
      </c>
      <c r="P63" s="33">
        <f t="shared" si="19"/>
        <v>99.225000000000009</v>
      </c>
      <c r="Q63" s="471">
        <f t="shared" ref="Q63:Q72" si="26">O63-H63</f>
        <v>-3.8129999999999882</v>
      </c>
      <c r="R63" s="109" t="s">
        <v>344</v>
      </c>
      <c r="S63" s="479">
        <v>497</v>
      </c>
      <c r="T63" s="33">
        <f t="shared" si="6"/>
        <v>101.01626016260164</v>
      </c>
      <c r="U63" s="114"/>
    </row>
    <row r="64" spans="1:21" x14ac:dyDescent="0.2">
      <c r="A64" s="107"/>
      <c r="B64" s="28">
        <v>2132</v>
      </c>
      <c r="C64" s="107">
        <v>2121</v>
      </c>
      <c r="D64" s="28">
        <v>237</v>
      </c>
      <c r="E64" s="28" t="s">
        <v>182</v>
      </c>
      <c r="F64" s="67">
        <f>1350+40</f>
        <v>1390</v>
      </c>
      <c r="G64" s="604"/>
      <c r="H64" s="67">
        <f t="shared" si="25"/>
        <v>1390</v>
      </c>
      <c r="I64" s="67">
        <v>309.04482000000002</v>
      </c>
      <c r="J64" s="33">
        <f t="shared" si="16"/>
        <v>22.233440287769785</v>
      </c>
      <c r="K64" s="67">
        <f>37.19948+655.73908</f>
        <v>692.93855999999994</v>
      </c>
      <c r="L64" s="33">
        <f t="shared" ref="L64:L75" si="27">K64/$H64*100</f>
        <v>49.851694964028766</v>
      </c>
      <c r="M64" s="67">
        <f>43.64948+1046.03242</f>
        <v>1089.6819</v>
      </c>
      <c r="N64" s="33">
        <f t="shared" ref="N64:N75" si="28">M64/$H64*100</f>
        <v>78.394381294964035</v>
      </c>
      <c r="O64" s="424">
        <f>48.01505+1418.69575</f>
        <v>1466.7108000000001</v>
      </c>
      <c r="P64" s="33">
        <f t="shared" si="19"/>
        <v>105.51876258992807</v>
      </c>
      <c r="Q64" s="471">
        <f t="shared" si="26"/>
        <v>76.710800000000063</v>
      </c>
      <c r="R64" s="411"/>
      <c r="S64" s="479">
        <v>1435</v>
      </c>
      <c r="T64" s="33">
        <f t="shared" si="6"/>
        <v>103.23741007194245</v>
      </c>
      <c r="U64" s="345">
        <f>225+3+4</f>
        <v>232</v>
      </c>
    </row>
    <row r="65" spans="1:21" x14ac:dyDescent="0.2">
      <c r="A65" s="107"/>
      <c r="B65" s="28">
        <v>2132</v>
      </c>
      <c r="C65" s="107">
        <v>3113</v>
      </c>
      <c r="D65" s="28">
        <v>302</v>
      </c>
      <c r="E65" s="28" t="s">
        <v>300</v>
      </c>
      <c r="F65" s="67">
        <v>195</v>
      </c>
      <c r="G65" s="604"/>
      <c r="H65" s="67">
        <f t="shared" si="25"/>
        <v>195</v>
      </c>
      <c r="I65" s="67">
        <v>48.887500000000003</v>
      </c>
      <c r="J65" s="33">
        <f t="shared" si="16"/>
        <v>25.070512820512825</v>
      </c>
      <c r="K65" s="67">
        <v>97.775000000000006</v>
      </c>
      <c r="L65" s="33">
        <f t="shared" si="27"/>
        <v>50.141025641025649</v>
      </c>
      <c r="M65" s="67">
        <v>146.66249999999999</v>
      </c>
      <c r="N65" s="33">
        <f t="shared" si="28"/>
        <v>75.211538461538467</v>
      </c>
      <c r="O65" s="424">
        <v>195.55</v>
      </c>
      <c r="P65" s="33">
        <f t="shared" si="19"/>
        <v>100.2820512820513</v>
      </c>
      <c r="Q65" s="471">
        <f t="shared" si="26"/>
        <v>0.55000000000001137</v>
      </c>
      <c r="R65" s="410"/>
      <c r="S65" s="479">
        <v>195</v>
      </c>
      <c r="T65" s="33">
        <f t="shared" si="6"/>
        <v>100</v>
      </c>
      <c r="U65" s="114"/>
    </row>
    <row r="66" spans="1:21" x14ac:dyDescent="0.2">
      <c r="A66" s="107"/>
      <c r="B66" s="28">
        <v>2132</v>
      </c>
      <c r="C66" s="107">
        <v>3613</v>
      </c>
      <c r="D66" s="28">
        <v>316</v>
      </c>
      <c r="E66" s="28" t="s">
        <v>302</v>
      </c>
      <c r="F66" s="67">
        <v>281</v>
      </c>
      <c r="G66" s="604"/>
      <c r="H66" s="67">
        <f t="shared" si="25"/>
        <v>281</v>
      </c>
      <c r="I66" s="67">
        <v>70.344999999999999</v>
      </c>
      <c r="J66" s="33">
        <f t="shared" si="16"/>
        <v>25.033807829181491</v>
      </c>
      <c r="K66" s="67">
        <v>140.69</v>
      </c>
      <c r="L66" s="33">
        <f t="shared" si="27"/>
        <v>50.067615658362982</v>
      </c>
      <c r="M66" s="67">
        <v>211.035</v>
      </c>
      <c r="N66" s="33">
        <f t="shared" si="28"/>
        <v>75.10142348754448</v>
      </c>
      <c r="O66" s="424">
        <v>281.38</v>
      </c>
      <c r="P66" s="33">
        <f t="shared" si="19"/>
        <v>100.13523131672596</v>
      </c>
      <c r="Q66" s="471">
        <f t="shared" si="26"/>
        <v>0.37999999999999545</v>
      </c>
      <c r="R66" s="410"/>
      <c r="S66" s="479">
        <v>281</v>
      </c>
      <c r="T66" s="33">
        <f t="shared" si="6"/>
        <v>100</v>
      </c>
      <c r="U66" s="114"/>
    </row>
    <row r="67" spans="1:21" x14ac:dyDescent="0.2">
      <c r="A67" s="107"/>
      <c r="B67" s="28">
        <v>2132</v>
      </c>
      <c r="C67" s="107">
        <v>3612</v>
      </c>
      <c r="D67" s="28" t="s">
        <v>277</v>
      </c>
      <c r="E67" s="28" t="s">
        <v>141</v>
      </c>
      <c r="F67" s="67">
        <v>8509</v>
      </c>
      <c r="G67" s="604"/>
      <c r="H67" s="67">
        <f t="shared" si="25"/>
        <v>8509</v>
      </c>
      <c r="I67" s="67">
        <f>619.773+0.012+434.252+0.064+971.279+0.013</f>
        <v>2025.393</v>
      </c>
      <c r="J67" s="33">
        <f t="shared" si="16"/>
        <v>23.802949817839934</v>
      </c>
      <c r="K67" s="67">
        <f>1244.521+0.012+847.409+0.064+1973.655+0.026</f>
        <v>4065.6869999999999</v>
      </c>
      <c r="L67" s="33">
        <f t="shared" si="27"/>
        <v>47.78102009636855</v>
      </c>
      <c r="M67" s="67">
        <f>6125.825+0.102</f>
        <v>6125.9269999999997</v>
      </c>
      <c r="N67" s="33">
        <f t="shared" si="28"/>
        <v>71.993500998942295</v>
      </c>
      <c r="O67" s="424">
        <v>8201.7540000000008</v>
      </c>
      <c r="P67" s="33">
        <f t="shared" si="19"/>
        <v>96.389164414149732</v>
      </c>
      <c r="Q67" s="471">
        <f t="shared" si="26"/>
        <v>-307.24599999999919</v>
      </c>
      <c r="R67" s="410"/>
      <c r="S67" s="479">
        <f>2500+1680+4150</f>
        <v>8330</v>
      </c>
      <c r="T67" s="33">
        <f t="shared" si="6"/>
        <v>97.896345046421445</v>
      </c>
      <c r="U67" s="114"/>
    </row>
    <row r="68" spans="1:21" x14ac:dyDescent="0.2">
      <c r="A68" s="107"/>
      <c r="B68" s="28">
        <v>2132</v>
      </c>
      <c r="C68" s="107">
        <v>3613</v>
      </c>
      <c r="D68" s="28">
        <v>703</v>
      </c>
      <c r="E68" s="28" t="s">
        <v>42</v>
      </c>
      <c r="F68" s="67">
        <v>609</v>
      </c>
      <c r="G68" s="604"/>
      <c r="H68" s="67">
        <f t="shared" si="25"/>
        <v>609</v>
      </c>
      <c r="I68" s="67">
        <v>151.46100000000001</v>
      </c>
      <c r="J68" s="33">
        <f t="shared" si="16"/>
        <v>24.870443349753696</v>
      </c>
      <c r="K68" s="67">
        <f>307.888+0.21</f>
        <v>308.09799999999996</v>
      </c>
      <c r="L68" s="33">
        <f t="shared" si="27"/>
        <v>50.590804597701144</v>
      </c>
      <c r="M68" s="67">
        <f>465.013+0.021</f>
        <v>465.03399999999999</v>
      </c>
      <c r="N68" s="33">
        <f t="shared" si="28"/>
        <v>76.360262725779975</v>
      </c>
      <c r="O68" s="449">
        <f>619.635</f>
        <v>619.63499999999999</v>
      </c>
      <c r="P68" s="33">
        <f t="shared" si="19"/>
        <v>101.7463054187192</v>
      </c>
      <c r="Q68" s="471">
        <f t="shared" si="26"/>
        <v>10.634999999999991</v>
      </c>
      <c r="R68" s="412"/>
      <c r="S68" s="479">
        <v>620</v>
      </c>
      <c r="T68" s="33">
        <f t="shared" si="6"/>
        <v>101.80623973727423</v>
      </c>
      <c r="U68" s="114"/>
    </row>
    <row r="69" spans="1:21" ht="13.5" customHeight="1" x14ac:dyDescent="0.2">
      <c r="A69" s="107"/>
      <c r="B69" s="28">
        <v>2132</v>
      </c>
      <c r="C69" s="107">
        <v>3634</v>
      </c>
      <c r="D69" s="28">
        <v>21</v>
      </c>
      <c r="E69" s="28" t="s">
        <v>43</v>
      </c>
      <c r="F69" s="67">
        <v>999</v>
      </c>
      <c r="G69" s="604"/>
      <c r="H69" s="67">
        <f t="shared" si="25"/>
        <v>999</v>
      </c>
      <c r="I69" s="67">
        <v>249.75</v>
      </c>
      <c r="J69" s="33">
        <f t="shared" si="16"/>
        <v>25</v>
      </c>
      <c r="K69" s="67">
        <v>553.95000000000005</v>
      </c>
      <c r="L69" s="33">
        <f t="shared" si="27"/>
        <v>55.450450450450447</v>
      </c>
      <c r="M69" s="67">
        <v>858.15</v>
      </c>
      <c r="N69" s="33">
        <f t="shared" si="28"/>
        <v>85.900900900900893</v>
      </c>
      <c r="O69" s="424">
        <v>1162.3499999999999</v>
      </c>
      <c r="P69" s="33">
        <f t="shared" si="19"/>
        <v>116.35135135135135</v>
      </c>
      <c r="Q69" s="471">
        <f t="shared" si="26"/>
        <v>163.34999999999991</v>
      </c>
      <c r="R69" s="410"/>
      <c r="S69" s="479">
        <f>1235</f>
        <v>1235</v>
      </c>
      <c r="T69" s="33">
        <f t="shared" si="6"/>
        <v>123.62362362362363</v>
      </c>
      <c r="U69" s="287">
        <v>215</v>
      </c>
    </row>
    <row r="70" spans="1:21" x14ac:dyDescent="0.2">
      <c r="A70" s="107"/>
      <c r="B70" s="28">
        <v>2132</v>
      </c>
      <c r="C70" s="107">
        <v>3639</v>
      </c>
      <c r="D70" s="28">
        <v>21</v>
      </c>
      <c r="E70" s="28" t="s">
        <v>166</v>
      </c>
      <c r="F70" s="67">
        <v>500</v>
      </c>
      <c r="G70" s="604"/>
      <c r="H70" s="67">
        <f t="shared" si="25"/>
        <v>500</v>
      </c>
      <c r="I70" s="67">
        <v>199.9136</v>
      </c>
      <c r="J70" s="33">
        <f t="shared" si="16"/>
        <v>39.98272</v>
      </c>
      <c r="K70" s="67">
        <v>286.02659999999997</v>
      </c>
      <c r="L70" s="33">
        <f t="shared" si="27"/>
        <v>57.205319999999993</v>
      </c>
      <c r="M70" s="67">
        <v>384.97262999999998</v>
      </c>
      <c r="N70" s="33">
        <f t="shared" si="28"/>
        <v>76.994525999999993</v>
      </c>
      <c r="O70" s="424">
        <v>471.35813000000002</v>
      </c>
      <c r="P70" s="33">
        <f t="shared" si="19"/>
        <v>94.271626000000012</v>
      </c>
      <c r="Q70" s="471">
        <f t="shared" si="26"/>
        <v>-28.641869999999983</v>
      </c>
      <c r="R70" s="410"/>
      <c r="S70" s="479">
        <v>500</v>
      </c>
      <c r="T70" s="33">
        <f t="shared" si="6"/>
        <v>100</v>
      </c>
      <c r="U70" s="345">
        <f>48+22</f>
        <v>70</v>
      </c>
    </row>
    <row r="71" spans="1:21" x14ac:dyDescent="0.2">
      <c r="A71" s="107"/>
      <c r="B71" s="28">
        <v>2132</v>
      </c>
      <c r="C71" s="107">
        <v>3639</v>
      </c>
      <c r="D71" s="28">
        <v>319</v>
      </c>
      <c r="E71" s="28" t="s">
        <v>256</v>
      </c>
      <c r="F71" s="67">
        <v>275</v>
      </c>
      <c r="G71" s="604"/>
      <c r="H71" s="67">
        <f t="shared" si="25"/>
        <v>275</v>
      </c>
      <c r="I71" s="67">
        <v>68.606999999999999</v>
      </c>
      <c r="J71" s="33">
        <f t="shared" si="16"/>
        <v>24.948</v>
      </c>
      <c r="K71" s="67">
        <v>137.214</v>
      </c>
      <c r="L71" s="33">
        <f t="shared" si="27"/>
        <v>49.896000000000001</v>
      </c>
      <c r="M71" s="67">
        <v>201.852</v>
      </c>
      <c r="N71" s="33">
        <f t="shared" si="28"/>
        <v>73.400727272727266</v>
      </c>
      <c r="O71" s="424">
        <v>274.428</v>
      </c>
      <c r="P71" s="33">
        <f t="shared" si="19"/>
        <v>99.792000000000002</v>
      </c>
      <c r="Q71" s="471">
        <f t="shared" si="26"/>
        <v>-0.57200000000000273</v>
      </c>
      <c r="R71" s="410"/>
      <c r="S71" s="479">
        <v>275</v>
      </c>
      <c r="T71" s="33">
        <f t="shared" ref="T71:T148" si="29">S71/$F71*100</f>
        <v>100</v>
      </c>
      <c r="U71" s="287">
        <f>48</f>
        <v>48</v>
      </c>
    </row>
    <row r="72" spans="1:21" x14ac:dyDescent="0.2">
      <c r="A72" s="107"/>
      <c r="B72" s="28">
        <v>2132</v>
      </c>
      <c r="C72" s="107">
        <v>4355</v>
      </c>
      <c r="D72" s="28">
        <v>311</v>
      </c>
      <c r="E72" s="28" t="s">
        <v>452</v>
      </c>
      <c r="F72" s="67">
        <v>933</v>
      </c>
      <c r="G72" s="604"/>
      <c r="H72" s="67">
        <f t="shared" si="25"/>
        <v>933</v>
      </c>
      <c r="I72" s="67"/>
      <c r="J72" s="33">
        <f t="shared" si="16"/>
        <v>0</v>
      </c>
      <c r="K72" s="67"/>
      <c r="L72" s="33">
        <f t="shared" si="27"/>
        <v>0</v>
      </c>
      <c r="M72" s="67">
        <v>933</v>
      </c>
      <c r="N72" s="33">
        <f t="shared" si="28"/>
        <v>100</v>
      </c>
      <c r="O72" s="424">
        <v>933</v>
      </c>
      <c r="P72" s="33">
        <f t="shared" si="19"/>
        <v>100</v>
      </c>
      <c r="Q72" s="471">
        <f t="shared" si="26"/>
        <v>0</v>
      </c>
      <c r="R72" s="109"/>
      <c r="S72" s="479">
        <v>933</v>
      </c>
      <c r="T72" s="33">
        <f t="shared" si="29"/>
        <v>100</v>
      </c>
      <c r="U72" s="114"/>
    </row>
    <row r="73" spans="1:21" ht="14.25" customHeight="1" x14ac:dyDescent="0.2">
      <c r="A73" s="107"/>
      <c r="B73" s="107"/>
      <c r="C73" s="107"/>
      <c r="D73" s="107"/>
      <c r="E73" s="31" t="s">
        <v>88</v>
      </c>
      <c r="F73" s="68">
        <f>SUM(F74:F78)</f>
        <v>16</v>
      </c>
      <c r="G73" s="602">
        <f>SUM(G74:G78)</f>
        <v>216.98770999999999</v>
      </c>
      <c r="H73" s="68">
        <f>SUM(H74:H78)</f>
        <v>232.98770999999999</v>
      </c>
      <c r="I73" s="68">
        <f>SUM(I75:I78)</f>
        <v>2.1020599999999998</v>
      </c>
      <c r="J73" s="169">
        <f t="shared" si="16"/>
        <v>0.90221926298172539</v>
      </c>
      <c r="K73" s="68">
        <f>SUM(K74:K78)</f>
        <v>3.8355699999999997</v>
      </c>
      <c r="L73" s="169">
        <f t="shared" si="23"/>
        <v>1.6462542165850722</v>
      </c>
      <c r="M73" s="68">
        <f>SUM(M74:M78)</f>
        <v>5.4974499999999997</v>
      </c>
      <c r="N73" s="169">
        <f t="shared" si="28"/>
        <v>2.3595450592651432</v>
      </c>
      <c r="O73" s="68">
        <f>SUM(O74:O78)</f>
        <v>229.67612999999997</v>
      </c>
      <c r="P73" s="169">
        <f t="shared" si="19"/>
        <v>98.578646058197648</v>
      </c>
      <c r="Q73" s="471">
        <f>SUM(Q74:Q78)</f>
        <v>-3.3115800000000011</v>
      </c>
      <c r="R73" s="190"/>
      <c r="S73" s="478">
        <f>SUM(S74:S78)</f>
        <v>227</v>
      </c>
      <c r="T73" s="169">
        <f t="shared" si="29"/>
        <v>1418.75</v>
      </c>
    </row>
    <row r="74" spans="1:21" s="367" customFormat="1" ht="14.25" customHeight="1" x14ac:dyDescent="0.2">
      <c r="A74" s="365"/>
      <c r="B74" s="32">
        <v>2141</v>
      </c>
      <c r="C74" s="365">
        <v>3522</v>
      </c>
      <c r="D74" s="365">
        <v>233</v>
      </c>
      <c r="E74" s="32" t="s">
        <v>460</v>
      </c>
      <c r="F74" s="368"/>
      <c r="G74" s="606">
        <v>216.98770999999999</v>
      </c>
      <c r="H74" s="368">
        <f>SUM(F74:G74)</f>
        <v>216.98770999999999</v>
      </c>
      <c r="I74" s="368"/>
      <c r="J74" s="369"/>
      <c r="K74" s="368"/>
      <c r="L74" s="369"/>
      <c r="M74" s="368"/>
      <c r="N74" s="369"/>
      <c r="O74" s="368">
        <v>216.98770999999999</v>
      </c>
      <c r="P74" s="369"/>
      <c r="Q74" s="471">
        <f>O74-H74</f>
        <v>0</v>
      </c>
      <c r="R74" s="366" t="s">
        <v>459</v>
      </c>
      <c r="S74" s="480">
        <v>216</v>
      </c>
      <c r="T74" s="369"/>
    </row>
    <row r="75" spans="1:21" s="367" customFormat="1" x14ac:dyDescent="0.2">
      <c r="A75" s="365"/>
      <c r="B75" s="32">
        <v>2141</v>
      </c>
      <c r="C75" s="365">
        <v>6310</v>
      </c>
      <c r="D75" s="32">
        <v>314</v>
      </c>
      <c r="E75" s="32" t="s">
        <v>265</v>
      </c>
      <c r="F75" s="368">
        <v>10</v>
      </c>
      <c r="G75" s="606"/>
      <c r="H75" s="368">
        <f>SUM(F75:G75)</f>
        <v>10</v>
      </c>
      <c r="I75" s="368">
        <f>1.27578+0.04292+0.09508</f>
        <v>1.41378</v>
      </c>
      <c r="J75" s="369">
        <f t="shared" si="16"/>
        <v>14.1378</v>
      </c>
      <c r="K75" s="368">
        <f>2.58594+0.1437</f>
        <v>2.7296399999999998</v>
      </c>
      <c r="L75" s="369">
        <f t="shared" si="27"/>
        <v>27.296399999999998</v>
      </c>
      <c r="M75" s="368">
        <f>4.03721+0.07513+0.19285</f>
        <v>4.3051899999999996</v>
      </c>
      <c r="N75" s="369">
        <f t="shared" si="28"/>
        <v>43.051899999999996</v>
      </c>
      <c r="O75" s="368">
        <f>5.55824+0.24534+0.0913</f>
        <v>5.8948799999999997</v>
      </c>
      <c r="P75" s="33">
        <f>O75/$H75*100</f>
        <v>58.948799999999999</v>
      </c>
      <c r="Q75" s="471">
        <f>O75-H75</f>
        <v>-4.1051200000000003</v>
      </c>
      <c r="R75" s="366"/>
      <c r="S75" s="480">
        <v>10</v>
      </c>
      <c r="T75" s="369">
        <f t="shared" si="29"/>
        <v>100</v>
      </c>
    </row>
    <row r="76" spans="1:21" x14ac:dyDescent="0.2">
      <c r="A76" s="107"/>
      <c r="B76" s="28">
        <v>2143</v>
      </c>
      <c r="C76" s="107"/>
      <c r="D76" s="28"/>
      <c r="E76" s="28" t="s">
        <v>271</v>
      </c>
      <c r="F76" s="67"/>
      <c r="G76" s="604"/>
      <c r="H76" s="67">
        <f>SUM(F76:G76)</f>
        <v>0</v>
      </c>
      <c r="I76" s="67">
        <v>2.3279999999999999E-2</v>
      </c>
      <c r="J76" s="33"/>
      <c r="K76" s="67">
        <v>2.793E-2</v>
      </c>
      <c r="L76" s="33"/>
      <c r="M76" s="67">
        <v>3.3259999999999998E-2</v>
      </c>
      <c r="N76" s="33"/>
      <c r="O76" s="424">
        <v>5.8540000000000002E-2</v>
      </c>
      <c r="P76" s="33"/>
      <c r="Q76" s="471">
        <f>O76-H76</f>
        <v>5.8540000000000002E-2</v>
      </c>
      <c r="R76" s="109"/>
      <c r="S76" s="479"/>
      <c r="T76" s="33"/>
    </row>
    <row r="77" spans="1:21" x14ac:dyDescent="0.2">
      <c r="A77" s="107"/>
      <c r="B77" s="28">
        <v>2141</v>
      </c>
      <c r="C77" s="107">
        <v>6310</v>
      </c>
      <c r="D77" s="28">
        <v>245</v>
      </c>
      <c r="E77" s="28" t="s">
        <v>171</v>
      </c>
      <c r="F77" s="67">
        <v>1</v>
      </c>
      <c r="G77" s="604"/>
      <c r="H77" s="67">
        <f>SUM(F77:G77)</f>
        <v>1</v>
      </c>
      <c r="I77" s="67">
        <v>0.66500000000000004</v>
      </c>
      <c r="J77" s="33">
        <f t="shared" si="16"/>
        <v>66.5</v>
      </c>
      <c r="K77" s="67">
        <v>1.0780000000000001</v>
      </c>
      <c r="L77" s="33">
        <f t="shared" si="23"/>
        <v>107.80000000000001</v>
      </c>
      <c r="M77" s="67">
        <v>1.159</v>
      </c>
      <c r="N77" s="33">
        <f t="shared" si="24"/>
        <v>115.9</v>
      </c>
      <c r="O77" s="424">
        <v>1.159</v>
      </c>
      <c r="P77" s="33">
        <f t="shared" ref="P77:P84" si="30">O77/$H77*100</f>
        <v>115.9</v>
      </c>
      <c r="Q77" s="471">
        <f>O77-H77</f>
        <v>0.15900000000000003</v>
      </c>
      <c r="R77" s="109"/>
      <c r="S77" s="479">
        <v>0</v>
      </c>
      <c r="T77" s="33">
        <f t="shared" si="29"/>
        <v>0</v>
      </c>
    </row>
    <row r="78" spans="1:21" ht="13.5" customHeight="1" x14ac:dyDescent="0.2">
      <c r="A78" s="107"/>
      <c r="B78" s="28">
        <v>2141</v>
      </c>
      <c r="C78" s="107">
        <v>6310</v>
      </c>
      <c r="D78" s="28">
        <v>318</v>
      </c>
      <c r="E78" s="28" t="s">
        <v>486</v>
      </c>
      <c r="F78" s="67">
        <v>5</v>
      </c>
      <c r="G78" s="604"/>
      <c r="H78" s="67">
        <f>SUM(F78:G78)</f>
        <v>5</v>
      </c>
      <c r="I78" s="67"/>
      <c r="J78" s="33">
        <f t="shared" ref="J78:J96" si="31">I78/$H78*100</f>
        <v>0</v>
      </c>
      <c r="K78" s="67"/>
      <c r="L78" s="33">
        <f t="shared" si="23"/>
        <v>0</v>
      </c>
      <c r="M78" s="67"/>
      <c r="N78" s="33">
        <f t="shared" si="24"/>
        <v>0</v>
      </c>
      <c r="O78" s="424">
        <v>5.5759999999999996</v>
      </c>
      <c r="P78" s="33">
        <f t="shared" si="30"/>
        <v>111.52</v>
      </c>
      <c r="Q78" s="471">
        <f>O78-H78</f>
        <v>0.57599999999999962</v>
      </c>
      <c r="R78" s="109"/>
      <c r="S78" s="479">
        <v>1</v>
      </c>
      <c r="T78" s="33">
        <f t="shared" si="29"/>
        <v>20</v>
      </c>
    </row>
    <row r="79" spans="1:21" x14ac:dyDescent="0.2">
      <c r="A79" s="94" t="s">
        <v>131</v>
      </c>
      <c r="B79" s="31"/>
      <c r="C79" s="94"/>
      <c r="D79" s="31"/>
      <c r="E79" s="31"/>
      <c r="F79" s="68">
        <f>SUM(F80:F87)</f>
        <v>1248</v>
      </c>
      <c r="G79" s="602">
        <f>SUM(G80:G87)</f>
        <v>0</v>
      </c>
      <c r="H79" s="68">
        <f>SUM(H80:H87)</f>
        <v>1248</v>
      </c>
      <c r="I79" s="68">
        <f>SUM(I80:I87)</f>
        <v>249.51882999999998</v>
      </c>
      <c r="J79" s="169">
        <f t="shared" si="31"/>
        <v>19.99349599358974</v>
      </c>
      <c r="K79" s="68">
        <f>SUM(K80:K87)</f>
        <v>444.09554000000003</v>
      </c>
      <c r="L79" s="169">
        <f t="shared" si="23"/>
        <v>35.584578525641028</v>
      </c>
      <c r="M79" s="68">
        <f>SUM(M80:M87)</f>
        <v>640.25367000000006</v>
      </c>
      <c r="N79" s="169">
        <f t="shared" si="24"/>
        <v>51.302377403846158</v>
      </c>
      <c r="O79" s="68">
        <f>SUM(O80:O87)</f>
        <v>830.03587999999991</v>
      </c>
      <c r="P79" s="169">
        <f t="shared" si="30"/>
        <v>66.509285256410237</v>
      </c>
      <c r="Q79" s="470">
        <f>SUM(Q80:Q87)</f>
        <v>-417.96412000000004</v>
      </c>
      <c r="R79" s="188"/>
      <c r="S79" s="478">
        <f>SUM(S80:S87)</f>
        <v>4238</v>
      </c>
      <c r="T79" s="169">
        <f t="shared" si="29"/>
        <v>339.58333333333337</v>
      </c>
    </row>
    <row r="80" spans="1:21" x14ac:dyDescent="0.2">
      <c r="A80" s="107"/>
      <c r="B80" s="28">
        <v>2212</v>
      </c>
      <c r="C80" s="107">
        <v>6171</v>
      </c>
      <c r="D80" s="28">
        <v>11</v>
      </c>
      <c r="E80" s="28" t="s">
        <v>136</v>
      </c>
      <c r="F80" s="67">
        <v>3</v>
      </c>
      <c r="G80" s="604"/>
      <c r="H80" s="67">
        <f>SUM(F80:G80)</f>
        <v>3</v>
      </c>
      <c r="I80" s="67"/>
      <c r="J80" s="33">
        <f t="shared" si="31"/>
        <v>0</v>
      </c>
      <c r="K80" s="67">
        <v>0.3</v>
      </c>
      <c r="L80" s="33">
        <f t="shared" si="23"/>
        <v>10</v>
      </c>
      <c r="M80" s="67">
        <v>3.3</v>
      </c>
      <c r="N80" s="33">
        <f t="shared" si="24"/>
        <v>109.99999999999999</v>
      </c>
      <c r="O80" s="424">
        <v>3.3</v>
      </c>
      <c r="P80" s="33">
        <f t="shared" si="30"/>
        <v>109.99999999999999</v>
      </c>
      <c r="Q80" s="471">
        <f t="shared" ref="Q80:Q87" si="32">O80-H80</f>
        <v>0.29999999999999982</v>
      </c>
      <c r="R80" s="413"/>
      <c r="S80" s="479">
        <v>3</v>
      </c>
      <c r="T80" s="33">
        <f t="shared" si="29"/>
        <v>100</v>
      </c>
    </row>
    <row r="81" spans="1:21" x14ac:dyDescent="0.2">
      <c r="B81" s="28">
        <v>2212</v>
      </c>
      <c r="C81" s="107">
        <v>6171</v>
      </c>
      <c r="D81" s="28" t="s">
        <v>477</v>
      </c>
      <c r="E81" s="28" t="s">
        <v>237</v>
      </c>
      <c r="F81" s="67">
        <v>65</v>
      </c>
      <c r="G81" s="604"/>
      <c r="H81" s="67">
        <f>SUM(F81:G81)</f>
        <v>65</v>
      </c>
      <c r="I81" s="67">
        <f>16.1+0.7+1.3</f>
        <v>18.100000000000001</v>
      </c>
      <c r="J81" s="33">
        <f t="shared" si="31"/>
        <v>27.846153846153847</v>
      </c>
      <c r="K81" s="67">
        <f>29.4+0.7+3.9</f>
        <v>34</v>
      </c>
      <c r="L81" s="33">
        <f t="shared" si="23"/>
        <v>52.307692307692314</v>
      </c>
      <c r="M81" s="67">
        <f>47.812+1.3+4.7</f>
        <v>53.811999999999998</v>
      </c>
      <c r="N81" s="33">
        <f t="shared" si="24"/>
        <v>82.787692307692311</v>
      </c>
      <c r="O81" s="424">
        <f>66.06+2.4+6.1</f>
        <v>74.56</v>
      </c>
      <c r="P81" s="33">
        <f t="shared" si="30"/>
        <v>114.70769230769231</v>
      </c>
      <c r="Q81" s="471">
        <f t="shared" si="32"/>
        <v>9.5600000000000023</v>
      </c>
      <c r="R81" s="109"/>
      <c r="S81" s="479">
        <f>60+5</f>
        <v>65</v>
      </c>
      <c r="T81" s="33">
        <f t="shared" si="29"/>
        <v>100</v>
      </c>
    </row>
    <row r="82" spans="1:21" x14ac:dyDescent="0.2">
      <c r="A82" s="95"/>
      <c r="B82" s="28">
        <v>2212</v>
      </c>
      <c r="C82" s="107">
        <v>2169</v>
      </c>
      <c r="D82" s="28">
        <v>15</v>
      </c>
      <c r="E82" s="28" t="s">
        <v>157</v>
      </c>
      <c r="F82" s="67">
        <v>50</v>
      </c>
      <c r="G82" s="604"/>
      <c r="H82" s="67">
        <f>SUM(F82:G82)</f>
        <v>50</v>
      </c>
      <c r="I82" s="67">
        <v>3</v>
      </c>
      <c r="J82" s="33">
        <f t="shared" si="31"/>
        <v>6</v>
      </c>
      <c r="K82" s="67">
        <v>6</v>
      </c>
      <c r="L82" s="33">
        <f t="shared" si="23"/>
        <v>12</v>
      </c>
      <c r="M82" s="67">
        <v>9</v>
      </c>
      <c r="N82" s="33">
        <f t="shared" si="24"/>
        <v>18</v>
      </c>
      <c r="O82" s="424">
        <v>32</v>
      </c>
      <c r="P82" s="33">
        <f t="shared" si="30"/>
        <v>64</v>
      </c>
      <c r="Q82" s="471">
        <f t="shared" si="32"/>
        <v>-18</v>
      </c>
      <c r="R82" s="286"/>
      <c r="S82" s="479">
        <v>50</v>
      </c>
      <c r="T82" s="33">
        <f t="shared" si="29"/>
        <v>100</v>
      </c>
    </row>
    <row r="83" spans="1:21" x14ac:dyDescent="0.2">
      <c r="A83" s="107"/>
      <c r="B83" s="28">
        <v>2212</v>
      </c>
      <c r="C83" s="184" t="s">
        <v>178</v>
      </c>
      <c r="D83" s="28">
        <v>17</v>
      </c>
      <c r="E83" s="28" t="s">
        <v>134</v>
      </c>
      <c r="F83" s="67">
        <v>30</v>
      </c>
      <c r="G83" s="604"/>
      <c r="H83" s="67">
        <f>SUM(F83:G83)</f>
        <v>30</v>
      </c>
      <c r="I83" s="67">
        <v>7.5</v>
      </c>
      <c r="J83" s="33">
        <f t="shared" si="31"/>
        <v>25</v>
      </c>
      <c r="K83" s="67">
        <v>30.3</v>
      </c>
      <c r="L83" s="33">
        <f t="shared" si="23"/>
        <v>101</v>
      </c>
      <c r="M83" s="67">
        <v>35.299999999999997</v>
      </c>
      <c r="N83" s="33">
        <f t="shared" si="24"/>
        <v>117.66666666666666</v>
      </c>
      <c r="O83" s="424">
        <v>46.3</v>
      </c>
      <c r="P83" s="33">
        <f t="shared" si="30"/>
        <v>154.33333333333331</v>
      </c>
      <c r="Q83" s="471">
        <f t="shared" si="32"/>
        <v>16.299999999999997</v>
      </c>
      <c r="R83" s="109"/>
      <c r="S83" s="479">
        <v>20</v>
      </c>
      <c r="T83" s="33">
        <f t="shared" si="29"/>
        <v>66.666666666666657</v>
      </c>
    </row>
    <row r="84" spans="1:21" ht="13.5" customHeight="1" x14ac:dyDescent="0.2">
      <c r="A84" s="107"/>
      <c r="B84" s="28">
        <v>2212</v>
      </c>
      <c r="C84" s="107">
        <v>6171</v>
      </c>
      <c r="D84" s="28" t="s">
        <v>447</v>
      </c>
      <c r="E84" s="28" t="s">
        <v>133</v>
      </c>
      <c r="F84" s="67">
        <v>1000</v>
      </c>
      <c r="G84" s="604"/>
      <c r="H84" s="67">
        <f>SUM(F84:G84)</f>
        <v>1000</v>
      </c>
      <c r="I84" s="67">
        <v>200.11883</v>
      </c>
      <c r="J84" s="33">
        <f t="shared" si="31"/>
        <v>20.011883000000001</v>
      </c>
      <c r="K84" s="67">
        <f>5+336.89554</f>
        <v>341.89553999999998</v>
      </c>
      <c r="L84" s="33">
        <f t="shared" si="23"/>
        <v>34.189554000000001</v>
      </c>
      <c r="M84" s="67">
        <f>9.8+497.44167</f>
        <v>507.24167</v>
      </c>
      <c r="N84" s="33">
        <f t="shared" si="24"/>
        <v>50.724166999999994</v>
      </c>
      <c r="O84" s="424">
        <f>23.3+616.41188</f>
        <v>639.71187999999995</v>
      </c>
      <c r="P84" s="33">
        <f t="shared" si="30"/>
        <v>63.971187999999991</v>
      </c>
      <c r="Q84" s="471">
        <f t="shared" si="32"/>
        <v>-360.28812000000005</v>
      </c>
      <c r="R84" s="109"/>
      <c r="S84" s="479">
        <v>1000</v>
      </c>
      <c r="T84" s="33">
        <f t="shared" si="29"/>
        <v>100</v>
      </c>
      <c r="U84" s="349"/>
    </row>
    <row r="85" spans="1:21" s="349" customFormat="1" x14ac:dyDescent="0.2">
      <c r="A85" s="107"/>
      <c r="B85" s="28">
        <v>2212</v>
      </c>
      <c r="C85" s="107">
        <v>6171</v>
      </c>
      <c r="D85" s="28"/>
      <c r="E85" s="28" t="s">
        <v>465</v>
      </c>
      <c r="F85" s="67"/>
      <c r="G85" s="604"/>
      <c r="H85" s="67"/>
      <c r="I85" s="67"/>
      <c r="J85" s="33"/>
      <c r="K85" s="67"/>
      <c r="L85" s="33"/>
      <c r="M85" s="67"/>
      <c r="N85" s="33"/>
      <c r="O85" s="424"/>
      <c r="P85" s="33"/>
      <c r="Q85" s="471">
        <f t="shared" si="32"/>
        <v>0</v>
      </c>
      <c r="R85" s="109"/>
      <c r="S85" s="479">
        <v>3000</v>
      </c>
      <c r="T85" s="33"/>
    </row>
    <row r="86" spans="1:21" x14ac:dyDescent="0.2">
      <c r="A86" s="107"/>
      <c r="B86" s="28">
        <v>2212</v>
      </c>
      <c r="C86" s="107">
        <v>6171</v>
      </c>
      <c r="D86" s="28">
        <v>30.13</v>
      </c>
      <c r="E86" s="28" t="s">
        <v>290</v>
      </c>
      <c r="F86" s="67"/>
      <c r="G86" s="604"/>
      <c r="H86" s="67">
        <f>SUM(F86:G86)</f>
        <v>0</v>
      </c>
      <c r="I86" s="67">
        <f>20+0.1</f>
        <v>20.100000000000001</v>
      </c>
      <c r="J86" s="33"/>
      <c r="K86" s="67">
        <f>20+0.1+6+2</f>
        <v>28.1</v>
      </c>
      <c r="L86" s="33"/>
      <c r="M86" s="67">
        <f>20+0.1+6+2</f>
        <v>28.1</v>
      </c>
      <c r="N86" s="33"/>
      <c r="O86" s="424">
        <f>0.1+6.1+0.443+0.021+20+4</f>
        <v>30.663999999999998</v>
      </c>
      <c r="P86" s="33"/>
      <c r="Q86" s="471">
        <f t="shared" si="32"/>
        <v>30.663999999999998</v>
      </c>
      <c r="R86" s="109"/>
      <c r="S86" s="479">
        <v>0</v>
      </c>
      <c r="T86" s="33"/>
    </row>
    <row r="87" spans="1:21" x14ac:dyDescent="0.2">
      <c r="A87" s="107"/>
      <c r="B87" s="28">
        <v>2212</v>
      </c>
      <c r="C87" s="107">
        <v>5311</v>
      </c>
      <c r="D87" s="28">
        <v>16</v>
      </c>
      <c r="E87" s="28" t="s">
        <v>44</v>
      </c>
      <c r="F87" s="67">
        <v>100</v>
      </c>
      <c r="G87" s="604"/>
      <c r="H87" s="67">
        <f>SUM(F87:G87)</f>
        <v>100</v>
      </c>
      <c r="I87" s="67">
        <v>0.7</v>
      </c>
      <c r="J87" s="33">
        <f t="shared" si="31"/>
        <v>0.7</v>
      </c>
      <c r="K87" s="67">
        <v>3.5</v>
      </c>
      <c r="L87" s="33">
        <f t="shared" si="23"/>
        <v>3.5000000000000004</v>
      </c>
      <c r="M87" s="67">
        <v>3.5</v>
      </c>
      <c r="N87" s="33">
        <f t="shared" si="24"/>
        <v>3.5000000000000004</v>
      </c>
      <c r="O87" s="424">
        <v>3.5</v>
      </c>
      <c r="P87" s="33">
        <f>O87/$H87*100</f>
        <v>3.5000000000000004</v>
      </c>
      <c r="Q87" s="471">
        <f t="shared" si="32"/>
        <v>-96.5</v>
      </c>
      <c r="R87" s="109"/>
      <c r="S87" s="479">
        <v>100</v>
      </c>
      <c r="T87" s="33">
        <f t="shared" si="29"/>
        <v>100</v>
      </c>
    </row>
    <row r="88" spans="1:21" x14ac:dyDescent="0.2">
      <c r="A88" s="94" t="s">
        <v>130</v>
      </c>
      <c r="B88" s="28"/>
      <c r="C88" s="107"/>
      <c r="D88" s="28"/>
      <c r="E88" s="28"/>
      <c r="F88" s="68">
        <f>SUM(F89:F98)</f>
        <v>428</v>
      </c>
      <c r="G88" s="602">
        <f>SUM(G89:G98)</f>
        <v>576.78319999999997</v>
      </c>
      <c r="H88" s="68">
        <f>SUM(H89:H98)</f>
        <v>1004.7832</v>
      </c>
      <c r="I88" s="68">
        <f>SUM(I89:I98)</f>
        <v>474.02778000000001</v>
      </c>
      <c r="J88" s="169">
        <f t="shared" si="31"/>
        <v>47.177120397713658</v>
      </c>
      <c r="K88" s="68">
        <f>SUM(K89:K98)</f>
        <v>796.96877999999992</v>
      </c>
      <c r="L88" s="169">
        <f t="shared" si="23"/>
        <v>79.317486598103955</v>
      </c>
      <c r="M88" s="68">
        <f>SUM(M89:M98)</f>
        <v>1077.33178</v>
      </c>
      <c r="N88" s="169">
        <f t="shared" si="24"/>
        <v>107.22032175697206</v>
      </c>
      <c r="O88" s="68">
        <f>SUM(O89:O98)</f>
        <v>2696.4761899999999</v>
      </c>
      <c r="P88" s="169">
        <f>O88/$H88*100</f>
        <v>268.36398040890811</v>
      </c>
      <c r="Q88" s="470">
        <f>SUM(Q89:Q98)</f>
        <v>1691.69299</v>
      </c>
      <c r="R88" s="255"/>
      <c r="S88" s="478">
        <f>SUM(S89:S98)</f>
        <v>50</v>
      </c>
      <c r="T88" s="169">
        <f t="shared" si="29"/>
        <v>11.682242990654206</v>
      </c>
    </row>
    <row r="89" spans="1:21" x14ac:dyDescent="0.2">
      <c r="A89" s="107"/>
      <c r="B89" s="28">
        <v>2321</v>
      </c>
      <c r="C89" s="107">
        <v>2199</v>
      </c>
      <c r="D89" s="28"/>
      <c r="E89" s="28" t="s">
        <v>258</v>
      </c>
      <c r="F89" s="67"/>
      <c r="G89" s="604"/>
      <c r="H89" s="67">
        <f>SUM(F89:G89)</f>
        <v>0</v>
      </c>
      <c r="I89" s="67"/>
      <c r="J89" s="33"/>
      <c r="K89" s="67"/>
      <c r="L89" s="33"/>
      <c r="M89" s="67">
        <v>6.77</v>
      </c>
      <c r="N89" s="33"/>
      <c r="O89" s="424"/>
      <c r="P89" s="33"/>
      <c r="Q89" s="471">
        <f t="shared" ref="Q89:Q99" si="33">O89-H89</f>
        <v>0</v>
      </c>
      <c r="R89" s="109"/>
      <c r="S89" s="479">
        <v>0</v>
      </c>
      <c r="T89" s="33"/>
    </row>
    <row r="90" spans="1:21" s="349" customFormat="1" x14ac:dyDescent="0.2">
      <c r="A90" s="107"/>
      <c r="B90" s="28">
        <v>2222</v>
      </c>
      <c r="C90" s="107">
        <v>6402</v>
      </c>
      <c r="D90" s="28">
        <v>110</v>
      </c>
      <c r="E90" s="28" t="s">
        <v>385</v>
      </c>
      <c r="F90" s="67">
        <v>28</v>
      </c>
      <c r="G90" s="604"/>
      <c r="H90" s="67">
        <f>SUM(F90:G90)</f>
        <v>28</v>
      </c>
      <c r="I90" s="67">
        <v>28.534610000000001</v>
      </c>
      <c r="J90" s="33"/>
      <c r="K90" s="67">
        <v>28.534610000000001</v>
      </c>
      <c r="L90" s="33">
        <f t="shared" si="23"/>
        <v>101.90932142857143</v>
      </c>
      <c r="M90" s="67">
        <v>28.534610000000001</v>
      </c>
      <c r="N90" s="33"/>
      <c r="O90" s="424">
        <v>28.534610000000001</v>
      </c>
      <c r="P90" s="33">
        <f>O90/$H90*100</f>
        <v>101.90932142857143</v>
      </c>
      <c r="Q90" s="471">
        <f t="shared" si="33"/>
        <v>0.5346100000000007</v>
      </c>
      <c r="R90" s="109"/>
      <c r="S90" s="479">
        <v>0</v>
      </c>
      <c r="T90" s="33"/>
    </row>
    <row r="91" spans="1:21" x14ac:dyDescent="0.2">
      <c r="A91" s="107"/>
      <c r="B91" s="28">
        <v>2324</v>
      </c>
      <c r="C91" s="107">
        <v>3613</v>
      </c>
      <c r="D91" s="28">
        <v>305</v>
      </c>
      <c r="E91" s="28" t="s">
        <v>319</v>
      </c>
      <c r="F91" s="67">
        <v>400</v>
      </c>
      <c r="G91" s="603"/>
      <c r="H91" s="67">
        <f>SUM(F91:G91)</f>
        <v>400</v>
      </c>
      <c r="I91" s="67">
        <f>124.11417</f>
        <v>124.11417</v>
      </c>
      <c r="J91" s="33">
        <f t="shared" si="31"/>
        <v>31.0285425</v>
      </c>
      <c r="K91" s="67">
        <f>283.741+124.11417</f>
        <v>407.85516999999999</v>
      </c>
      <c r="L91" s="33">
        <f t="shared" si="23"/>
        <v>101.96379250000001</v>
      </c>
      <c r="M91" s="67">
        <f>283.741+124.11417</f>
        <v>407.85516999999999</v>
      </c>
      <c r="N91" s="33">
        <f t="shared" si="24"/>
        <v>101.96379250000001</v>
      </c>
      <c r="O91" s="424">
        <f>283.741+124.11417</f>
        <v>407.85516999999999</v>
      </c>
      <c r="P91" s="33">
        <f>O91/$H91*100</f>
        <v>101.96379250000001</v>
      </c>
      <c r="Q91" s="471">
        <f t="shared" si="33"/>
        <v>7.8551699999999869</v>
      </c>
      <c r="R91" s="109"/>
      <c r="S91" s="479">
        <v>50</v>
      </c>
      <c r="T91" s="33">
        <f t="shared" si="29"/>
        <v>12.5</v>
      </c>
    </row>
    <row r="92" spans="1:21" s="349" customFormat="1" x14ac:dyDescent="0.2">
      <c r="A92" s="107"/>
      <c r="B92" s="28">
        <v>2324</v>
      </c>
      <c r="C92" s="107">
        <v>3639</v>
      </c>
      <c r="D92" s="28">
        <v>21</v>
      </c>
      <c r="E92" s="28" t="s">
        <v>446</v>
      </c>
      <c r="F92" s="67"/>
      <c r="G92" s="603"/>
      <c r="H92" s="67"/>
      <c r="I92" s="67"/>
      <c r="J92" s="33"/>
      <c r="K92" s="67"/>
      <c r="L92" s="33"/>
      <c r="M92" s="67">
        <v>200</v>
      </c>
      <c r="N92" s="33"/>
      <c r="O92" s="424">
        <v>490</v>
      </c>
      <c r="P92" s="33"/>
      <c r="Q92" s="471">
        <f t="shared" si="33"/>
        <v>490</v>
      </c>
      <c r="R92" s="109"/>
      <c r="S92" s="479"/>
      <c r="T92" s="33"/>
    </row>
    <row r="93" spans="1:21" s="349" customFormat="1" x14ac:dyDescent="0.2">
      <c r="A93" s="107"/>
      <c r="B93" s="28">
        <v>2229</v>
      </c>
      <c r="C93" s="107"/>
      <c r="D93" s="28">
        <v>301</v>
      </c>
      <c r="E93" s="28" t="s">
        <v>470</v>
      </c>
      <c r="F93" s="67"/>
      <c r="G93" s="607">
        <v>167.75219999999999</v>
      </c>
      <c r="H93" s="67">
        <f>SUM(F93:G93)</f>
        <v>167.75219999999999</v>
      </c>
      <c r="I93" s="67"/>
      <c r="J93" s="33"/>
      <c r="K93" s="67"/>
      <c r="L93" s="33"/>
      <c r="M93" s="67"/>
      <c r="N93" s="33"/>
      <c r="O93" s="424">
        <v>167.75219999999999</v>
      </c>
      <c r="P93" s="33">
        <f>O93/$H93*100</f>
        <v>100</v>
      </c>
      <c r="Q93" s="471">
        <f t="shared" si="33"/>
        <v>0</v>
      </c>
      <c r="R93" s="109"/>
      <c r="S93" s="479"/>
      <c r="T93" s="33"/>
    </row>
    <row r="94" spans="1:21" s="349" customFormat="1" x14ac:dyDescent="0.2">
      <c r="A94" s="107"/>
      <c r="B94" s="28" t="s">
        <v>478</v>
      </c>
      <c r="C94" s="107"/>
      <c r="D94" s="28">
        <v>105</v>
      </c>
      <c r="E94" s="28" t="s">
        <v>435</v>
      </c>
      <c r="F94" s="67"/>
      <c r="G94" s="607"/>
      <c r="H94" s="67"/>
      <c r="I94" s="67">
        <f>2.32+5.7+50+63</f>
        <v>121.02</v>
      </c>
      <c r="J94" s="33"/>
      <c r="K94" s="67">
        <f>2.32+5.7+28+50+63</f>
        <v>149.01999999999998</v>
      </c>
      <c r="L94" s="33"/>
      <c r="M94" s="67">
        <f>22.72+5.7+64.393+50+63</f>
        <v>205.81299999999999</v>
      </c>
      <c r="N94" s="33"/>
      <c r="O94" s="424">
        <f>22.72+5.7+64.393+50+63</f>
        <v>205.81299999999999</v>
      </c>
      <c r="P94" s="33"/>
      <c r="Q94" s="471">
        <f t="shared" si="33"/>
        <v>205.81299999999999</v>
      </c>
      <c r="R94" s="109"/>
      <c r="S94" s="479"/>
      <c r="T94" s="33"/>
    </row>
    <row r="95" spans="1:21" s="349" customFormat="1" x14ac:dyDescent="0.2">
      <c r="A95" s="107"/>
      <c r="B95" s="28">
        <v>2229</v>
      </c>
      <c r="C95" s="107"/>
      <c r="D95" s="28">
        <v>2021</v>
      </c>
      <c r="E95" s="170" t="s">
        <v>387</v>
      </c>
      <c r="F95" s="67"/>
      <c r="G95" s="607"/>
      <c r="H95" s="67"/>
      <c r="I95" s="67"/>
      <c r="J95" s="33"/>
      <c r="K95" s="67"/>
      <c r="L95" s="33"/>
      <c r="M95" s="67"/>
      <c r="N95" s="33"/>
      <c r="O95" s="424">
        <v>993.09020999999996</v>
      </c>
      <c r="P95" s="33"/>
      <c r="Q95" s="471">
        <f t="shared" si="33"/>
        <v>993.09020999999996</v>
      </c>
      <c r="R95" s="109"/>
      <c r="S95" s="479"/>
      <c r="T95" s="33"/>
    </row>
    <row r="96" spans="1:21" x14ac:dyDescent="0.2">
      <c r="A96" s="107"/>
      <c r="B96" s="28">
        <v>2324</v>
      </c>
      <c r="C96" s="107"/>
      <c r="D96" s="28">
        <v>108</v>
      </c>
      <c r="E96" s="28" t="s">
        <v>419</v>
      </c>
      <c r="F96" s="67"/>
      <c r="G96" s="604">
        <v>166.75899999999999</v>
      </c>
      <c r="H96" s="67">
        <f>SUM(F96:G96)</f>
        <v>166.75899999999999</v>
      </c>
      <c r="I96" s="67">
        <v>166.75899999999999</v>
      </c>
      <c r="J96" s="33">
        <f t="shared" si="31"/>
        <v>100</v>
      </c>
      <c r="K96" s="67">
        <v>166.75899999999999</v>
      </c>
      <c r="L96" s="33">
        <f t="shared" si="23"/>
        <v>100</v>
      </c>
      <c r="M96" s="67">
        <v>166.75899999999999</v>
      </c>
      <c r="N96" s="33"/>
      <c r="O96" s="424">
        <v>166.75899999999999</v>
      </c>
      <c r="P96" s="33">
        <f>O96/$H96*100</f>
        <v>100</v>
      </c>
      <c r="Q96" s="471">
        <f t="shared" si="33"/>
        <v>0</v>
      </c>
      <c r="R96" s="109"/>
      <c r="S96" s="479"/>
      <c r="T96" s="33"/>
    </row>
    <row r="97" spans="1:21" s="349" customFormat="1" x14ac:dyDescent="0.2">
      <c r="A97" s="107"/>
      <c r="B97" s="28">
        <v>2324</v>
      </c>
      <c r="C97" s="107"/>
      <c r="D97" s="28">
        <v>109</v>
      </c>
      <c r="E97" s="28" t="s">
        <v>466</v>
      </c>
      <c r="F97" s="67"/>
      <c r="G97" s="604">
        <v>163.87200000000001</v>
      </c>
      <c r="H97" s="67">
        <f>SUM(F97:G97)</f>
        <v>163.87200000000001</v>
      </c>
      <c r="I97" s="67"/>
      <c r="J97" s="33"/>
      <c r="K97" s="67"/>
      <c r="L97" s="33"/>
      <c r="M97" s="67"/>
      <c r="N97" s="33"/>
      <c r="O97" s="424">
        <v>163.87200000000001</v>
      </c>
      <c r="P97" s="33">
        <f>O97/$H97*100</f>
        <v>100</v>
      </c>
      <c r="Q97" s="471">
        <f t="shared" si="33"/>
        <v>0</v>
      </c>
      <c r="R97" s="109"/>
      <c r="S97" s="479"/>
      <c r="T97" s="33"/>
    </row>
    <row r="98" spans="1:21" s="349" customFormat="1" x14ac:dyDescent="0.2">
      <c r="A98" s="107"/>
      <c r="B98" s="28">
        <v>2324</v>
      </c>
      <c r="C98" s="107"/>
      <c r="D98" s="28">
        <v>223</v>
      </c>
      <c r="E98" s="28" t="s">
        <v>420</v>
      </c>
      <c r="F98" s="67"/>
      <c r="G98" s="604">
        <v>78.400000000000006</v>
      </c>
      <c r="H98" s="67">
        <f>SUM(F98:G98)</f>
        <v>78.400000000000006</v>
      </c>
      <c r="I98" s="67">
        <v>33.6</v>
      </c>
      <c r="J98" s="33"/>
      <c r="K98" s="67">
        <v>44.8</v>
      </c>
      <c r="L98" s="33"/>
      <c r="M98" s="67">
        <f>16.8+44.8</f>
        <v>61.599999999999994</v>
      </c>
      <c r="N98" s="33"/>
      <c r="O98" s="424">
        <f>28+44.8</f>
        <v>72.8</v>
      </c>
      <c r="P98" s="33">
        <f>O98/$H98*100</f>
        <v>92.857142857142847</v>
      </c>
      <c r="Q98" s="471">
        <f t="shared" si="33"/>
        <v>-5.6000000000000085</v>
      </c>
      <c r="R98" s="109"/>
      <c r="S98" s="479"/>
      <c r="T98" s="33"/>
    </row>
    <row r="99" spans="1:21" x14ac:dyDescent="0.2">
      <c r="A99" s="94" t="s">
        <v>129</v>
      </c>
      <c r="B99" s="28"/>
      <c r="C99" s="107"/>
      <c r="D99" s="28"/>
      <c r="E99" s="28"/>
      <c r="F99" s="68">
        <f>SUM(F100:F100)</f>
        <v>0</v>
      </c>
      <c r="G99" s="602">
        <f>SUM(G100:G100)</f>
        <v>0</v>
      </c>
      <c r="H99" s="68">
        <f>SUM(H100:H100)</f>
        <v>0</v>
      </c>
      <c r="I99" s="68">
        <f>SUM(I100:I100)</f>
        <v>0</v>
      </c>
      <c r="J99" s="30"/>
      <c r="K99" s="68">
        <f>SUM(K100:K100)</f>
        <v>0</v>
      </c>
      <c r="L99" s="30"/>
      <c r="M99" s="68">
        <f>SUM(M100:M100)</f>
        <v>0</v>
      </c>
      <c r="N99" s="169"/>
      <c r="O99" s="68">
        <f>SUM(O100:O100)</f>
        <v>0</v>
      </c>
      <c r="P99" s="169"/>
      <c r="Q99" s="471">
        <f t="shared" si="33"/>
        <v>0</v>
      </c>
      <c r="R99" s="187"/>
      <c r="S99" s="478">
        <f>SUM(S100:S100)</f>
        <v>0</v>
      </c>
      <c r="T99" s="169"/>
    </row>
    <row r="100" spans="1:21" ht="13.5" thickBot="1" x14ac:dyDescent="0.25">
      <c r="A100" s="107"/>
      <c r="B100" s="28"/>
      <c r="C100" s="28"/>
      <c r="D100" s="28"/>
      <c r="E100" s="170"/>
      <c r="F100" s="67"/>
      <c r="G100" s="604"/>
      <c r="H100" s="67"/>
      <c r="I100" s="67"/>
      <c r="J100" s="33"/>
      <c r="K100" s="67"/>
      <c r="L100" s="33"/>
      <c r="M100" s="67"/>
      <c r="N100" s="33"/>
      <c r="O100" s="424"/>
      <c r="P100" s="33"/>
      <c r="Q100" s="371"/>
      <c r="R100" s="346"/>
      <c r="S100" s="433"/>
      <c r="T100" s="33"/>
      <c r="U100" s="349"/>
    </row>
    <row r="101" spans="1:21" ht="16.5" thickBot="1" x14ac:dyDescent="0.3">
      <c r="A101" s="112" t="s">
        <v>45</v>
      </c>
      <c r="B101" s="115"/>
      <c r="C101" s="116"/>
      <c r="D101" s="115"/>
      <c r="E101" s="115"/>
      <c r="F101" s="69">
        <f>SUM(F40+F62+F73+F79+F88+F99)</f>
        <v>26774</v>
      </c>
      <c r="G101" s="608">
        <f>SUM(G40+G62+G73+G79+G88+G99)</f>
        <v>1414.45291</v>
      </c>
      <c r="H101" s="69">
        <f>SUM(H40+H62+H73+H79+H88+H99)</f>
        <v>28188.452910000004</v>
      </c>
      <c r="I101" s="69">
        <f>SUM(I40+I62+I73+I79+I88+I99)</f>
        <v>6104.642890000001</v>
      </c>
      <c r="J101" s="35">
        <f>I101/$H101*100</f>
        <v>21.656537552773415</v>
      </c>
      <c r="K101" s="69">
        <f>SUM(K40+K62+K73+K79+K88+K99)</f>
        <v>12664.901539999999</v>
      </c>
      <c r="L101" s="35">
        <f>K101/$H101*100</f>
        <v>44.929395665794267</v>
      </c>
      <c r="M101" s="69">
        <f>SUM(M40+M62+M73+M79+M88+M99)</f>
        <v>22673.655440000002</v>
      </c>
      <c r="N101" s="35">
        <f>M101/$H101*100</f>
        <v>80.435969694372275</v>
      </c>
      <c r="O101" s="69">
        <f>SUM(O40+O62+O73+O79+O88+O99)</f>
        <v>31830.267920000002</v>
      </c>
      <c r="P101" s="35">
        <f>O101/$H101*100</f>
        <v>112.91952779965462</v>
      </c>
      <c r="Q101" s="261">
        <f>SUM(Q40+Q62+Q73+Q79+Q88+Q99)</f>
        <v>3641.8150100000016</v>
      </c>
      <c r="R101" s="191"/>
      <c r="S101" s="434">
        <f>SUM(S40+S62+S73+S79+S88+S99)</f>
        <v>31040</v>
      </c>
      <c r="T101" s="35">
        <f t="shared" si="29"/>
        <v>115.93336819302309</v>
      </c>
    </row>
    <row r="102" spans="1:21" x14ac:dyDescent="0.2">
      <c r="A102" s="108" t="s">
        <v>146</v>
      </c>
      <c r="B102" s="75"/>
      <c r="C102" s="108"/>
      <c r="D102" s="75"/>
      <c r="E102" s="108" t="s">
        <v>46</v>
      </c>
      <c r="F102" s="74"/>
      <c r="G102" s="74"/>
      <c r="H102" s="74"/>
      <c r="I102" s="74"/>
      <c r="J102" s="29"/>
      <c r="K102" s="74"/>
      <c r="L102" s="29"/>
      <c r="M102" s="74"/>
      <c r="N102" s="29"/>
      <c r="O102" s="74"/>
      <c r="P102" s="29"/>
      <c r="Q102" s="475"/>
      <c r="R102" s="189"/>
      <c r="S102" s="431"/>
      <c r="T102" s="29"/>
    </row>
    <row r="103" spans="1:21" x14ac:dyDescent="0.2">
      <c r="A103" s="94" t="s">
        <v>47</v>
      </c>
      <c r="B103" s="31"/>
      <c r="C103" s="94"/>
      <c r="D103" s="31"/>
      <c r="E103" s="31"/>
      <c r="F103" s="68"/>
      <c r="G103" s="68"/>
      <c r="H103" s="68"/>
      <c r="I103" s="68"/>
      <c r="J103" s="30"/>
      <c r="K103" s="68"/>
      <c r="L103" s="30"/>
      <c r="M103" s="68"/>
      <c r="N103" s="30"/>
      <c r="O103" s="68"/>
      <c r="P103" s="30"/>
      <c r="Q103" s="226"/>
      <c r="R103" s="188"/>
      <c r="S103" s="432"/>
      <c r="T103" s="30"/>
      <c r="U103" s="251"/>
    </row>
    <row r="104" spans="1:21" s="367" customFormat="1" x14ac:dyDescent="0.2">
      <c r="A104" s="365"/>
      <c r="B104" s="32">
        <v>3201</v>
      </c>
      <c r="C104" s="365">
        <v>3522</v>
      </c>
      <c r="D104" s="32">
        <v>233</v>
      </c>
      <c r="E104" s="32" t="s">
        <v>461</v>
      </c>
      <c r="F104" s="368"/>
      <c r="G104" s="606">
        <v>12337.763999999999</v>
      </c>
      <c r="H104" s="67">
        <f>SUM(F104:G104)</f>
        <v>12337.763999999999</v>
      </c>
      <c r="I104" s="368"/>
      <c r="J104" s="369"/>
      <c r="K104" s="368"/>
      <c r="L104" s="369"/>
      <c r="M104" s="368"/>
      <c r="N104" s="369"/>
      <c r="O104" s="368">
        <v>12337.763999999999</v>
      </c>
      <c r="P104" s="369"/>
      <c r="Q104" s="471">
        <f>O104-H104</f>
        <v>0</v>
      </c>
      <c r="R104" s="366" t="s">
        <v>459</v>
      </c>
      <c r="S104" s="480">
        <v>12337</v>
      </c>
      <c r="T104" s="369"/>
      <c r="U104" s="372"/>
    </row>
    <row r="105" spans="1:21" x14ac:dyDescent="0.2">
      <c r="A105" s="107"/>
      <c r="B105" s="28">
        <v>3111</v>
      </c>
      <c r="C105" s="107">
        <v>2121</v>
      </c>
      <c r="D105" s="28">
        <v>20</v>
      </c>
      <c r="E105" s="28" t="s">
        <v>172</v>
      </c>
      <c r="F105" s="67">
        <f>850+50</f>
        <v>900</v>
      </c>
      <c r="G105" s="604">
        <v>1978.39</v>
      </c>
      <c r="H105" s="67">
        <f>SUM(F105:G105)</f>
        <v>2878.3900000000003</v>
      </c>
      <c r="I105" s="67"/>
      <c r="J105" s="33">
        <f>I105/$H105*100</f>
        <v>0</v>
      </c>
      <c r="K105" s="67">
        <v>853</v>
      </c>
      <c r="L105" s="33">
        <f>K105/$H105*100</f>
        <v>29.634622132511574</v>
      </c>
      <c r="M105" s="67">
        <v>857.59299999999996</v>
      </c>
      <c r="N105" s="320">
        <f>M105/$H105*100</f>
        <v>29.794190502329421</v>
      </c>
      <c r="O105" s="424">
        <v>3081.1030000000001</v>
      </c>
      <c r="P105" s="33">
        <f>O105/$H105*100</f>
        <v>107.04258283276414</v>
      </c>
      <c r="Q105" s="471">
        <f>O105-H105</f>
        <v>202.71299999999974</v>
      </c>
      <c r="R105" s="109"/>
      <c r="S105" s="479">
        <v>100</v>
      </c>
      <c r="T105" s="33">
        <f t="shared" si="29"/>
        <v>11.111111111111111</v>
      </c>
      <c r="U105" s="352">
        <v>0</v>
      </c>
    </row>
    <row r="106" spans="1:21" x14ac:dyDescent="0.2">
      <c r="A106" s="107"/>
      <c r="B106" s="28">
        <v>3112</v>
      </c>
      <c r="C106" s="107">
        <v>3612</v>
      </c>
      <c r="D106" s="28">
        <v>45</v>
      </c>
      <c r="E106" s="28" t="s">
        <v>173</v>
      </c>
      <c r="F106" s="67">
        <f>6815+5000-6815</f>
        <v>5000</v>
      </c>
      <c r="G106" s="603"/>
      <c r="H106" s="67">
        <f>SUM(F106:G106)</f>
        <v>5000</v>
      </c>
      <c r="I106" s="67">
        <v>2384.5</v>
      </c>
      <c r="J106" s="33">
        <f>I106/$H106*100</f>
        <v>47.69</v>
      </c>
      <c r="K106" s="67">
        <v>3652</v>
      </c>
      <c r="L106" s="33">
        <f>K106/$H106*100</f>
        <v>73.040000000000006</v>
      </c>
      <c r="M106" s="67">
        <v>3652</v>
      </c>
      <c r="N106" s="320">
        <f>M106/$H106*100</f>
        <v>73.040000000000006</v>
      </c>
      <c r="O106" s="424">
        <v>11480.75</v>
      </c>
      <c r="P106" s="33">
        <f>O106/$H106*100</f>
        <v>229.61499999999998</v>
      </c>
      <c r="Q106" s="471">
        <f>O106-H106</f>
        <v>6480.75</v>
      </c>
      <c r="R106" s="109"/>
      <c r="S106" s="479">
        <f>1500+2080+2080</f>
        <v>5660</v>
      </c>
      <c r="T106" s="33">
        <f t="shared" si="29"/>
        <v>113.19999999999999</v>
      </c>
    </row>
    <row r="107" spans="1:21" ht="13.5" thickBot="1" x14ac:dyDescent="0.25">
      <c r="A107" s="107"/>
      <c r="B107" s="28">
        <v>3112</v>
      </c>
      <c r="C107" s="107">
        <v>3612</v>
      </c>
      <c r="D107" s="28">
        <v>245</v>
      </c>
      <c r="E107" s="28" t="s">
        <v>174</v>
      </c>
      <c r="F107" s="67">
        <v>49</v>
      </c>
      <c r="G107" s="604"/>
      <c r="H107" s="67">
        <f>SUM(F107:G107)</f>
        <v>49</v>
      </c>
      <c r="I107" s="67">
        <v>16.734999999999999</v>
      </c>
      <c r="J107" s="33">
        <f>I107/$H107*100</f>
        <v>34.153061224489797</v>
      </c>
      <c r="K107" s="67">
        <v>33.722000000000001</v>
      </c>
      <c r="L107" s="33">
        <f>K107/$H107*100</f>
        <v>68.820408163265313</v>
      </c>
      <c r="M107" s="67">
        <v>49.889000000000003</v>
      </c>
      <c r="N107" s="33">
        <f>M107/$H107*100</f>
        <v>101.81428571428572</v>
      </c>
      <c r="O107" s="424">
        <v>49.889000000000003</v>
      </c>
      <c r="P107" s="33">
        <f>O107/$H107*100</f>
        <v>101.81428571428572</v>
      </c>
      <c r="Q107" s="471">
        <f>O107-H107</f>
        <v>0.8890000000000029</v>
      </c>
      <c r="R107" s="109" t="s">
        <v>375</v>
      </c>
      <c r="S107" s="479">
        <v>0</v>
      </c>
      <c r="T107" s="33">
        <f t="shared" si="29"/>
        <v>0</v>
      </c>
    </row>
    <row r="108" spans="1:21" ht="15.75" customHeight="1" thickBot="1" x14ac:dyDescent="0.3">
      <c r="A108" s="112" t="s">
        <v>48</v>
      </c>
      <c r="B108" s="115"/>
      <c r="C108" s="116"/>
      <c r="D108" s="115"/>
      <c r="E108" s="115"/>
      <c r="F108" s="69">
        <f>SUM(F104:F107)</f>
        <v>5949</v>
      </c>
      <c r="G108" s="608">
        <f>SUM(G104:G107)</f>
        <v>14316.153999999999</v>
      </c>
      <c r="H108" s="69">
        <f>SUM(H104:H107)</f>
        <v>20265.153999999999</v>
      </c>
      <c r="I108" s="69">
        <f>SUM(I105:I107)</f>
        <v>2401.2350000000001</v>
      </c>
      <c r="J108" s="35">
        <f>I108/$H108*100</f>
        <v>11.849083406916129</v>
      </c>
      <c r="K108" s="69">
        <f>SUM(K104:K107)</f>
        <v>4538.7219999999998</v>
      </c>
      <c r="L108" s="35">
        <f>K108/$H108*100</f>
        <v>22.396681515472324</v>
      </c>
      <c r="M108" s="69">
        <f>SUM(M104:M107)</f>
        <v>4559.482</v>
      </c>
      <c r="N108" s="35">
        <f>M108/$H108*100</f>
        <v>22.499123372070105</v>
      </c>
      <c r="O108" s="69">
        <f>SUM(O104:O107)</f>
        <v>26949.505999999998</v>
      </c>
      <c r="P108" s="35">
        <f>O108/$H108*100</f>
        <v>132.98446189947532</v>
      </c>
      <c r="Q108" s="69">
        <f>SUM(Q104:Q107)</f>
        <v>6684.3519999999999</v>
      </c>
      <c r="R108" s="335"/>
      <c r="S108" s="434">
        <f>SUM(S104:S107)</f>
        <v>18097</v>
      </c>
      <c r="T108" s="35">
        <f t="shared" si="29"/>
        <v>304.20238695579087</v>
      </c>
      <c r="U108" s="287">
        <f>SUM(U41:U107)+60</f>
        <v>750</v>
      </c>
    </row>
    <row r="109" spans="1:21" x14ac:dyDescent="0.2">
      <c r="A109" s="108" t="s">
        <v>49</v>
      </c>
      <c r="B109" s="76"/>
      <c r="C109" s="117"/>
      <c r="D109" s="76"/>
      <c r="E109" s="108" t="s">
        <v>50</v>
      </c>
      <c r="F109" s="70"/>
      <c r="G109" s="70"/>
      <c r="H109" s="74"/>
      <c r="I109" s="70"/>
      <c r="J109" s="36"/>
      <c r="K109" s="70"/>
      <c r="L109" s="36"/>
      <c r="M109" s="70"/>
      <c r="N109" s="36"/>
      <c r="O109" s="70"/>
      <c r="P109" s="36"/>
      <c r="Q109" s="476"/>
      <c r="R109" s="192"/>
      <c r="S109" s="435"/>
      <c r="T109" s="36"/>
    </row>
    <row r="110" spans="1:21" x14ac:dyDescent="0.2">
      <c r="A110" s="94" t="s">
        <v>51</v>
      </c>
      <c r="B110" s="31"/>
      <c r="C110" s="94" t="s">
        <v>288</v>
      </c>
      <c r="D110" s="31" t="s">
        <v>138</v>
      </c>
      <c r="E110" s="31"/>
      <c r="F110" s="68">
        <f>SUM(F111:F147)</f>
        <v>36767</v>
      </c>
      <c r="G110" s="602">
        <f>SUM(G111:G147)</f>
        <v>16500.045980000003</v>
      </c>
      <c r="H110" s="68">
        <f>SUM(H111:H147)</f>
        <v>53267.045979999995</v>
      </c>
      <c r="I110" s="68">
        <f>SUM(I111:I147)</f>
        <v>12609.05473</v>
      </c>
      <c r="J110" s="30">
        <f>I110/$H110*100</f>
        <v>23.671398512946034</v>
      </c>
      <c r="K110" s="68">
        <f>SUM(K111:K147)</f>
        <v>31204.478220000001</v>
      </c>
      <c r="L110" s="30">
        <f>K110/$H110*100</f>
        <v>58.581206533803744</v>
      </c>
      <c r="M110" s="68">
        <f>SUM(M111:M147)</f>
        <v>45966.667219999996</v>
      </c>
      <c r="N110" s="30">
        <f>M110/$H110*100</f>
        <v>86.294755743089169</v>
      </c>
      <c r="O110" s="68">
        <f>SUM(O111:O147)</f>
        <v>53396.49136</v>
      </c>
      <c r="P110" s="30">
        <f t="shared" ref="P110:P146" si="34">O110/$H110*100</f>
        <v>100.2430121243228</v>
      </c>
      <c r="Q110" s="470">
        <f>SUM(Q111:Q147)</f>
        <v>129.44538000000011</v>
      </c>
      <c r="R110" s="193"/>
      <c r="S110" s="432">
        <f>SUM(S111:S147)</f>
        <v>33800</v>
      </c>
      <c r="T110" s="30">
        <f t="shared" si="29"/>
        <v>91.930263551554376</v>
      </c>
    </row>
    <row r="111" spans="1:21" x14ac:dyDescent="0.2">
      <c r="A111" s="107"/>
      <c r="B111" s="28">
        <v>4112</v>
      </c>
      <c r="C111" s="28"/>
      <c r="D111" s="28"/>
      <c r="E111" s="28" t="s">
        <v>175</v>
      </c>
      <c r="F111" s="33">
        <v>22602.799999999999</v>
      </c>
      <c r="G111" s="604"/>
      <c r="H111" s="67">
        <f t="shared" ref="H111:H147" si="35">SUM(F111:G111)</f>
        <v>22602.799999999999</v>
      </c>
      <c r="I111" s="67">
        <v>5650.701</v>
      </c>
      <c r="J111" s="33">
        <f>I111/$H111*100</f>
        <v>25.000004424230625</v>
      </c>
      <c r="K111" s="67">
        <v>11301.402</v>
      </c>
      <c r="L111" s="33">
        <f>K111/$H111*100</f>
        <v>50.000008848461249</v>
      </c>
      <c r="M111" s="67">
        <v>16952.102999999999</v>
      </c>
      <c r="N111" s="33">
        <f>M111/$H111*100</f>
        <v>75.000013272691874</v>
      </c>
      <c r="O111" s="424">
        <v>22602.799999999999</v>
      </c>
      <c r="P111" s="33">
        <f t="shared" si="34"/>
        <v>100</v>
      </c>
      <c r="Q111" s="471">
        <f t="shared" ref="Q111:Q147" si="36">O111-H111</f>
        <v>0</v>
      </c>
      <c r="R111" s="122"/>
      <c r="S111" s="479">
        <v>23162.400000000001</v>
      </c>
      <c r="T111" s="370">
        <f>S111/(H111+H112)</f>
        <v>0.98900034722441654</v>
      </c>
      <c r="U111" s="65"/>
    </row>
    <row r="112" spans="1:21" s="349" customFormat="1" x14ac:dyDescent="0.2">
      <c r="A112" s="107"/>
      <c r="B112" s="28">
        <v>4111</v>
      </c>
      <c r="C112" s="28"/>
      <c r="D112" s="28">
        <v>98116</v>
      </c>
      <c r="E112" s="170" t="s">
        <v>417</v>
      </c>
      <c r="F112" s="33"/>
      <c r="G112" s="604">
        <f>817.212</f>
        <v>817.21199999999999</v>
      </c>
      <c r="H112" s="67">
        <f t="shared" si="35"/>
        <v>817.21199999999999</v>
      </c>
      <c r="I112" s="67">
        <v>817.21199999999999</v>
      </c>
      <c r="J112" s="33">
        <f t="shared" ref="J112:J146" si="37">I112/$H112*100</f>
        <v>100</v>
      </c>
      <c r="K112" s="67">
        <v>817.21199999999999</v>
      </c>
      <c r="L112" s="33">
        <f t="shared" ref="L112:L146" si="38">K112/$H112*100</f>
        <v>100</v>
      </c>
      <c r="M112" s="67">
        <v>817.21199999999999</v>
      </c>
      <c r="N112" s="33">
        <f t="shared" ref="N112:N146" si="39">M112/$H112*100</f>
        <v>100</v>
      </c>
      <c r="O112" s="424">
        <v>817.21199999999999</v>
      </c>
      <c r="P112" s="33">
        <f t="shared" si="34"/>
        <v>100</v>
      </c>
      <c r="Q112" s="471">
        <f t="shared" si="36"/>
        <v>0</v>
      </c>
      <c r="R112" s="122"/>
      <c r="S112" s="479"/>
      <c r="T112" s="33"/>
      <c r="U112" s="65"/>
    </row>
    <row r="113" spans="1:21" s="349" customFormat="1" x14ac:dyDescent="0.2">
      <c r="A113" s="107"/>
      <c r="B113" s="28">
        <v>4111</v>
      </c>
      <c r="C113" s="28"/>
      <c r="D113" s="28"/>
      <c r="E113" s="170" t="s">
        <v>422</v>
      </c>
      <c r="F113" s="33"/>
      <c r="G113" s="604">
        <f>248.07929+969.5999+53.44349</f>
        <v>1271.1226799999999</v>
      </c>
      <c r="H113" s="67">
        <f t="shared" si="35"/>
        <v>1271.1226799999999</v>
      </c>
      <c r="I113" s="67"/>
      <c r="J113" s="33"/>
      <c r="K113" s="67">
        <v>248.07928999999999</v>
      </c>
      <c r="L113" s="33">
        <f t="shared" si="38"/>
        <v>19.516549732241423</v>
      </c>
      <c r="M113" s="67">
        <v>1217.6791900000001</v>
      </c>
      <c r="N113" s="33">
        <f t="shared" si="39"/>
        <v>95.795567899079586</v>
      </c>
      <c r="O113" s="424">
        <v>1271.1226799999999</v>
      </c>
      <c r="P113" s="33">
        <f t="shared" si="34"/>
        <v>100</v>
      </c>
      <c r="Q113" s="471">
        <f t="shared" si="36"/>
        <v>0</v>
      </c>
      <c r="R113" s="122"/>
      <c r="S113" s="479">
        <v>0</v>
      </c>
      <c r="T113" s="33"/>
      <c r="U113" s="65"/>
    </row>
    <row r="114" spans="1:21" s="349" customFormat="1" x14ac:dyDescent="0.2">
      <c r="A114" s="107"/>
      <c r="B114" s="28">
        <v>4111</v>
      </c>
      <c r="C114" s="28">
        <v>110</v>
      </c>
      <c r="D114" s="28"/>
      <c r="E114" s="170" t="s">
        <v>442</v>
      </c>
      <c r="F114" s="33"/>
      <c r="G114" s="604">
        <v>175</v>
      </c>
      <c r="H114" s="67">
        <f t="shared" si="35"/>
        <v>175</v>
      </c>
      <c r="I114" s="67"/>
      <c r="J114" s="33"/>
      <c r="K114" s="67"/>
      <c r="L114" s="33"/>
      <c r="M114" s="67">
        <v>175</v>
      </c>
      <c r="N114" s="33">
        <f t="shared" si="39"/>
        <v>100</v>
      </c>
      <c r="O114" s="424">
        <v>175</v>
      </c>
      <c r="P114" s="33">
        <f t="shared" si="34"/>
        <v>100</v>
      </c>
      <c r="Q114" s="471">
        <f t="shared" si="36"/>
        <v>0</v>
      </c>
      <c r="R114" s="122"/>
      <c r="S114" s="479">
        <v>0</v>
      </c>
      <c r="T114" s="33"/>
      <c r="U114" s="65"/>
    </row>
    <row r="115" spans="1:21" s="349" customFormat="1" x14ac:dyDescent="0.2">
      <c r="A115" s="107"/>
      <c r="B115" s="28">
        <v>4116</v>
      </c>
      <c r="C115" s="28">
        <v>109</v>
      </c>
      <c r="D115" s="28"/>
      <c r="E115" s="170" t="s">
        <v>448</v>
      </c>
      <c r="F115" s="33"/>
      <c r="G115" s="604">
        <f>403.03+537.372</f>
        <v>940.40199999999993</v>
      </c>
      <c r="H115" s="67">
        <f t="shared" si="35"/>
        <v>940.40199999999993</v>
      </c>
      <c r="I115" s="67"/>
      <c r="J115" s="33"/>
      <c r="K115" s="67"/>
      <c r="L115" s="33"/>
      <c r="M115" s="67">
        <v>403.03</v>
      </c>
      <c r="N115" s="33">
        <f t="shared" si="39"/>
        <v>42.857203621429981</v>
      </c>
      <c r="O115" s="424">
        <v>940.40200000000004</v>
      </c>
      <c r="P115" s="33">
        <f t="shared" si="34"/>
        <v>100.00000000000003</v>
      </c>
      <c r="Q115" s="471">
        <f t="shared" si="36"/>
        <v>0</v>
      </c>
      <c r="R115" s="122"/>
      <c r="S115" s="479">
        <v>0</v>
      </c>
      <c r="T115" s="33"/>
      <c r="U115" s="65"/>
    </row>
    <row r="116" spans="1:21" x14ac:dyDescent="0.2">
      <c r="A116" s="107"/>
      <c r="B116" s="28">
        <v>4116</v>
      </c>
      <c r="C116" s="28">
        <v>314</v>
      </c>
      <c r="D116" s="201" t="s">
        <v>269</v>
      </c>
      <c r="E116" s="293" t="s">
        <v>297</v>
      </c>
      <c r="F116" s="67">
        <v>3500</v>
      </c>
      <c r="G116" s="604">
        <f>296.8-270</f>
        <v>26.800000000000011</v>
      </c>
      <c r="H116" s="67">
        <f t="shared" si="35"/>
        <v>3526.8</v>
      </c>
      <c r="I116" s="67"/>
      <c r="J116" s="33">
        <f t="shared" si="37"/>
        <v>0</v>
      </c>
      <c r="K116" s="67">
        <f>1906.5</f>
        <v>1906.5</v>
      </c>
      <c r="L116" s="33">
        <f t="shared" si="38"/>
        <v>54.05750255188839</v>
      </c>
      <c r="M116" s="67">
        <v>3796.8</v>
      </c>
      <c r="N116" s="33">
        <f t="shared" si="39"/>
        <v>107.65566519224225</v>
      </c>
      <c r="O116" s="424">
        <v>3526.8</v>
      </c>
      <c r="P116" s="33">
        <f t="shared" si="34"/>
        <v>100</v>
      </c>
      <c r="Q116" s="471">
        <f t="shared" si="36"/>
        <v>0</v>
      </c>
      <c r="R116" s="361"/>
      <c r="S116" s="479">
        <v>3800</v>
      </c>
      <c r="T116" s="33">
        <f t="shared" si="29"/>
        <v>108.57142857142857</v>
      </c>
      <c r="U116" s="20"/>
    </row>
    <row r="117" spans="1:21" x14ac:dyDescent="0.2">
      <c r="A117" s="107"/>
      <c r="B117" s="28">
        <v>4116</v>
      </c>
      <c r="C117" s="28">
        <v>314</v>
      </c>
      <c r="D117" s="201" t="s">
        <v>314</v>
      </c>
      <c r="E117" s="293" t="s">
        <v>278</v>
      </c>
      <c r="F117" s="67">
        <v>400</v>
      </c>
      <c r="G117" s="603">
        <v>203.131</v>
      </c>
      <c r="H117" s="67">
        <f t="shared" si="35"/>
        <v>603.13099999999997</v>
      </c>
      <c r="I117" s="67"/>
      <c r="J117" s="33">
        <f t="shared" si="37"/>
        <v>0</v>
      </c>
      <c r="K117" s="67">
        <v>603.13099999999997</v>
      </c>
      <c r="L117" s="33">
        <f t="shared" si="38"/>
        <v>100</v>
      </c>
      <c r="M117" s="67">
        <v>603.13099999999997</v>
      </c>
      <c r="N117" s="33">
        <f t="shared" si="39"/>
        <v>100</v>
      </c>
      <c r="O117" s="424">
        <v>603.13099999999997</v>
      </c>
      <c r="P117" s="33">
        <f t="shared" si="34"/>
        <v>100</v>
      </c>
      <c r="Q117" s="471">
        <f t="shared" si="36"/>
        <v>0</v>
      </c>
      <c r="R117" s="122"/>
      <c r="S117" s="479">
        <v>603</v>
      </c>
      <c r="T117" s="33">
        <f t="shared" si="29"/>
        <v>150.75</v>
      </c>
      <c r="U117" s="349"/>
    </row>
    <row r="118" spans="1:21" s="349" customFormat="1" x14ac:dyDescent="0.2">
      <c r="A118" s="107"/>
      <c r="B118" s="28">
        <v>4116</v>
      </c>
      <c r="C118" s="28">
        <v>314</v>
      </c>
      <c r="D118" s="201"/>
      <c r="E118" s="293" t="s">
        <v>428</v>
      </c>
      <c r="F118" s="67"/>
      <c r="G118" s="603">
        <v>30.741</v>
      </c>
      <c r="H118" s="67">
        <f t="shared" si="35"/>
        <v>30.741</v>
      </c>
      <c r="I118" s="67"/>
      <c r="J118" s="33"/>
      <c r="K118" s="67">
        <v>30.741</v>
      </c>
      <c r="L118" s="33">
        <f t="shared" si="38"/>
        <v>100</v>
      </c>
      <c r="M118" s="67">
        <v>30.741</v>
      </c>
      <c r="N118" s="33">
        <f t="shared" si="39"/>
        <v>100</v>
      </c>
      <c r="O118" s="424">
        <v>30.741</v>
      </c>
      <c r="P118" s="33">
        <f t="shared" si="34"/>
        <v>100</v>
      </c>
      <c r="Q118" s="471">
        <f t="shared" si="36"/>
        <v>0</v>
      </c>
      <c r="R118" s="122"/>
      <c r="S118" s="479"/>
      <c r="T118" s="33"/>
    </row>
    <row r="119" spans="1:21" x14ac:dyDescent="0.2">
      <c r="A119" s="107"/>
      <c r="B119" s="28">
        <v>4116</v>
      </c>
      <c r="C119" s="28">
        <v>15479</v>
      </c>
      <c r="D119" s="28"/>
      <c r="E119" s="170" t="s">
        <v>335</v>
      </c>
      <c r="F119" s="67">
        <v>340</v>
      </c>
      <c r="G119" s="603"/>
      <c r="H119" s="67">
        <f t="shared" si="35"/>
        <v>340</v>
      </c>
      <c r="I119" s="67"/>
      <c r="J119" s="33">
        <f t="shared" si="37"/>
        <v>0</v>
      </c>
      <c r="K119" s="67">
        <v>171.42275000000001</v>
      </c>
      <c r="L119" s="33">
        <f t="shared" si="38"/>
        <v>50.418455882352944</v>
      </c>
      <c r="M119" s="67">
        <v>171.42275000000001</v>
      </c>
      <c r="N119" s="33">
        <f t="shared" si="39"/>
        <v>50.418455882352944</v>
      </c>
      <c r="O119" s="424">
        <v>316.61599999999999</v>
      </c>
      <c r="P119" s="33">
        <f t="shared" si="34"/>
        <v>93.122352941176473</v>
      </c>
      <c r="Q119" s="471">
        <f t="shared" si="36"/>
        <v>-23.384000000000015</v>
      </c>
      <c r="R119" s="122"/>
      <c r="S119" s="479">
        <v>294</v>
      </c>
      <c r="T119" s="33">
        <f t="shared" si="29"/>
        <v>86.470588235294116</v>
      </c>
    </row>
    <row r="120" spans="1:21" x14ac:dyDescent="0.2">
      <c r="A120" s="107"/>
      <c r="B120" s="28">
        <v>4116</v>
      </c>
      <c r="C120" s="28">
        <v>103.102</v>
      </c>
      <c r="D120" s="28"/>
      <c r="E120" s="170" t="s">
        <v>298</v>
      </c>
      <c r="F120" s="67">
        <v>800</v>
      </c>
      <c r="G120" s="603">
        <f>555-225</f>
        <v>330</v>
      </c>
      <c r="H120" s="67">
        <f t="shared" si="35"/>
        <v>1130</v>
      </c>
      <c r="I120" s="67"/>
      <c r="J120" s="33">
        <f t="shared" si="37"/>
        <v>0</v>
      </c>
      <c r="K120" s="67">
        <v>0</v>
      </c>
      <c r="L120" s="33">
        <f t="shared" si="38"/>
        <v>0</v>
      </c>
      <c r="M120" s="67">
        <v>1355</v>
      </c>
      <c r="N120" s="33">
        <f t="shared" si="39"/>
        <v>119.91150442477876</v>
      </c>
      <c r="O120" s="424">
        <v>1130</v>
      </c>
      <c r="P120" s="33">
        <f t="shared" si="34"/>
        <v>100</v>
      </c>
      <c r="Q120" s="471">
        <f t="shared" si="36"/>
        <v>0</v>
      </c>
      <c r="R120" s="122"/>
      <c r="S120" s="479">
        <v>900</v>
      </c>
      <c r="T120" s="33">
        <f t="shared" si="29"/>
        <v>112.5</v>
      </c>
      <c r="U120" s="349"/>
    </row>
    <row r="121" spans="1:21" s="349" customFormat="1" x14ac:dyDescent="0.2">
      <c r="A121" s="107"/>
      <c r="B121" s="28">
        <v>4116</v>
      </c>
      <c r="C121" s="28">
        <v>201</v>
      </c>
      <c r="D121" s="28"/>
      <c r="E121" s="170" t="s">
        <v>431</v>
      </c>
      <c r="F121" s="67"/>
      <c r="G121" s="603">
        <f>37.02+14.42+180.681+122.923+29.424</f>
        <v>384.46799999999996</v>
      </c>
      <c r="H121" s="67">
        <f t="shared" si="35"/>
        <v>384.46799999999996</v>
      </c>
      <c r="I121" s="67"/>
      <c r="J121" s="33"/>
      <c r="K121" s="67">
        <v>37.020000000000003</v>
      </c>
      <c r="L121" s="33">
        <f t="shared" si="38"/>
        <v>9.6288897905677473</v>
      </c>
      <c r="M121" s="67">
        <v>37.020000000000003</v>
      </c>
      <c r="N121" s="33">
        <f t="shared" si="39"/>
        <v>9.6288897905677473</v>
      </c>
      <c r="O121" s="424">
        <f>137.343+66.444+180.681</f>
        <v>384.46799999999996</v>
      </c>
      <c r="P121" s="33">
        <f t="shared" si="34"/>
        <v>100</v>
      </c>
      <c r="Q121" s="471">
        <f t="shared" si="36"/>
        <v>0</v>
      </c>
      <c r="R121" s="122"/>
      <c r="S121" s="479"/>
      <c r="T121" s="33"/>
    </row>
    <row r="122" spans="1:21" s="349" customFormat="1" x14ac:dyDescent="0.2">
      <c r="A122" s="107"/>
      <c r="B122" s="28">
        <v>4116</v>
      </c>
      <c r="C122" s="28">
        <v>227</v>
      </c>
      <c r="D122" s="28"/>
      <c r="E122" s="170" t="s">
        <v>424</v>
      </c>
      <c r="F122" s="67"/>
      <c r="G122" s="603">
        <f>729.21+47.221</f>
        <v>776.43100000000004</v>
      </c>
      <c r="H122" s="67">
        <f t="shared" si="35"/>
        <v>776.43100000000004</v>
      </c>
      <c r="I122" s="67"/>
      <c r="J122" s="33"/>
      <c r="K122" s="67">
        <v>729.21</v>
      </c>
      <c r="L122" s="33">
        <f t="shared" si="38"/>
        <v>93.91819749597839</v>
      </c>
      <c r="M122" s="67">
        <v>776.43100000000004</v>
      </c>
      <c r="N122" s="33">
        <f t="shared" si="39"/>
        <v>100</v>
      </c>
      <c r="O122" s="424">
        <v>776.43100000000004</v>
      </c>
      <c r="P122" s="33">
        <f t="shared" si="34"/>
        <v>100</v>
      </c>
      <c r="Q122" s="471">
        <f t="shared" si="36"/>
        <v>0</v>
      </c>
      <c r="R122" s="122"/>
      <c r="S122" s="479"/>
      <c r="T122" s="33"/>
    </row>
    <row r="123" spans="1:21" s="349" customFormat="1" x14ac:dyDescent="0.2">
      <c r="A123" s="107"/>
      <c r="B123" s="28">
        <v>4116</v>
      </c>
      <c r="C123" s="28">
        <v>250</v>
      </c>
      <c r="D123" s="28"/>
      <c r="E123" s="170" t="s">
        <v>377</v>
      </c>
      <c r="F123" s="67">
        <v>609</v>
      </c>
      <c r="G123" s="604">
        <v>-151</v>
      </c>
      <c r="H123" s="67">
        <f t="shared" si="35"/>
        <v>458</v>
      </c>
      <c r="I123" s="67"/>
      <c r="J123" s="33">
        <f t="shared" si="37"/>
        <v>0</v>
      </c>
      <c r="K123" s="67">
        <v>0</v>
      </c>
      <c r="L123" s="33">
        <f t="shared" si="38"/>
        <v>0</v>
      </c>
      <c r="M123" s="67">
        <v>0</v>
      </c>
      <c r="N123" s="33">
        <f t="shared" si="39"/>
        <v>0</v>
      </c>
      <c r="O123" s="424">
        <f>457.57965</f>
        <v>457.57965000000002</v>
      </c>
      <c r="P123" s="33">
        <f t="shared" si="34"/>
        <v>99.908220524017466</v>
      </c>
      <c r="Q123" s="471">
        <f t="shared" si="36"/>
        <v>-0.4203499999999849</v>
      </c>
      <c r="R123" s="122"/>
      <c r="S123" s="479"/>
      <c r="T123" s="33"/>
    </row>
    <row r="124" spans="1:21" s="349" customFormat="1" x14ac:dyDescent="0.2">
      <c r="A124" s="107"/>
      <c r="B124" s="28">
        <v>4116</v>
      </c>
      <c r="C124" s="28">
        <v>280</v>
      </c>
      <c r="D124" s="28"/>
      <c r="E124" s="170" t="s">
        <v>365</v>
      </c>
      <c r="F124" s="67"/>
      <c r="G124" s="604">
        <v>30.855</v>
      </c>
      <c r="H124" s="67">
        <f t="shared" si="35"/>
        <v>30.855</v>
      </c>
      <c r="I124" s="67"/>
      <c r="J124" s="33"/>
      <c r="K124" s="67"/>
      <c r="L124" s="33"/>
      <c r="M124" s="67"/>
      <c r="N124" s="33"/>
      <c r="O124" s="424">
        <v>30.855</v>
      </c>
      <c r="P124" s="33">
        <f t="shared" si="34"/>
        <v>100</v>
      </c>
      <c r="Q124" s="471">
        <f t="shared" si="36"/>
        <v>0</v>
      </c>
      <c r="R124" s="122"/>
      <c r="S124" s="479"/>
      <c r="T124" s="33"/>
    </row>
    <row r="125" spans="1:21" s="349" customFormat="1" x14ac:dyDescent="0.2">
      <c r="A125" s="107"/>
      <c r="B125" s="28">
        <v>4116</v>
      </c>
      <c r="C125" s="28">
        <v>4169</v>
      </c>
      <c r="D125" s="28"/>
      <c r="E125" s="170" t="s">
        <v>383</v>
      </c>
      <c r="F125" s="67">
        <v>2735</v>
      </c>
      <c r="G125" s="604"/>
      <c r="H125" s="67">
        <f t="shared" si="35"/>
        <v>2735</v>
      </c>
      <c r="I125" s="67">
        <v>2735.0497300000002</v>
      </c>
      <c r="J125" s="33">
        <f t="shared" si="37"/>
        <v>100.00181828153565</v>
      </c>
      <c r="K125" s="67">
        <v>2735.0497300000002</v>
      </c>
      <c r="L125" s="33">
        <f t="shared" si="38"/>
        <v>100.00181828153565</v>
      </c>
      <c r="M125" s="67">
        <v>2735.0497300000002</v>
      </c>
      <c r="N125" s="33">
        <f t="shared" si="39"/>
        <v>100.00181828153565</v>
      </c>
      <c r="O125" s="424">
        <v>2735.0497300000002</v>
      </c>
      <c r="P125" s="33">
        <f t="shared" si="34"/>
        <v>100.00181828153565</v>
      </c>
      <c r="Q125" s="471">
        <f t="shared" si="36"/>
        <v>4.9730000000181462E-2</v>
      </c>
      <c r="R125" s="122"/>
      <c r="S125" s="479"/>
      <c r="T125" s="33"/>
    </row>
    <row r="126" spans="1:21" s="349" customFormat="1" x14ac:dyDescent="0.2">
      <c r="A126" s="107"/>
      <c r="B126" s="28">
        <v>4116</v>
      </c>
      <c r="C126" s="28">
        <v>301</v>
      </c>
      <c r="D126" s="28">
        <v>301</v>
      </c>
      <c r="E126" s="170" t="s">
        <v>433</v>
      </c>
      <c r="F126" s="67"/>
      <c r="G126" s="604">
        <v>14.08</v>
      </c>
      <c r="H126" s="67">
        <f t="shared" si="35"/>
        <v>14.08</v>
      </c>
      <c r="I126" s="67"/>
      <c r="J126" s="33"/>
      <c r="K126" s="67">
        <v>14.08</v>
      </c>
      <c r="L126" s="33">
        <f t="shared" si="38"/>
        <v>100</v>
      </c>
      <c r="M126" s="67">
        <v>14.08</v>
      </c>
      <c r="N126" s="33">
        <f t="shared" si="39"/>
        <v>100</v>
      </c>
      <c r="O126" s="424">
        <v>14.08</v>
      </c>
      <c r="P126" s="33">
        <f t="shared" si="34"/>
        <v>100</v>
      </c>
      <c r="Q126" s="471">
        <f t="shared" si="36"/>
        <v>0</v>
      </c>
      <c r="R126" s="122"/>
      <c r="S126" s="479"/>
      <c r="T126" s="33"/>
    </row>
    <row r="127" spans="1:21" s="349" customFormat="1" x14ac:dyDescent="0.2">
      <c r="A127" s="107"/>
      <c r="B127" s="28">
        <v>4116</v>
      </c>
      <c r="C127" s="28">
        <v>303</v>
      </c>
      <c r="D127" s="28"/>
      <c r="E127" s="170" t="s">
        <v>429</v>
      </c>
      <c r="F127" s="67"/>
      <c r="G127" s="604">
        <v>723.18899999999996</v>
      </c>
      <c r="H127" s="67">
        <f t="shared" si="35"/>
        <v>723.18899999999996</v>
      </c>
      <c r="I127" s="67"/>
      <c r="J127" s="33"/>
      <c r="K127" s="67">
        <v>723.18899999999996</v>
      </c>
      <c r="L127" s="33">
        <f t="shared" si="38"/>
        <v>100</v>
      </c>
      <c r="M127" s="67">
        <v>723.18899999999996</v>
      </c>
      <c r="N127" s="33">
        <f t="shared" si="39"/>
        <v>100</v>
      </c>
      <c r="O127" s="424">
        <v>723.18899999999996</v>
      </c>
      <c r="P127" s="33">
        <f t="shared" si="34"/>
        <v>100</v>
      </c>
      <c r="Q127" s="471">
        <f t="shared" si="36"/>
        <v>0</v>
      </c>
      <c r="R127" s="122"/>
      <c r="S127" s="479"/>
      <c r="T127" s="33"/>
    </row>
    <row r="128" spans="1:21" s="349" customFormat="1" x14ac:dyDescent="0.2">
      <c r="A128" s="107"/>
      <c r="B128" s="28">
        <v>4116</v>
      </c>
      <c r="C128" s="28">
        <v>304</v>
      </c>
      <c r="D128" s="28"/>
      <c r="E128" s="170" t="s">
        <v>438</v>
      </c>
      <c r="F128" s="67"/>
      <c r="G128" s="604">
        <v>688.79700000000003</v>
      </c>
      <c r="H128" s="67">
        <f t="shared" si="35"/>
        <v>688.79700000000003</v>
      </c>
      <c r="I128" s="67"/>
      <c r="J128" s="33"/>
      <c r="K128" s="67"/>
      <c r="L128" s="33">
        <f t="shared" si="38"/>
        <v>0</v>
      </c>
      <c r="M128" s="67">
        <v>688.79700000000003</v>
      </c>
      <c r="N128" s="33">
        <f t="shared" si="39"/>
        <v>100</v>
      </c>
      <c r="O128" s="424">
        <v>688.79700000000003</v>
      </c>
      <c r="P128" s="33">
        <f t="shared" si="34"/>
        <v>100</v>
      </c>
      <c r="Q128" s="471">
        <f t="shared" si="36"/>
        <v>0</v>
      </c>
      <c r="R128" s="122"/>
      <c r="S128" s="479"/>
      <c r="T128" s="33"/>
    </row>
    <row r="129" spans="1:20" s="349" customFormat="1" x14ac:dyDescent="0.2">
      <c r="A129" s="107"/>
      <c r="B129" s="28">
        <v>4116</v>
      </c>
      <c r="C129" s="28">
        <v>307</v>
      </c>
      <c r="D129" s="28"/>
      <c r="E129" s="170" t="s">
        <v>434</v>
      </c>
      <c r="F129" s="67"/>
      <c r="G129" s="604">
        <f>1081.372+170</f>
        <v>1251.3720000000001</v>
      </c>
      <c r="H129" s="67">
        <f t="shared" si="35"/>
        <v>1251.3720000000001</v>
      </c>
      <c r="I129" s="67"/>
      <c r="J129" s="33"/>
      <c r="K129" s="67">
        <v>1081.3720000000001</v>
      </c>
      <c r="L129" s="33">
        <f t="shared" si="38"/>
        <v>86.414910993693326</v>
      </c>
      <c r="M129" s="67">
        <v>1251.3720000000001</v>
      </c>
      <c r="N129" s="33">
        <f t="shared" si="39"/>
        <v>100</v>
      </c>
      <c r="O129" s="424">
        <v>1251.3720000000001</v>
      </c>
      <c r="P129" s="33">
        <f t="shared" si="34"/>
        <v>100</v>
      </c>
      <c r="Q129" s="471">
        <f t="shared" si="36"/>
        <v>0</v>
      </c>
      <c r="R129" s="122"/>
      <c r="S129" s="479"/>
      <c r="T129" s="33"/>
    </row>
    <row r="130" spans="1:20" s="349" customFormat="1" x14ac:dyDescent="0.2">
      <c r="A130" s="107"/>
      <c r="B130" s="28">
        <v>4116</v>
      </c>
      <c r="C130" s="28">
        <v>312</v>
      </c>
      <c r="D130" s="28"/>
      <c r="E130" s="170" t="s">
        <v>430</v>
      </c>
      <c r="F130" s="67"/>
      <c r="G130" s="604">
        <v>15.552149999999999</v>
      </c>
      <c r="H130" s="67">
        <f t="shared" si="35"/>
        <v>15.552149999999999</v>
      </c>
      <c r="I130" s="67"/>
      <c r="J130" s="33"/>
      <c r="K130" s="67">
        <v>15.552149999999999</v>
      </c>
      <c r="L130" s="33">
        <f t="shared" si="38"/>
        <v>100</v>
      </c>
      <c r="M130" s="67">
        <v>15.552149999999999</v>
      </c>
      <c r="N130" s="33">
        <f t="shared" si="39"/>
        <v>100</v>
      </c>
      <c r="O130" s="424">
        <v>15.552149999999999</v>
      </c>
      <c r="P130" s="33">
        <f t="shared" si="34"/>
        <v>100</v>
      </c>
      <c r="Q130" s="471">
        <f t="shared" si="36"/>
        <v>0</v>
      </c>
      <c r="R130" s="122"/>
      <c r="S130" s="479"/>
      <c r="T130" s="33"/>
    </row>
    <row r="131" spans="1:20" s="349" customFormat="1" x14ac:dyDescent="0.2">
      <c r="A131" s="107"/>
      <c r="B131" s="28">
        <v>4116</v>
      </c>
      <c r="C131" s="28">
        <v>223</v>
      </c>
      <c r="D131" s="28">
        <v>14004</v>
      </c>
      <c r="E131" s="170" t="s">
        <v>421</v>
      </c>
      <c r="F131" s="67"/>
      <c r="G131" s="604">
        <f>150+143.376</f>
        <v>293.37599999999998</v>
      </c>
      <c r="H131" s="67">
        <f t="shared" si="35"/>
        <v>293.37599999999998</v>
      </c>
      <c r="I131" s="67"/>
      <c r="J131" s="33"/>
      <c r="K131" s="67">
        <v>150</v>
      </c>
      <c r="L131" s="33">
        <f t="shared" si="38"/>
        <v>51.128926701570684</v>
      </c>
      <c r="M131" s="67">
        <v>150</v>
      </c>
      <c r="N131" s="33">
        <f t="shared" si="39"/>
        <v>51.128926701570684</v>
      </c>
      <c r="O131" s="424">
        <v>293.37599999999998</v>
      </c>
      <c r="P131" s="33">
        <f t="shared" si="34"/>
        <v>100</v>
      </c>
      <c r="Q131" s="471">
        <f t="shared" si="36"/>
        <v>0</v>
      </c>
      <c r="R131" s="122"/>
      <c r="S131" s="479"/>
      <c r="T131" s="33"/>
    </row>
    <row r="132" spans="1:20" x14ac:dyDescent="0.2">
      <c r="A132" s="107"/>
      <c r="B132" s="28">
        <v>4121</v>
      </c>
      <c r="C132" s="28"/>
      <c r="D132" s="28" t="s">
        <v>264</v>
      </c>
      <c r="E132" s="170" t="s">
        <v>248</v>
      </c>
      <c r="F132" s="33">
        <f>40+451.2</f>
        <v>491.2</v>
      </c>
      <c r="G132" s="604"/>
      <c r="H132" s="67">
        <f t="shared" si="35"/>
        <v>491.2</v>
      </c>
      <c r="I132" s="67">
        <f>30.5+343.5</f>
        <v>374</v>
      </c>
      <c r="J132" s="33">
        <f t="shared" si="37"/>
        <v>76.140065146579801</v>
      </c>
      <c r="K132" s="67">
        <f>30.5+343.5</f>
        <v>374</v>
      </c>
      <c r="L132" s="33">
        <f t="shared" si="38"/>
        <v>76.140065146579801</v>
      </c>
      <c r="M132" s="67">
        <f>41+608.5</f>
        <v>649.5</v>
      </c>
      <c r="N132" s="33">
        <f t="shared" si="39"/>
        <v>132.22719869706842</v>
      </c>
      <c r="O132" s="424">
        <f>41+608.5</f>
        <v>649.5</v>
      </c>
      <c r="P132" s="33">
        <f t="shared" si="34"/>
        <v>132.22719869706842</v>
      </c>
      <c r="Q132" s="471">
        <f t="shared" si="36"/>
        <v>158.30000000000001</v>
      </c>
      <c r="R132" s="122"/>
      <c r="S132" s="479">
        <v>599.6</v>
      </c>
      <c r="T132" s="33">
        <f t="shared" si="29"/>
        <v>122.06840390879479</v>
      </c>
    </row>
    <row r="133" spans="1:20" x14ac:dyDescent="0.2">
      <c r="A133" s="107"/>
      <c r="B133" s="28">
        <v>4121</v>
      </c>
      <c r="C133" s="28">
        <v>321</v>
      </c>
      <c r="D133" s="28">
        <v>321</v>
      </c>
      <c r="E133" s="170" t="s">
        <v>179</v>
      </c>
      <c r="F133" s="67">
        <f>60+65</f>
        <v>125</v>
      </c>
      <c r="G133" s="604"/>
      <c r="H133" s="67">
        <f t="shared" si="35"/>
        <v>125</v>
      </c>
      <c r="I133" s="67">
        <v>15.515000000000001</v>
      </c>
      <c r="J133" s="33">
        <f t="shared" si="37"/>
        <v>12.412000000000001</v>
      </c>
      <c r="K133" s="67">
        <v>37.33</v>
      </c>
      <c r="L133" s="33">
        <f t="shared" si="38"/>
        <v>29.863999999999997</v>
      </c>
      <c r="M133" s="67">
        <v>51.9</v>
      </c>
      <c r="N133" s="33">
        <f t="shared" si="39"/>
        <v>41.52</v>
      </c>
      <c r="O133" s="424">
        <v>68.114999999999995</v>
      </c>
      <c r="P133" s="33">
        <f t="shared" si="34"/>
        <v>54.491999999999997</v>
      </c>
      <c r="Q133" s="471">
        <f t="shared" si="36"/>
        <v>-56.885000000000005</v>
      </c>
      <c r="R133" s="122" t="s">
        <v>0</v>
      </c>
      <c r="S133" s="479">
        <v>125</v>
      </c>
      <c r="T133" s="33">
        <f t="shared" si="29"/>
        <v>100</v>
      </c>
    </row>
    <row r="134" spans="1:20" x14ac:dyDescent="0.2">
      <c r="A134" s="107"/>
      <c r="B134" s="28">
        <v>4121</v>
      </c>
      <c r="C134" s="28">
        <v>225</v>
      </c>
      <c r="D134" s="28"/>
      <c r="E134" s="170" t="s">
        <v>331</v>
      </c>
      <c r="F134" s="67">
        <v>1132</v>
      </c>
      <c r="G134" s="604"/>
      <c r="H134" s="67">
        <f t="shared" si="35"/>
        <v>1132</v>
      </c>
      <c r="I134" s="67">
        <v>913.21500000000003</v>
      </c>
      <c r="J134" s="33">
        <f t="shared" si="37"/>
        <v>80.672703180212011</v>
      </c>
      <c r="K134" s="67">
        <v>1137.4649999999999</v>
      </c>
      <c r="L134" s="33">
        <f t="shared" si="38"/>
        <v>100.4827738515901</v>
      </c>
      <c r="M134" s="67">
        <v>1137.4649999999999</v>
      </c>
      <c r="N134" s="33">
        <f t="shared" si="39"/>
        <v>100.4827738515901</v>
      </c>
      <c r="O134" s="424">
        <v>1137.4649999999999</v>
      </c>
      <c r="P134" s="33">
        <f t="shared" si="34"/>
        <v>100.4827738515901</v>
      </c>
      <c r="Q134" s="471">
        <f t="shared" si="36"/>
        <v>5.4649999999999181</v>
      </c>
      <c r="R134" s="122" t="s">
        <v>384</v>
      </c>
      <c r="S134" s="479">
        <v>661</v>
      </c>
      <c r="T134" s="33">
        <f t="shared" si="29"/>
        <v>58.392226148409897</v>
      </c>
    </row>
    <row r="135" spans="1:20" x14ac:dyDescent="0.2">
      <c r="A135" s="107"/>
      <c r="B135" s="28">
        <v>4121</v>
      </c>
      <c r="C135" s="28">
        <v>227</v>
      </c>
      <c r="D135" s="28"/>
      <c r="E135" s="170" t="s">
        <v>332</v>
      </c>
      <c r="F135" s="67">
        <v>450</v>
      </c>
      <c r="G135" s="604">
        <v>-44</v>
      </c>
      <c r="H135" s="67">
        <f t="shared" si="35"/>
        <v>406</v>
      </c>
      <c r="I135" s="67">
        <v>66.137</v>
      </c>
      <c r="J135" s="33">
        <f t="shared" si="37"/>
        <v>16.289901477832515</v>
      </c>
      <c r="K135" s="67">
        <v>406.303</v>
      </c>
      <c r="L135" s="33">
        <f t="shared" si="38"/>
        <v>100.07463054187191</v>
      </c>
      <c r="M135" s="67">
        <v>406.303</v>
      </c>
      <c r="N135" s="33">
        <f t="shared" si="39"/>
        <v>100.07463054187191</v>
      </c>
      <c r="O135" s="424">
        <v>406.303</v>
      </c>
      <c r="P135" s="33">
        <f t="shared" si="34"/>
        <v>100.07463054187191</v>
      </c>
      <c r="Q135" s="471">
        <f t="shared" si="36"/>
        <v>0.30299999999999727</v>
      </c>
      <c r="R135" s="122"/>
      <c r="S135" s="479">
        <v>455</v>
      </c>
      <c r="T135" s="33">
        <f t="shared" si="29"/>
        <v>101.11111111111111</v>
      </c>
    </row>
    <row r="136" spans="1:20" s="349" customFormat="1" x14ac:dyDescent="0.2">
      <c r="A136" s="107"/>
      <c r="B136" s="28">
        <v>4122</v>
      </c>
      <c r="C136" s="28">
        <v>103</v>
      </c>
      <c r="D136" s="28"/>
      <c r="E136" s="170" t="s">
        <v>473</v>
      </c>
      <c r="F136" s="67"/>
      <c r="G136" s="604">
        <v>300</v>
      </c>
      <c r="H136" s="67">
        <f t="shared" si="35"/>
        <v>300</v>
      </c>
      <c r="I136" s="67"/>
      <c r="J136" s="33"/>
      <c r="K136" s="67">
        <v>406.303</v>
      </c>
      <c r="L136" s="33"/>
      <c r="M136" s="67"/>
      <c r="N136" s="33"/>
      <c r="O136" s="424">
        <v>300</v>
      </c>
      <c r="P136" s="33">
        <f t="shared" si="34"/>
        <v>100</v>
      </c>
      <c r="Q136" s="471">
        <f t="shared" si="36"/>
        <v>0</v>
      </c>
      <c r="R136" s="122"/>
      <c r="S136" s="479"/>
      <c r="T136" s="33"/>
    </row>
    <row r="137" spans="1:20" s="349" customFormat="1" x14ac:dyDescent="0.2">
      <c r="A137" s="107"/>
      <c r="B137" s="28">
        <v>4122</v>
      </c>
      <c r="C137" s="28">
        <v>201</v>
      </c>
      <c r="D137" s="28"/>
      <c r="E137" s="170" t="s">
        <v>423</v>
      </c>
      <c r="F137" s="67"/>
      <c r="G137" s="604">
        <v>52.704999999999998</v>
      </c>
      <c r="H137" s="67">
        <f t="shared" si="35"/>
        <v>52.704999999999998</v>
      </c>
      <c r="I137" s="67"/>
      <c r="J137" s="33"/>
      <c r="K137" s="67">
        <v>52.704999999999998</v>
      </c>
      <c r="L137" s="33">
        <f t="shared" si="38"/>
        <v>100</v>
      </c>
      <c r="M137" s="67">
        <v>52.704999999999998</v>
      </c>
      <c r="N137" s="33">
        <f t="shared" si="39"/>
        <v>100</v>
      </c>
      <c r="O137" s="424">
        <v>52.704999999999998</v>
      </c>
      <c r="P137" s="33">
        <f t="shared" si="34"/>
        <v>100</v>
      </c>
      <c r="Q137" s="471">
        <f t="shared" si="36"/>
        <v>0</v>
      </c>
      <c r="R137" s="122"/>
      <c r="S137" s="479"/>
      <c r="T137" s="33"/>
    </row>
    <row r="138" spans="1:20" s="349" customFormat="1" x14ac:dyDescent="0.2">
      <c r="A138" s="107"/>
      <c r="B138" s="28">
        <v>4122</v>
      </c>
      <c r="C138" s="28">
        <v>223</v>
      </c>
      <c r="D138" s="28"/>
      <c r="E138" s="170" t="s">
        <v>440</v>
      </c>
      <c r="F138" s="67"/>
      <c r="G138" s="604">
        <f>41</f>
        <v>41</v>
      </c>
      <c r="H138" s="67">
        <f t="shared" si="35"/>
        <v>41</v>
      </c>
      <c r="I138" s="67"/>
      <c r="J138" s="33"/>
      <c r="K138" s="67"/>
      <c r="L138" s="33"/>
      <c r="M138" s="67">
        <v>41</v>
      </c>
      <c r="N138" s="33">
        <f t="shared" si="39"/>
        <v>100</v>
      </c>
      <c r="O138" s="424">
        <v>41</v>
      </c>
      <c r="P138" s="33">
        <f t="shared" si="34"/>
        <v>100</v>
      </c>
      <c r="Q138" s="471">
        <f t="shared" si="36"/>
        <v>0</v>
      </c>
      <c r="R138" s="122"/>
      <c r="S138" s="479"/>
      <c r="T138" s="33"/>
    </row>
    <row r="139" spans="1:20" s="349" customFormat="1" x14ac:dyDescent="0.2">
      <c r="A139" s="107"/>
      <c r="B139" s="28">
        <v>4122</v>
      </c>
      <c r="C139" s="28">
        <v>230</v>
      </c>
      <c r="D139" s="28"/>
      <c r="E139" s="170" t="s">
        <v>380</v>
      </c>
      <c r="F139" s="67">
        <v>82</v>
      </c>
      <c r="G139" s="604"/>
      <c r="H139" s="67">
        <f t="shared" si="35"/>
        <v>82</v>
      </c>
      <c r="I139" s="67">
        <v>82</v>
      </c>
      <c r="J139" s="33">
        <f t="shared" si="37"/>
        <v>100</v>
      </c>
      <c r="K139" s="67">
        <v>82</v>
      </c>
      <c r="L139" s="33">
        <f t="shared" si="38"/>
        <v>100</v>
      </c>
      <c r="M139" s="67">
        <v>82</v>
      </c>
      <c r="N139" s="33">
        <f t="shared" si="39"/>
        <v>100</v>
      </c>
      <c r="O139" s="424">
        <v>82</v>
      </c>
      <c r="P139" s="33">
        <f t="shared" si="34"/>
        <v>100</v>
      </c>
      <c r="Q139" s="471">
        <f t="shared" si="36"/>
        <v>0</v>
      </c>
      <c r="R139" s="122"/>
      <c r="S139" s="479"/>
      <c r="T139" s="33"/>
    </row>
    <row r="140" spans="1:20" s="426" customFormat="1" x14ac:dyDescent="0.2">
      <c r="A140" s="427"/>
      <c r="B140" s="422">
        <v>4122</v>
      </c>
      <c r="C140" s="422">
        <v>240</v>
      </c>
      <c r="D140" s="422"/>
      <c r="E140" s="170" t="s">
        <v>483</v>
      </c>
      <c r="F140" s="424"/>
      <c r="G140" s="604"/>
      <c r="H140" s="424"/>
      <c r="I140" s="424"/>
      <c r="J140" s="423"/>
      <c r="K140" s="424"/>
      <c r="L140" s="423"/>
      <c r="M140" s="424"/>
      <c r="N140" s="423"/>
      <c r="O140" s="424">
        <v>10</v>
      </c>
      <c r="P140" s="423"/>
      <c r="Q140" s="471">
        <f t="shared" si="36"/>
        <v>10</v>
      </c>
      <c r="R140" s="122"/>
      <c r="S140" s="479"/>
      <c r="T140" s="423"/>
    </row>
    <row r="141" spans="1:20" s="349" customFormat="1" x14ac:dyDescent="0.2">
      <c r="A141" s="107"/>
      <c r="B141" s="28">
        <v>4122</v>
      </c>
      <c r="C141" s="28">
        <v>249</v>
      </c>
      <c r="D141" s="28"/>
      <c r="E141" s="170" t="s">
        <v>472</v>
      </c>
      <c r="F141" s="67"/>
      <c r="G141" s="604">
        <v>36.169249999999998</v>
      </c>
      <c r="H141" s="67">
        <f t="shared" si="35"/>
        <v>36.169249999999998</v>
      </c>
      <c r="I141" s="67"/>
      <c r="J141" s="33"/>
      <c r="K141" s="67"/>
      <c r="L141" s="33"/>
      <c r="M141" s="67"/>
      <c r="N141" s="33"/>
      <c r="O141" s="424">
        <v>36.169249999999998</v>
      </c>
      <c r="P141" s="33">
        <f t="shared" si="34"/>
        <v>100</v>
      </c>
      <c r="Q141" s="471">
        <f t="shared" si="36"/>
        <v>0</v>
      </c>
      <c r="R141" s="122"/>
      <c r="S141" s="479"/>
      <c r="T141" s="33"/>
    </row>
    <row r="142" spans="1:20" s="349" customFormat="1" x14ac:dyDescent="0.2">
      <c r="A142" s="107"/>
      <c r="B142" s="28">
        <v>4122</v>
      </c>
      <c r="C142" s="28" t="s">
        <v>445</v>
      </c>
      <c r="D142" s="28"/>
      <c r="E142" s="170" t="s">
        <v>444</v>
      </c>
      <c r="F142" s="67"/>
      <c r="G142" s="604">
        <f>29.1543+215.3731</f>
        <v>244.5274</v>
      </c>
      <c r="H142" s="67">
        <f t="shared" si="35"/>
        <v>244.5274</v>
      </c>
      <c r="I142" s="67"/>
      <c r="J142" s="33"/>
      <c r="K142" s="67">
        <v>29.154299999999999</v>
      </c>
      <c r="L142" s="33">
        <f t="shared" si="38"/>
        <v>11.922712955685128</v>
      </c>
      <c r="M142" s="67">
        <f>83.721+160.8064</f>
        <v>244.5274</v>
      </c>
      <c r="N142" s="33">
        <f t="shared" si="39"/>
        <v>100</v>
      </c>
      <c r="O142" s="424">
        <f>83.721+160.8064</f>
        <v>244.5274</v>
      </c>
      <c r="P142" s="33">
        <f t="shared" si="34"/>
        <v>100</v>
      </c>
      <c r="Q142" s="471">
        <f t="shared" si="36"/>
        <v>0</v>
      </c>
      <c r="R142" s="122"/>
      <c r="S142" s="479"/>
      <c r="T142" s="33"/>
    </row>
    <row r="143" spans="1:20" s="349" customFormat="1" x14ac:dyDescent="0.2">
      <c r="A143" s="107"/>
      <c r="B143" s="28">
        <v>4122</v>
      </c>
      <c r="C143" s="28">
        <v>301</v>
      </c>
      <c r="D143" s="28"/>
      <c r="E143" s="170" t="s">
        <v>450</v>
      </c>
      <c r="F143" s="67"/>
      <c r="G143" s="604">
        <v>24.4755</v>
      </c>
      <c r="H143" s="67">
        <f t="shared" si="35"/>
        <v>24.4755</v>
      </c>
      <c r="I143" s="67"/>
      <c r="J143" s="33"/>
      <c r="K143" s="67"/>
      <c r="L143" s="33"/>
      <c r="M143" s="67"/>
      <c r="N143" s="33"/>
      <c r="O143" s="424">
        <f>3.67132+20.80418</f>
        <v>24.4755</v>
      </c>
      <c r="P143" s="33">
        <f t="shared" si="34"/>
        <v>100</v>
      </c>
      <c r="Q143" s="471">
        <f t="shared" si="36"/>
        <v>0</v>
      </c>
      <c r="R143" s="122"/>
      <c r="S143" s="479"/>
      <c r="T143" s="33"/>
    </row>
    <row r="144" spans="1:20" s="349" customFormat="1" x14ac:dyDescent="0.2">
      <c r="A144" s="107"/>
      <c r="B144" s="28">
        <v>4122</v>
      </c>
      <c r="C144" s="28">
        <v>307</v>
      </c>
      <c r="D144" s="28"/>
      <c r="E144" s="170" t="s">
        <v>359</v>
      </c>
      <c r="F144" s="67"/>
      <c r="G144" s="604">
        <f>1877.148+3036.6+2024.4+1251.432+82</f>
        <v>8271.5799999999981</v>
      </c>
      <c r="H144" s="67">
        <f t="shared" si="35"/>
        <v>8271.5799999999981</v>
      </c>
      <c r="I144" s="67">
        <v>1877.1479999999999</v>
      </c>
      <c r="J144" s="33">
        <f t="shared" si="37"/>
        <v>22.693947226527463</v>
      </c>
      <c r="K144" s="67">
        <v>6165.18</v>
      </c>
      <c r="L144" s="33">
        <f t="shared" si="38"/>
        <v>74.534490387568056</v>
      </c>
      <c r="M144" s="67">
        <f>3128.58+5061</f>
        <v>8189.58</v>
      </c>
      <c r="N144" s="33">
        <f t="shared" si="39"/>
        <v>99.00865372758291</v>
      </c>
      <c r="O144" s="424">
        <f>3210.58+5061</f>
        <v>8271.58</v>
      </c>
      <c r="P144" s="33">
        <f t="shared" si="34"/>
        <v>100.00000000000003</v>
      </c>
      <c r="Q144" s="471">
        <f t="shared" si="36"/>
        <v>0</v>
      </c>
      <c r="R144" s="122"/>
      <c r="S144" s="479"/>
      <c r="T144" s="33"/>
    </row>
    <row r="145" spans="1:21" s="349" customFormat="1" x14ac:dyDescent="0.2">
      <c r="A145" s="107"/>
      <c r="B145" s="28">
        <v>4122</v>
      </c>
      <c r="C145" s="28">
        <v>320</v>
      </c>
      <c r="D145" s="28"/>
      <c r="E145" s="170" t="s">
        <v>418</v>
      </c>
      <c r="F145" s="67"/>
      <c r="G145" s="604">
        <v>42.06</v>
      </c>
      <c r="H145" s="67">
        <f t="shared" si="35"/>
        <v>42.06</v>
      </c>
      <c r="I145" s="67">
        <v>42.06</v>
      </c>
      <c r="J145" s="33">
        <f t="shared" si="37"/>
        <v>100</v>
      </c>
      <c r="K145" s="67">
        <v>42.06</v>
      </c>
      <c r="L145" s="33">
        <f t="shared" si="38"/>
        <v>100</v>
      </c>
      <c r="M145" s="67">
        <v>42.06</v>
      </c>
      <c r="N145" s="33">
        <f t="shared" si="39"/>
        <v>100</v>
      </c>
      <c r="O145" s="424">
        <v>42.06</v>
      </c>
      <c r="P145" s="33">
        <f t="shared" si="34"/>
        <v>100</v>
      </c>
      <c r="Q145" s="471">
        <f t="shared" si="36"/>
        <v>0</v>
      </c>
      <c r="R145" s="122"/>
      <c r="S145" s="479"/>
      <c r="T145" s="33"/>
    </row>
    <row r="146" spans="1:21" x14ac:dyDescent="0.2">
      <c r="A146" s="107"/>
      <c r="B146" s="28">
        <v>4122</v>
      </c>
      <c r="C146" s="28">
        <v>227</v>
      </c>
      <c r="D146" s="28">
        <v>13305</v>
      </c>
      <c r="E146" s="307" t="s">
        <v>289</v>
      </c>
      <c r="F146" s="67">
        <v>3500</v>
      </c>
      <c r="G146" s="604">
        <f>-380+90</f>
        <v>-290</v>
      </c>
      <c r="H146" s="67">
        <f t="shared" si="35"/>
        <v>3210</v>
      </c>
      <c r="I146" s="67"/>
      <c r="J146" s="33">
        <f t="shared" si="37"/>
        <v>0</v>
      </c>
      <c r="K146" s="67">
        <v>1872</v>
      </c>
      <c r="L146" s="33">
        <f t="shared" si="38"/>
        <v>58.317757009345797</v>
      </c>
      <c r="M146" s="67">
        <v>3120</v>
      </c>
      <c r="N146" s="33">
        <f t="shared" si="39"/>
        <v>97.196261682242991</v>
      </c>
      <c r="O146" s="424">
        <v>3210</v>
      </c>
      <c r="P146" s="33">
        <f t="shared" si="34"/>
        <v>100</v>
      </c>
      <c r="Q146" s="471">
        <f t="shared" si="36"/>
        <v>0</v>
      </c>
      <c r="R146" s="122"/>
      <c r="S146" s="479">
        <v>3200</v>
      </c>
      <c r="T146" s="33">
        <f t="shared" si="29"/>
        <v>91.428571428571431</v>
      </c>
      <c r="U146" s="110"/>
    </row>
    <row r="147" spans="1:21" ht="13.5" customHeight="1" x14ac:dyDescent="0.2">
      <c r="A147" s="107"/>
      <c r="B147" s="28">
        <v>4132</v>
      </c>
      <c r="C147" s="107"/>
      <c r="D147" s="28"/>
      <c r="E147" s="28" t="s">
        <v>396</v>
      </c>
      <c r="F147" s="67" t="s">
        <v>454</v>
      </c>
      <c r="G147" s="604"/>
      <c r="H147" s="67">
        <f t="shared" si="35"/>
        <v>0</v>
      </c>
      <c r="I147" s="67">
        <v>36.017000000000003</v>
      </c>
      <c r="J147" s="33"/>
      <c r="K147" s="67">
        <v>36.017000000000003</v>
      </c>
      <c r="L147" s="33"/>
      <c r="M147" s="67">
        <v>36.017000000000003</v>
      </c>
      <c r="N147" s="33"/>
      <c r="O147" s="424">
        <v>36.017000000000003</v>
      </c>
      <c r="P147" s="33"/>
      <c r="Q147" s="471">
        <f t="shared" si="36"/>
        <v>36.017000000000003</v>
      </c>
      <c r="R147" s="286"/>
      <c r="S147" s="479"/>
      <c r="T147" s="33"/>
    </row>
    <row r="148" spans="1:21" x14ac:dyDescent="0.2">
      <c r="A148" s="94" t="s">
        <v>52</v>
      </c>
      <c r="B148" s="31"/>
      <c r="C148" s="94"/>
      <c r="D148" s="31"/>
      <c r="E148" s="31"/>
      <c r="F148" s="68">
        <f>SUM(F149:F154)</f>
        <v>15539</v>
      </c>
      <c r="G148" s="602">
        <f>SUM(G149:G154)</f>
        <v>2769.62401</v>
      </c>
      <c r="H148" s="68">
        <f>SUM(H149:H154)</f>
        <v>18308.62401</v>
      </c>
      <c r="I148" s="68">
        <f>SUM(I149:I154)</f>
        <v>11169.95026</v>
      </c>
      <c r="J148" s="30">
        <f t="shared" ref="J148:J156" si="40">I148/$H148*100</f>
        <v>61.009228513836298</v>
      </c>
      <c r="K148" s="68">
        <f>SUM(K149:K154)</f>
        <v>17383.42122</v>
      </c>
      <c r="L148" s="30">
        <f>K148/$H148*100</f>
        <v>94.946628487784437</v>
      </c>
      <c r="M148" s="68">
        <f>SUM(M149:M154)</f>
        <v>17495.42122</v>
      </c>
      <c r="N148" s="30">
        <f>M148/$H148*100</f>
        <v>95.558362061748412</v>
      </c>
      <c r="O148" s="68">
        <f>SUM(O149:O154)</f>
        <v>18309.71747</v>
      </c>
      <c r="P148" s="30">
        <f t="shared" ref="P148:P156" si="41">O148/$H148*100</f>
        <v>100.00597237673023</v>
      </c>
      <c r="Q148" s="470">
        <f>SUM(Q149:Q154)</f>
        <v>1.093459999999709</v>
      </c>
      <c r="R148" s="109"/>
      <c r="S148" s="478">
        <f>SUM(S149:S154)</f>
        <v>0</v>
      </c>
      <c r="T148" s="30">
        <f t="shared" si="29"/>
        <v>0</v>
      </c>
    </row>
    <row r="149" spans="1:21" s="349" customFormat="1" x14ac:dyDescent="0.2">
      <c r="A149" s="94"/>
      <c r="B149" s="32">
        <v>4216</v>
      </c>
      <c r="C149" s="32">
        <v>4169</v>
      </c>
      <c r="D149" s="32"/>
      <c r="E149" s="170" t="s">
        <v>373</v>
      </c>
      <c r="F149" s="284">
        <v>11170</v>
      </c>
      <c r="G149" s="609"/>
      <c r="H149" s="67">
        <f t="shared" ref="H149:H154" si="42">SUM(F149:G149)</f>
        <v>11170</v>
      </c>
      <c r="I149" s="284">
        <v>11169.95026</v>
      </c>
      <c r="J149" s="33">
        <f t="shared" si="40"/>
        <v>99.999554700089519</v>
      </c>
      <c r="K149" s="284">
        <v>11169.95026</v>
      </c>
      <c r="L149" s="33">
        <f t="shared" ref="L149:L154" si="43">K149/$H149*100</f>
        <v>99.999554700089519</v>
      </c>
      <c r="M149" s="284">
        <v>11169.95026</v>
      </c>
      <c r="N149" s="33">
        <f t="shared" ref="N149:N154" si="44">M149/$H149*100</f>
        <v>99.999554700089519</v>
      </c>
      <c r="O149" s="284">
        <v>11169.95026</v>
      </c>
      <c r="P149" s="33">
        <f t="shared" si="41"/>
        <v>99.999554700089519</v>
      </c>
      <c r="Q149" s="471">
        <f t="shared" ref="Q149:Q154" si="45">O149-H149</f>
        <v>-4.9740000000383588E-2</v>
      </c>
      <c r="R149" s="122"/>
      <c r="S149" s="478"/>
      <c r="T149" s="30"/>
    </row>
    <row r="150" spans="1:21" s="349" customFormat="1" x14ac:dyDescent="0.2">
      <c r="A150" s="94"/>
      <c r="B150" s="32">
        <v>4216</v>
      </c>
      <c r="C150" s="32">
        <v>250</v>
      </c>
      <c r="D150" s="32"/>
      <c r="E150" s="170" t="s">
        <v>377</v>
      </c>
      <c r="F150" s="284"/>
      <c r="G150" s="609">
        <v>151</v>
      </c>
      <c r="H150" s="67">
        <f t="shared" si="42"/>
        <v>151</v>
      </c>
      <c r="I150" s="284"/>
      <c r="J150" s="33"/>
      <c r="K150" s="284"/>
      <c r="L150" s="33"/>
      <c r="M150" s="284"/>
      <c r="N150" s="33"/>
      <c r="O150" s="284">
        <f>151.67224</f>
        <v>151.67223999999999</v>
      </c>
      <c r="P150" s="33">
        <f t="shared" si="41"/>
        <v>100.44519205298013</v>
      </c>
      <c r="Q150" s="471">
        <f t="shared" si="45"/>
        <v>0.67223999999998796</v>
      </c>
      <c r="R150" s="122"/>
      <c r="S150" s="478"/>
      <c r="T150" s="30"/>
    </row>
    <row r="151" spans="1:21" s="349" customFormat="1" x14ac:dyDescent="0.2">
      <c r="A151" s="94"/>
      <c r="B151" s="32">
        <v>4222</v>
      </c>
      <c r="C151" s="32">
        <v>46</v>
      </c>
      <c r="D151" s="32"/>
      <c r="E151" s="170" t="s">
        <v>441</v>
      </c>
      <c r="F151" s="284"/>
      <c r="G151" s="609">
        <v>112</v>
      </c>
      <c r="H151" s="67">
        <f t="shared" si="42"/>
        <v>112</v>
      </c>
      <c r="I151" s="284"/>
      <c r="J151" s="33"/>
      <c r="K151" s="284"/>
      <c r="L151" s="33"/>
      <c r="M151" s="284">
        <v>112</v>
      </c>
      <c r="N151" s="33">
        <f t="shared" si="44"/>
        <v>100</v>
      </c>
      <c r="O151" s="284">
        <v>112</v>
      </c>
      <c r="P151" s="33">
        <f t="shared" si="41"/>
        <v>100</v>
      </c>
      <c r="Q151" s="471">
        <f t="shared" si="45"/>
        <v>0</v>
      </c>
      <c r="R151" s="122"/>
      <c r="S151" s="478"/>
      <c r="T151" s="30"/>
    </row>
    <row r="152" spans="1:21" s="349" customFormat="1" x14ac:dyDescent="0.2">
      <c r="A152" s="94"/>
      <c r="B152" s="32">
        <v>4222</v>
      </c>
      <c r="C152" s="32">
        <v>223</v>
      </c>
      <c r="D152" s="32"/>
      <c r="E152" s="170" t="s">
        <v>427</v>
      </c>
      <c r="F152" s="284"/>
      <c r="G152" s="609">
        <v>2500</v>
      </c>
      <c r="H152" s="67">
        <f t="shared" si="42"/>
        <v>2500</v>
      </c>
      <c r="I152" s="284"/>
      <c r="J152" s="33"/>
      <c r="K152" s="284">
        <v>2500</v>
      </c>
      <c r="L152" s="33">
        <f t="shared" si="43"/>
        <v>100</v>
      </c>
      <c r="M152" s="284">
        <v>2500</v>
      </c>
      <c r="N152" s="33">
        <f t="shared" si="44"/>
        <v>100</v>
      </c>
      <c r="O152" s="284">
        <v>2500</v>
      </c>
      <c r="P152" s="33">
        <f t="shared" si="41"/>
        <v>100</v>
      </c>
      <c r="Q152" s="471">
        <f t="shared" si="45"/>
        <v>0</v>
      </c>
      <c r="R152" s="122"/>
      <c r="S152" s="478"/>
      <c r="T152" s="30"/>
    </row>
    <row r="153" spans="1:21" s="349" customFormat="1" x14ac:dyDescent="0.2">
      <c r="A153" s="94"/>
      <c r="B153" s="32">
        <v>4216</v>
      </c>
      <c r="C153" s="32">
        <v>280</v>
      </c>
      <c r="D153" s="32"/>
      <c r="E153" s="170" t="s">
        <v>365</v>
      </c>
      <c r="F153" s="284">
        <v>656</v>
      </c>
      <c r="G153" s="609">
        <f>-656+662.62401</f>
        <v>6.6240099999999984</v>
      </c>
      <c r="H153" s="67">
        <f t="shared" si="42"/>
        <v>662.62401</v>
      </c>
      <c r="I153" s="68"/>
      <c r="J153" s="33">
        <f t="shared" si="40"/>
        <v>0</v>
      </c>
      <c r="K153" s="284">
        <v>0</v>
      </c>
      <c r="L153" s="33">
        <f t="shared" si="43"/>
        <v>0</v>
      </c>
      <c r="M153" s="284">
        <v>0</v>
      </c>
      <c r="N153" s="33"/>
      <c r="O153" s="284">
        <v>662.62401</v>
      </c>
      <c r="P153" s="33">
        <f t="shared" si="41"/>
        <v>100</v>
      </c>
      <c r="Q153" s="471">
        <f t="shared" si="45"/>
        <v>0</v>
      </c>
      <c r="R153" s="122"/>
      <c r="S153" s="478">
        <v>0</v>
      </c>
      <c r="T153" s="30"/>
      <c r="U153" s="114"/>
    </row>
    <row r="154" spans="1:21" s="349" customFormat="1" ht="13.5" thickBot="1" x14ac:dyDescent="0.25">
      <c r="A154" s="94"/>
      <c r="B154" s="32">
        <v>4216</v>
      </c>
      <c r="C154" s="32">
        <v>324</v>
      </c>
      <c r="D154" s="32"/>
      <c r="E154" s="170" t="s">
        <v>367</v>
      </c>
      <c r="F154" s="284">
        <v>3713</v>
      </c>
      <c r="G154" s="609"/>
      <c r="H154" s="67">
        <f t="shared" si="42"/>
        <v>3713</v>
      </c>
      <c r="I154" s="68"/>
      <c r="J154" s="33">
        <f t="shared" si="40"/>
        <v>0</v>
      </c>
      <c r="K154" s="284">
        <v>3713.4709600000001</v>
      </c>
      <c r="L154" s="33">
        <f t="shared" si="43"/>
        <v>100.01268408295178</v>
      </c>
      <c r="M154" s="284">
        <v>3713.4709600000001</v>
      </c>
      <c r="N154" s="33">
        <f t="shared" si="44"/>
        <v>100.01268408295178</v>
      </c>
      <c r="O154" s="284">
        <v>3713.4709600000001</v>
      </c>
      <c r="P154" s="33">
        <f t="shared" si="41"/>
        <v>100.01268408295178</v>
      </c>
      <c r="Q154" s="471">
        <f t="shared" si="45"/>
        <v>0.47096000000010463</v>
      </c>
      <c r="R154" s="122"/>
      <c r="S154" s="478"/>
      <c r="T154" s="30"/>
    </row>
    <row r="155" spans="1:21" ht="14.25" customHeight="1" thickBot="1" x14ac:dyDescent="0.3">
      <c r="A155" s="112" t="s">
        <v>53</v>
      </c>
      <c r="B155" s="115"/>
      <c r="C155" s="116"/>
      <c r="D155" s="115"/>
      <c r="E155" s="115"/>
      <c r="F155" s="118">
        <f>SUM(F110+F148)</f>
        <v>52306</v>
      </c>
      <c r="G155" s="610">
        <f>SUM(G110+G148)</f>
        <v>19269.669990000002</v>
      </c>
      <c r="H155" s="118">
        <f>SUM(H110+H148)</f>
        <v>71575.669989999995</v>
      </c>
      <c r="I155" s="118">
        <f>SUM(I110+I148)</f>
        <v>23779.004990000001</v>
      </c>
      <c r="J155" s="35">
        <f t="shared" si="40"/>
        <v>33.222189877261677</v>
      </c>
      <c r="K155" s="118">
        <f>SUM(K110+K148)</f>
        <v>48587.899440000001</v>
      </c>
      <c r="L155" s="35">
        <f>K155/$H155*100</f>
        <v>67.883261793830684</v>
      </c>
      <c r="M155" s="118">
        <f>SUM(M110+M148)</f>
        <v>63462.088439999992</v>
      </c>
      <c r="N155" s="35">
        <f>M155/$H155*100</f>
        <v>88.664330279921131</v>
      </c>
      <c r="O155" s="118">
        <f>SUM(O110+O148)</f>
        <v>71706.208830000003</v>
      </c>
      <c r="P155" s="35">
        <f t="shared" si="41"/>
        <v>100.18237878879548</v>
      </c>
      <c r="Q155" s="455">
        <f>SUM(Q110+Q148)</f>
        <v>130.53883999999982</v>
      </c>
      <c r="R155" s="118"/>
      <c r="S155" s="436">
        <f>SUM(S110+S148)</f>
        <v>33800</v>
      </c>
      <c r="T155" s="35">
        <f t="shared" ref="T155:T165" si="46">S155/$F155*100</f>
        <v>64.61973769739609</v>
      </c>
    </row>
    <row r="156" spans="1:21" ht="15.75" x14ac:dyDescent="0.25">
      <c r="A156" s="38" t="s">
        <v>11</v>
      </c>
      <c r="B156" s="39"/>
      <c r="C156" s="40"/>
      <c r="D156" s="40"/>
      <c r="E156" s="41"/>
      <c r="F156" s="123">
        <f>SUM(F37+F101+F108+F155)</f>
        <v>172673</v>
      </c>
      <c r="G156" s="123">
        <f>SUM(G37+G101+G108+G155)</f>
        <v>35000.276899999997</v>
      </c>
      <c r="H156" s="123">
        <f>SUM(H37+H101+H108+H155)</f>
        <v>207673.2769</v>
      </c>
      <c r="I156" s="123">
        <f>SUM(I37+I101+I108+I155)</f>
        <v>57750.837700000004</v>
      </c>
      <c r="J156" s="306">
        <f t="shared" si="40"/>
        <v>27.808506978877457</v>
      </c>
      <c r="K156" s="123">
        <f>SUM(K37+K101+K108+K155)</f>
        <v>115034.71708999999</v>
      </c>
      <c r="L156" s="123">
        <f>K156/$H156*100</f>
        <v>55.392161575700541</v>
      </c>
      <c r="M156" s="123">
        <f>SUM(M37+M101+M108+M155)</f>
        <v>165832.90620999999</v>
      </c>
      <c r="N156" s="306">
        <f>M156/$H156*100</f>
        <v>79.852790250838481</v>
      </c>
      <c r="O156" s="123">
        <f>SUM(O37+O101+O108+O155)</f>
        <v>233315.68478000001</v>
      </c>
      <c r="P156" s="123">
        <f t="shared" si="41"/>
        <v>112.34747593083316</v>
      </c>
      <c r="Q156" s="477">
        <f>SUM(Q37+Q101+Q108+Q155)</f>
        <v>25642.407880000006</v>
      </c>
      <c r="R156" s="194"/>
      <c r="S156" s="437">
        <f>SUM(S37+S101+S108+S155)</f>
        <v>186382</v>
      </c>
      <c r="T156" s="123">
        <f t="shared" si="46"/>
        <v>107.93928408031366</v>
      </c>
    </row>
    <row r="157" spans="1:21" ht="24" customHeight="1" thickBot="1" x14ac:dyDescent="0.25">
      <c r="A157" s="104"/>
      <c r="B157" s="23"/>
      <c r="C157" s="104"/>
      <c r="D157" s="23"/>
      <c r="E157" s="23"/>
      <c r="F157" s="145"/>
      <c r="G157" s="145"/>
      <c r="H157" s="145"/>
      <c r="I157" s="145"/>
      <c r="J157" s="106"/>
      <c r="K157" s="145"/>
      <c r="L157" s="106"/>
      <c r="M157" s="145"/>
      <c r="N157" s="106"/>
      <c r="O157" s="424"/>
      <c r="P157" s="106"/>
      <c r="Q157" s="252"/>
      <c r="R157" s="185"/>
      <c r="S157" s="429"/>
      <c r="T157" s="106"/>
    </row>
    <row r="158" spans="1:21" ht="13.5" thickBot="1" x14ac:dyDescent="0.25">
      <c r="A158" s="42"/>
      <c r="B158" s="43"/>
      <c r="C158" s="42"/>
      <c r="D158" s="43"/>
      <c r="E158" s="44"/>
      <c r="F158" s="146" t="s">
        <v>363</v>
      </c>
      <c r="G158" s="308" t="str">
        <f>G3</f>
        <v>Změna</v>
      </c>
      <c r="H158" s="146" t="s">
        <v>98</v>
      </c>
      <c r="I158" s="356" t="str">
        <f>I3</f>
        <v>1.Q.2021</v>
      </c>
      <c r="J158" s="285" t="s">
        <v>4</v>
      </c>
      <c r="K158" s="356" t="str">
        <f>K3</f>
        <v>2.Q.2021</v>
      </c>
      <c r="L158" s="285" t="s">
        <v>4</v>
      </c>
      <c r="M158" s="356" t="str">
        <f>M3</f>
        <v>3.Q.2021</v>
      </c>
      <c r="N158" s="285" t="s">
        <v>4</v>
      </c>
      <c r="O158" s="356" t="str">
        <f>O3</f>
        <v>4.Q.2021</v>
      </c>
      <c r="P158" s="294" t="s">
        <v>4</v>
      </c>
      <c r="Q158" s="456" t="s">
        <v>89</v>
      </c>
      <c r="R158" s="195"/>
      <c r="S158" s="438">
        <f>S3</f>
        <v>0</v>
      </c>
      <c r="T158" s="146" t="s">
        <v>364</v>
      </c>
    </row>
    <row r="159" spans="1:21" x14ac:dyDescent="0.2">
      <c r="A159" s="42" t="s">
        <v>54</v>
      </c>
      <c r="B159" s="23"/>
      <c r="C159" s="104"/>
      <c r="D159" s="23"/>
      <c r="E159" s="61" t="s">
        <v>55</v>
      </c>
      <c r="F159" s="264">
        <f>F37</f>
        <v>87644</v>
      </c>
      <c r="G159" s="264">
        <f>G37</f>
        <v>0</v>
      </c>
      <c r="H159" s="264">
        <f>H37</f>
        <v>87644</v>
      </c>
      <c r="I159" s="264">
        <f>I37</f>
        <v>25465.954819999999</v>
      </c>
      <c r="J159" s="37">
        <f t="shared" ref="J159:J165" si="47">I159/$H159*100</f>
        <v>29.056130277029801</v>
      </c>
      <c r="K159" s="264">
        <f>K37</f>
        <v>49243.194110000004</v>
      </c>
      <c r="L159" s="37">
        <f t="shared" ref="L159:L165" si="48">K159/$H159*100</f>
        <v>56.185470893615083</v>
      </c>
      <c r="M159" s="264">
        <f>M37</f>
        <v>75137.680330000003</v>
      </c>
      <c r="N159" s="275">
        <f t="shared" ref="N159:N165" si="49">M159/$H159*100</f>
        <v>85.730546677467942</v>
      </c>
      <c r="O159" s="264">
        <f>O37</f>
        <v>102829.70203</v>
      </c>
      <c r="P159" s="275">
        <f t="shared" ref="P159:P165" si="50">O159/$H159*100</f>
        <v>117.32657344484505</v>
      </c>
      <c r="Q159" s="371">
        <f>Q37</f>
        <v>15185.702030000004</v>
      </c>
      <c r="R159" s="196"/>
      <c r="S159" s="439">
        <f>S37</f>
        <v>103445</v>
      </c>
      <c r="T159" s="275">
        <f t="shared" si="46"/>
        <v>118.02861576377161</v>
      </c>
    </row>
    <row r="160" spans="1:21" x14ac:dyDescent="0.2">
      <c r="A160" s="104"/>
      <c r="B160" s="23"/>
      <c r="C160" s="104"/>
      <c r="D160" s="23"/>
      <c r="E160" s="61" t="s">
        <v>56</v>
      </c>
      <c r="F160" s="264">
        <f>F101</f>
        <v>26774</v>
      </c>
      <c r="G160" s="264">
        <f>G101</f>
        <v>1414.45291</v>
      </c>
      <c r="H160" s="45">
        <f>H101</f>
        <v>28188.452910000004</v>
      </c>
      <c r="I160" s="264">
        <f>I101</f>
        <v>6104.642890000001</v>
      </c>
      <c r="J160" s="37">
        <f t="shared" si="47"/>
        <v>21.656537552773415</v>
      </c>
      <c r="K160" s="264">
        <f>K101</f>
        <v>12664.901539999999</v>
      </c>
      <c r="L160" s="37">
        <f t="shared" si="48"/>
        <v>44.929395665794267</v>
      </c>
      <c r="M160" s="264">
        <f>M101</f>
        <v>22673.655440000002</v>
      </c>
      <c r="N160" s="275">
        <f t="shared" si="49"/>
        <v>80.435969694372275</v>
      </c>
      <c r="O160" s="264">
        <f>O101</f>
        <v>31830.267920000002</v>
      </c>
      <c r="P160" s="275">
        <f t="shared" si="50"/>
        <v>112.91952779965462</v>
      </c>
      <c r="Q160" s="371">
        <f>Q101</f>
        <v>3641.8150100000016</v>
      </c>
      <c r="R160" s="197"/>
      <c r="S160" s="439">
        <f>S101</f>
        <v>31040</v>
      </c>
      <c r="T160" s="275">
        <f t="shared" si="46"/>
        <v>115.93336819302309</v>
      </c>
    </row>
    <row r="161" spans="1:20" x14ac:dyDescent="0.2">
      <c r="A161" s="104"/>
      <c r="B161" s="23"/>
      <c r="C161" s="104"/>
      <c r="D161" s="23"/>
      <c r="E161" s="61" t="s">
        <v>57</v>
      </c>
      <c r="F161" s="143">
        <f>F110</f>
        <v>36767</v>
      </c>
      <c r="G161" s="143">
        <f>G110</f>
        <v>16500.045980000003</v>
      </c>
      <c r="H161" s="143">
        <f>H110</f>
        <v>53267.045979999995</v>
      </c>
      <c r="I161" s="143">
        <f>I110</f>
        <v>12609.05473</v>
      </c>
      <c r="J161" s="37">
        <f t="shared" si="47"/>
        <v>23.671398512946034</v>
      </c>
      <c r="K161" s="143">
        <f>K110</f>
        <v>31204.478220000001</v>
      </c>
      <c r="L161" s="37">
        <f t="shared" si="48"/>
        <v>58.581206533803744</v>
      </c>
      <c r="M161" s="143">
        <f>M110</f>
        <v>45966.667219999996</v>
      </c>
      <c r="N161" s="275">
        <f t="shared" si="49"/>
        <v>86.294755743089169</v>
      </c>
      <c r="O161" s="143">
        <f>O110</f>
        <v>53396.49136</v>
      </c>
      <c r="P161" s="275">
        <f t="shared" si="50"/>
        <v>100.2430121243228</v>
      </c>
      <c r="Q161" s="371">
        <f>Q110</f>
        <v>129.44538000000011</v>
      </c>
      <c r="R161" s="254"/>
      <c r="S161" s="440">
        <f>S110</f>
        <v>33800</v>
      </c>
      <c r="T161" s="275">
        <f t="shared" si="46"/>
        <v>91.930263551554376</v>
      </c>
    </row>
    <row r="162" spans="1:20" x14ac:dyDescent="0.2">
      <c r="A162" s="104"/>
      <c r="B162" s="23"/>
      <c r="C162" s="104"/>
      <c r="D162" s="23"/>
      <c r="E162" s="119" t="s">
        <v>58</v>
      </c>
      <c r="F162" s="161">
        <f>SUM(F159:F161)</f>
        <v>151185</v>
      </c>
      <c r="G162" s="161">
        <f>SUM(G159:G161)</f>
        <v>17914.498890000003</v>
      </c>
      <c r="H162" s="161">
        <f>SUM(H159:H161)</f>
        <v>169099.49888999999</v>
      </c>
      <c r="I162" s="161">
        <f>SUM(I159:I161)</f>
        <v>44179.652440000005</v>
      </c>
      <c r="J162" s="171">
        <f t="shared" si="47"/>
        <v>26.126424223609956</v>
      </c>
      <c r="K162" s="161">
        <f>SUM(K159:K161)</f>
        <v>93112.573870000007</v>
      </c>
      <c r="L162" s="171">
        <f t="shared" si="48"/>
        <v>55.063778710882026</v>
      </c>
      <c r="M162" s="161">
        <f>SUM(M159:M161)</f>
        <v>143778.00299000001</v>
      </c>
      <c r="N162" s="276">
        <f t="shared" si="49"/>
        <v>85.025682473209613</v>
      </c>
      <c r="O162" s="161">
        <f>SUM(O159:O161)</f>
        <v>188056.46130999998</v>
      </c>
      <c r="P162" s="276">
        <f t="shared" si="50"/>
        <v>111.21053731349706</v>
      </c>
      <c r="Q162" s="454">
        <f>SUM(Q159:Q161)</f>
        <v>18956.962420000007</v>
      </c>
      <c r="R162" s="198"/>
      <c r="S162" s="441">
        <f>SUM(S159:S161)</f>
        <v>168285</v>
      </c>
      <c r="T162" s="276">
        <f t="shared" si="46"/>
        <v>111.31064589741047</v>
      </c>
    </row>
    <row r="163" spans="1:20" x14ac:dyDescent="0.2">
      <c r="A163" s="104"/>
      <c r="B163" s="23"/>
      <c r="C163" s="104"/>
      <c r="D163" s="23"/>
      <c r="E163" s="61" t="s">
        <v>59</v>
      </c>
      <c r="F163" s="144">
        <f>F108</f>
        <v>5949</v>
      </c>
      <c r="G163" s="144">
        <f>G108</f>
        <v>14316.153999999999</v>
      </c>
      <c r="H163" s="144">
        <f>H108</f>
        <v>20265.153999999999</v>
      </c>
      <c r="I163" s="144">
        <f>I108</f>
        <v>2401.2350000000001</v>
      </c>
      <c r="J163" s="37">
        <f t="shared" si="47"/>
        <v>11.849083406916129</v>
      </c>
      <c r="K163" s="144">
        <f>K108</f>
        <v>4538.7219999999998</v>
      </c>
      <c r="L163" s="37">
        <f t="shared" si="48"/>
        <v>22.396681515472324</v>
      </c>
      <c r="M163" s="144">
        <f>M108</f>
        <v>4559.482</v>
      </c>
      <c r="N163" s="275">
        <f t="shared" si="49"/>
        <v>22.499123372070105</v>
      </c>
      <c r="O163" s="144">
        <f>O108</f>
        <v>26949.505999999998</v>
      </c>
      <c r="P163" s="275">
        <f t="shared" si="50"/>
        <v>132.98446189947532</v>
      </c>
      <c r="Q163" s="371">
        <f>Q108</f>
        <v>6684.3519999999999</v>
      </c>
      <c r="R163" s="196" t="s">
        <v>1</v>
      </c>
      <c r="S163" s="442">
        <f>S108</f>
        <v>18097</v>
      </c>
      <c r="T163" s="275">
        <f t="shared" si="46"/>
        <v>304.20238695579087</v>
      </c>
    </row>
    <row r="164" spans="1:20" x14ac:dyDescent="0.2">
      <c r="A164" s="104"/>
      <c r="B164" s="23"/>
      <c r="C164" s="104"/>
      <c r="D164" s="23"/>
      <c r="E164" s="61" t="s">
        <v>60</v>
      </c>
      <c r="F164" s="144">
        <f>F148</f>
        <v>15539</v>
      </c>
      <c r="G164" s="144">
        <f>G148</f>
        <v>2769.62401</v>
      </c>
      <c r="H164" s="144">
        <f>H148</f>
        <v>18308.62401</v>
      </c>
      <c r="I164" s="144">
        <f>I148</f>
        <v>11169.95026</v>
      </c>
      <c r="J164" s="37">
        <f t="shared" si="47"/>
        <v>61.009228513836298</v>
      </c>
      <c r="K164" s="144">
        <f>K148</f>
        <v>17383.42122</v>
      </c>
      <c r="L164" s="37">
        <f t="shared" si="48"/>
        <v>94.946628487784437</v>
      </c>
      <c r="M164" s="144">
        <f>M148</f>
        <v>17495.42122</v>
      </c>
      <c r="N164" s="275">
        <f t="shared" si="49"/>
        <v>95.558362061748412</v>
      </c>
      <c r="O164" s="144">
        <f>O148</f>
        <v>18309.71747</v>
      </c>
      <c r="P164" s="275">
        <f t="shared" si="50"/>
        <v>100.00597237673023</v>
      </c>
      <c r="Q164" s="371">
        <f>Q148</f>
        <v>1.093459999999709</v>
      </c>
      <c r="R164" s="196"/>
      <c r="S164" s="442">
        <f>S148</f>
        <v>0</v>
      </c>
      <c r="T164" s="275">
        <f t="shared" si="46"/>
        <v>0</v>
      </c>
    </row>
    <row r="165" spans="1:20" ht="13.5" thickBot="1" x14ac:dyDescent="0.25">
      <c r="A165" s="120"/>
      <c r="B165" s="23"/>
      <c r="C165" s="104"/>
      <c r="D165" s="23"/>
      <c r="E165" s="121" t="s">
        <v>61</v>
      </c>
      <c r="F165" s="265">
        <f>SUM(F162:F164)</f>
        <v>172673</v>
      </c>
      <c r="G165" s="265">
        <f>SUM(G162:G164)</f>
        <v>35000.276900000004</v>
      </c>
      <c r="H165" s="450">
        <f>SUM(H162:H164)</f>
        <v>207673.2769</v>
      </c>
      <c r="I165" s="265">
        <f>SUM(I162:I164)</f>
        <v>57750.837700000004</v>
      </c>
      <c r="J165" s="46">
        <f t="shared" si="47"/>
        <v>27.808506978877457</v>
      </c>
      <c r="K165" s="265">
        <f>SUM(K162:K164)</f>
        <v>115034.71709000001</v>
      </c>
      <c r="L165" s="46">
        <f t="shared" si="48"/>
        <v>55.392161575700548</v>
      </c>
      <c r="M165" s="265">
        <f>SUM(M162:M164)</f>
        <v>165832.90620999999</v>
      </c>
      <c r="N165" s="277">
        <f t="shared" si="49"/>
        <v>79.852790250838481</v>
      </c>
      <c r="O165" s="265">
        <f>SUM(O162:O164)</f>
        <v>233315.68477999998</v>
      </c>
      <c r="P165" s="277">
        <f t="shared" si="50"/>
        <v>112.34747593083316</v>
      </c>
      <c r="Q165" s="457">
        <f>SUM(Q162:Q164)</f>
        <v>25642.407880000006</v>
      </c>
      <c r="R165" s="199"/>
      <c r="S165" s="443">
        <f>SUM(S162:S164)</f>
        <v>186382</v>
      </c>
      <c r="T165" s="277">
        <f t="shared" si="46"/>
        <v>107.93928408031366</v>
      </c>
    </row>
    <row r="166" spans="1:20" x14ac:dyDescent="0.2">
      <c r="E166" s="309"/>
      <c r="G166" s="142"/>
      <c r="I166" s="142"/>
      <c r="J166" s="114"/>
      <c r="K166" s="142"/>
    </row>
    <row r="167" spans="1:20" x14ac:dyDescent="0.2">
      <c r="E167" s="309"/>
      <c r="G167" s="142"/>
      <c r="I167" s="142"/>
      <c r="J167" s="114"/>
      <c r="K167" s="142"/>
    </row>
    <row r="168" spans="1:20" x14ac:dyDescent="0.2">
      <c r="E168" s="309"/>
      <c r="G168" s="142"/>
      <c r="I168" s="142"/>
      <c r="J168" s="114"/>
      <c r="K168" s="142"/>
    </row>
    <row r="169" spans="1:20" x14ac:dyDescent="0.2">
      <c r="E169" s="309"/>
      <c r="G169" s="142"/>
      <c r="I169" s="142"/>
      <c r="J169" s="114"/>
      <c r="K169" s="142"/>
    </row>
    <row r="170" spans="1:20" x14ac:dyDescent="0.2">
      <c r="E170" s="309"/>
    </row>
    <row r="171" spans="1:20" x14ac:dyDescent="0.2">
      <c r="E171" s="309"/>
    </row>
    <row r="172" spans="1:20" x14ac:dyDescent="0.2">
      <c r="E172" s="309"/>
    </row>
    <row r="173" spans="1:20" x14ac:dyDescent="0.2">
      <c r="E173" s="309"/>
    </row>
  </sheetData>
  <sortState ref="A112:AH113">
    <sortCondition ref="C112:C113"/>
  </sortState>
  <phoneticPr fontId="6" type="noConversion"/>
  <pageMargins left="0.15748031496062992" right="0.15748031496062992" top="0.27559055118110237" bottom="0.27559055118110237" header="0.19685039370078741" footer="0.15748031496062992"/>
  <pageSetup paperSize="9" scale="75" fitToHeight="0" orientation="portrait" r:id="rId1"/>
  <headerFooter alignWithMargins="0">
    <oddHeader>&amp;R&amp;P+1.strana</oddHeader>
    <oddFooter xml:space="preserve">&amp;R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FR887"/>
  <sheetViews>
    <sheetView zoomScale="98" zoomScaleNormal="98" workbookViewId="0">
      <pane xSplit="4" ySplit="4" topLeftCell="E56" activePane="bottomRight" state="frozen"/>
      <selection pane="topRight" activeCell="E1" sqref="E1"/>
      <selection pane="bottomLeft" activeCell="A5" sqref="A5"/>
      <selection pane="bottomRight" activeCell="A2" sqref="A2"/>
    </sheetView>
  </sheetViews>
  <sheetFormatPr defaultColWidth="7.85546875" defaultRowHeight="12.75" x14ac:dyDescent="0.2"/>
  <cols>
    <col min="1" max="1" width="3.28515625" style="93" customWidth="1"/>
    <col min="2" max="2" width="4.85546875" style="96" customWidth="1"/>
    <col min="3" max="3" width="5.28515625" style="96" bestFit="1" customWidth="1"/>
    <col min="4" max="4" width="27.42578125" style="180" customWidth="1"/>
    <col min="5" max="5" width="6.5703125" style="349" customWidth="1"/>
    <col min="6" max="6" width="6.85546875" style="349" customWidth="1"/>
    <col min="7" max="7" width="6.85546875" style="114" bestFit="1" customWidth="1"/>
    <col min="8" max="8" width="6.140625" style="164" customWidth="1"/>
    <col min="9" max="9" width="5.7109375" style="164" customWidth="1"/>
    <col min="10" max="10" width="6.85546875" style="114" customWidth="1"/>
    <col min="11" max="11" width="6.140625" style="114" customWidth="1"/>
    <col min="12" max="12" width="9.140625" style="114" customWidth="1"/>
    <col min="13" max="14" width="8.7109375" style="93" hidden="1" customWidth="1"/>
    <col min="15" max="15" width="8.7109375" style="114" hidden="1" customWidth="1"/>
    <col min="16" max="16" width="5.140625" style="114" hidden="1" customWidth="1"/>
    <col min="17" max="18" width="7.5703125" style="93" hidden="1" customWidth="1"/>
    <col min="19" max="19" width="7.5703125" style="114" hidden="1" customWidth="1"/>
    <col min="20" max="20" width="4.7109375" style="114" hidden="1" customWidth="1"/>
    <col min="21" max="22" width="6.5703125" style="93" hidden="1" customWidth="1"/>
    <col min="23" max="23" width="6.5703125" style="114" hidden="1" customWidth="1"/>
    <col min="24" max="24" width="3.5703125" style="114" hidden="1" customWidth="1"/>
    <col min="25" max="25" width="9.5703125" style="386" bestFit="1" customWidth="1"/>
    <col min="26" max="26" width="9.42578125" style="378" customWidth="1"/>
    <col min="27" max="27" width="9.5703125" style="309" bestFit="1" customWidth="1"/>
    <col min="28" max="28" width="4.85546875" style="114" customWidth="1"/>
    <col min="29" max="29" width="7.140625" style="114" customWidth="1"/>
    <col min="30" max="31" width="8.5703125" style="93" customWidth="1"/>
    <col min="32" max="32" width="9.5703125" style="114" bestFit="1" customWidth="1"/>
    <col min="33" max="33" width="3.5703125" style="114" bestFit="1" customWidth="1"/>
    <col min="34" max="34" width="19.5703125" style="585" customWidth="1"/>
    <col min="35" max="35" width="6.7109375" style="21" customWidth="1"/>
    <col min="36" max="36" width="8.140625" style="21" customWidth="1"/>
    <col min="37" max="37" width="7.85546875" style="93" customWidth="1"/>
    <col min="38" max="38" width="7.85546875" style="93"/>
    <col min="39" max="39" width="8.28515625" style="93" bestFit="1" customWidth="1"/>
    <col min="40" max="16384" width="7.85546875" style="93"/>
  </cols>
  <sheetData>
    <row r="1" spans="1:36" ht="18.75" thickBot="1" x14ac:dyDescent="0.3">
      <c r="A1" s="103" t="s">
        <v>598</v>
      </c>
      <c r="B1" s="228"/>
      <c r="C1" s="228"/>
      <c r="D1" s="227"/>
      <c r="E1" s="227"/>
      <c r="F1" s="227"/>
      <c r="G1" s="228"/>
      <c r="H1" s="228"/>
      <c r="I1" s="228"/>
      <c r="J1" s="228"/>
      <c r="K1" s="228"/>
      <c r="L1" s="228"/>
      <c r="M1" s="227"/>
      <c r="N1" s="227"/>
      <c r="O1" s="228"/>
      <c r="P1" s="228"/>
      <c r="Q1" s="227"/>
      <c r="R1" s="227"/>
      <c r="S1" s="228"/>
      <c r="T1" s="228"/>
      <c r="U1" s="227"/>
      <c r="V1" s="227"/>
      <c r="W1" s="228"/>
      <c r="X1" s="228"/>
      <c r="Y1" s="380"/>
      <c r="Z1" s="387"/>
      <c r="AA1" s="330"/>
      <c r="AB1" s="228"/>
      <c r="AC1" s="328"/>
      <c r="AD1" s="227"/>
      <c r="AE1" s="227"/>
      <c r="AF1" s="228"/>
      <c r="AG1" s="228"/>
      <c r="AH1" s="573"/>
      <c r="AI1" s="23"/>
      <c r="AJ1" s="96"/>
    </row>
    <row r="2" spans="1:36" x14ac:dyDescent="0.2">
      <c r="A2" s="130"/>
      <c r="B2" s="97"/>
      <c r="C2" s="97"/>
      <c r="D2" s="340">
        <f>W115*1000</f>
        <v>42287697.560000002</v>
      </c>
      <c r="E2" s="157"/>
      <c r="F2" s="157" t="s">
        <v>357</v>
      </c>
      <c r="G2" s="157"/>
      <c r="H2" s="667" t="s">
        <v>3</v>
      </c>
      <c r="I2" s="668"/>
      <c r="J2" s="289"/>
      <c r="K2" s="47" t="s">
        <v>99</v>
      </c>
      <c r="L2" s="157"/>
      <c r="M2" s="157"/>
      <c r="N2" s="157" t="s">
        <v>404</v>
      </c>
      <c r="O2" s="157"/>
      <c r="P2" s="157"/>
      <c r="Q2" s="157"/>
      <c r="R2" s="157" t="s">
        <v>405</v>
      </c>
      <c r="S2" s="157"/>
      <c r="T2" s="157"/>
      <c r="U2" s="157"/>
      <c r="V2" s="157" t="s">
        <v>406</v>
      </c>
      <c r="W2" s="157"/>
      <c r="X2" s="157"/>
      <c r="Y2" s="381"/>
      <c r="Z2" s="388" t="s">
        <v>407</v>
      </c>
      <c r="AA2" s="397"/>
      <c r="AB2" s="157"/>
      <c r="AC2" s="483"/>
      <c r="AD2" s="491"/>
      <c r="AE2" s="491" t="s">
        <v>397</v>
      </c>
      <c r="AF2" s="491"/>
      <c r="AG2" s="157"/>
      <c r="AH2" s="574"/>
      <c r="AI2" s="300"/>
      <c r="AJ2" s="373"/>
    </row>
    <row r="3" spans="1:36" x14ac:dyDescent="0.2">
      <c r="A3" s="88"/>
      <c r="B3" s="31"/>
      <c r="C3" s="31"/>
      <c r="D3" s="342"/>
      <c r="E3" s="48">
        <v>2021</v>
      </c>
      <c r="F3" s="49">
        <v>2021</v>
      </c>
      <c r="G3" s="87">
        <v>2021</v>
      </c>
      <c r="H3" s="611">
        <v>2021</v>
      </c>
      <c r="I3" s="612">
        <v>2021</v>
      </c>
      <c r="J3" s="48">
        <v>2021</v>
      </c>
      <c r="K3" s="49">
        <v>2021</v>
      </c>
      <c r="L3" s="87">
        <v>2021</v>
      </c>
      <c r="M3" s="48">
        <v>2021</v>
      </c>
      <c r="N3" s="49">
        <v>2021</v>
      </c>
      <c r="O3" s="87">
        <v>2021</v>
      </c>
      <c r="P3" s="87"/>
      <c r="Q3" s="48">
        <v>2021</v>
      </c>
      <c r="R3" s="49">
        <v>2021</v>
      </c>
      <c r="S3" s="87">
        <v>2021</v>
      </c>
      <c r="T3" s="87"/>
      <c r="U3" s="48">
        <v>2021</v>
      </c>
      <c r="V3" s="49">
        <v>2021</v>
      </c>
      <c r="W3" s="87">
        <v>2021</v>
      </c>
      <c r="X3" s="87"/>
      <c r="Y3" s="382">
        <v>2021</v>
      </c>
      <c r="Z3" s="389">
        <v>2021</v>
      </c>
      <c r="AA3" s="398">
        <v>2021</v>
      </c>
      <c r="AB3" s="87"/>
      <c r="AC3" s="484" t="s">
        <v>263</v>
      </c>
      <c r="AD3" s="48">
        <v>2022</v>
      </c>
      <c r="AE3" s="49">
        <v>2022</v>
      </c>
      <c r="AF3" s="290">
        <v>2022</v>
      </c>
      <c r="AG3" s="87"/>
      <c r="AH3" s="575"/>
      <c r="AI3" s="273" t="s">
        <v>148</v>
      </c>
      <c r="AJ3" s="301" t="s">
        <v>156</v>
      </c>
    </row>
    <row r="4" spans="1:36" ht="13.5" thickBot="1" x14ac:dyDescent="0.25">
      <c r="A4" s="50" t="s">
        <v>62</v>
      </c>
      <c r="B4" s="27" t="s">
        <v>21</v>
      </c>
      <c r="C4" s="27" t="s">
        <v>22</v>
      </c>
      <c r="D4" s="295" t="s">
        <v>63</v>
      </c>
      <c r="E4" s="278" t="s">
        <v>64</v>
      </c>
      <c r="F4" s="27" t="s">
        <v>65</v>
      </c>
      <c r="G4" s="51" t="s">
        <v>66</v>
      </c>
      <c r="H4" s="613" t="s">
        <v>64</v>
      </c>
      <c r="I4" s="614" t="s">
        <v>65</v>
      </c>
      <c r="J4" s="278" t="s">
        <v>64</v>
      </c>
      <c r="K4" s="27" t="s">
        <v>65</v>
      </c>
      <c r="L4" s="51" t="s">
        <v>66</v>
      </c>
      <c r="M4" s="278" t="s">
        <v>64</v>
      </c>
      <c r="N4" s="27" t="s">
        <v>65</v>
      </c>
      <c r="O4" s="51" t="s">
        <v>66</v>
      </c>
      <c r="P4" s="51" t="s">
        <v>4</v>
      </c>
      <c r="Q4" s="278" t="s">
        <v>64</v>
      </c>
      <c r="R4" s="27" t="s">
        <v>65</v>
      </c>
      <c r="S4" s="51" t="s">
        <v>66</v>
      </c>
      <c r="T4" s="51" t="s">
        <v>4</v>
      </c>
      <c r="U4" s="278" t="s">
        <v>64</v>
      </c>
      <c r="V4" s="27" t="s">
        <v>65</v>
      </c>
      <c r="W4" s="51" t="s">
        <v>66</v>
      </c>
      <c r="X4" s="51" t="s">
        <v>4</v>
      </c>
      <c r="Y4" s="383" t="s">
        <v>64</v>
      </c>
      <c r="Z4" s="137" t="s">
        <v>65</v>
      </c>
      <c r="AA4" s="399" t="s">
        <v>66</v>
      </c>
      <c r="AB4" s="51" t="s">
        <v>4</v>
      </c>
      <c r="AC4" s="485" t="s">
        <v>358</v>
      </c>
      <c r="AD4" s="278" t="s">
        <v>64</v>
      </c>
      <c r="AE4" s="27" t="s">
        <v>65</v>
      </c>
      <c r="AF4" s="492" t="s">
        <v>66</v>
      </c>
      <c r="AG4" s="51" t="s">
        <v>4</v>
      </c>
      <c r="AH4" s="576" t="s">
        <v>251</v>
      </c>
      <c r="AI4" s="274" t="s">
        <v>147</v>
      </c>
      <c r="AJ4" s="302" t="s">
        <v>151</v>
      </c>
    </row>
    <row r="5" spans="1:36" x14ac:dyDescent="0.2">
      <c r="A5" s="131">
        <v>10</v>
      </c>
      <c r="B5" s="66"/>
      <c r="C5" s="66"/>
      <c r="D5" s="288" t="s">
        <v>67</v>
      </c>
      <c r="E5" s="52">
        <f>SUM(E6:E7)</f>
        <v>1235</v>
      </c>
      <c r="F5" s="53">
        <f>SUM(F6:F7)</f>
        <v>160</v>
      </c>
      <c r="G5" s="159">
        <f>SUM(G6:G7)</f>
        <v>1395</v>
      </c>
      <c r="H5" s="615">
        <f>SUM(H6:H7)</f>
        <v>1345.8429999999998</v>
      </c>
      <c r="I5" s="616">
        <f t="shared" ref="I5" si="0">SUM(I6:I6)</f>
        <v>-108</v>
      </c>
      <c r="J5" s="52">
        <f>SUM(J6:J7)</f>
        <v>2580.8429999999998</v>
      </c>
      <c r="K5" s="53">
        <f>SUM(K6:K7)</f>
        <v>52</v>
      </c>
      <c r="L5" s="159">
        <f>SUM(L6:L7)</f>
        <v>2632.8429999999998</v>
      </c>
      <c r="M5" s="52">
        <f>SUM(M6:M6)</f>
        <v>160.90508</v>
      </c>
      <c r="N5" s="53">
        <f>SUM(N6:N6)</f>
        <v>0</v>
      </c>
      <c r="O5" s="159">
        <f>SUM(O6:O6)</f>
        <v>160.90508</v>
      </c>
      <c r="P5" s="159">
        <f>O5/$L5*100</f>
        <v>6.111457462522452</v>
      </c>
      <c r="Q5" s="52">
        <f>SUM(Q6:Q6)</f>
        <v>514.09533999999996</v>
      </c>
      <c r="R5" s="53">
        <f>SUM(R6:R6)</f>
        <v>0</v>
      </c>
      <c r="S5" s="159">
        <f>SUM(S6:S6)</f>
        <v>514.09533999999996</v>
      </c>
      <c r="T5" s="159">
        <f>S5/$L5*100</f>
        <v>19.526243684108774</v>
      </c>
      <c r="U5" s="52">
        <f>SUM(U6:U6)</f>
        <v>709.67945999999995</v>
      </c>
      <c r="V5" s="53">
        <f>SUM(V6:V6)</f>
        <v>0</v>
      </c>
      <c r="W5" s="159">
        <f>SUM(W6:W6)</f>
        <v>709.67945999999995</v>
      </c>
      <c r="X5" s="159">
        <f>W5/$L5*100</f>
        <v>26.954871976794664</v>
      </c>
      <c r="Y5" s="52">
        <f>SUM(Y6:Y7)</f>
        <v>2567.4797600000002</v>
      </c>
      <c r="Z5" s="390">
        <f>SUM(Z6:Z7)</f>
        <v>0</v>
      </c>
      <c r="AA5" s="400">
        <f>SUM(AA6:AA7)</f>
        <v>2567.4797600000002</v>
      </c>
      <c r="AB5" s="159">
        <f>AA5/$L5*100</f>
        <v>97.517389377186575</v>
      </c>
      <c r="AC5" s="486">
        <f>SUM(AC6:AC7)</f>
        <v>65.363239999999905</v>
      </c>
      <c r="AD5" s="52">
        <f>SUM(AD6:AD7)</f>
        <v>1283</v>
      </c>
      <c r="AE5" s="53">
        <f>SUM(AE6:AE7)</f>
        <v>105</v>
      </c>
      <c r="AF5" s="493">
        <f>SUM(AF6:AF7)</f>
        <v>1388</v>
      </c>
      <c r="AG5" s="159">
        <f>AF5/$G5*100</f>
        <v>99.498207885304652</v>
      </c>
      <c r="AH5" s="577"/>
      <c r="AI5" s="54"/>
      <c r="AJ5" s="83"/>
    </row>
    <row r="6" spans="1:36" x14ac:dyDescent="0.2">
      <c r="A6" s="132"/>
      <c r="B6" s="28">
        <v>1031</v>
      </c>
      <c r="C6" s="28">
        <v>201</v>
      </c>
      <c r="D6" s="170" t="s">
        <v>184</v>
      </c>
      <c r="E6" s="45">
        <f>612+623</f>
        <v>1235</v>
      </c>
      <c r="F6" s="332">
        <v>160</v>
      </c>
      <c r="G6" s="56">
        <f>E6+F6</f>
        <v>1395</v>
      </c>
      <c r="H6" s="617">
        <f>52.705+37.02+14.42+29.424+108</f>
        <v>241.56899999999999</v>
      </c>
      <c r="I6" s="618">
        <v>-108</v>
      </c>
      <c r="J6" s="45">
        <f>E6+H6</f>
        <v>1476.569</v>
      </c>
      <c r="K6" s="28">
        <f>F6+I6</f>
        <v>52</v>
      </c>
      <c r="L6" s="56">
        <f>SUM(J6:K6)</f>
        <v>1528.569</v>
      </c>
      <c r="M6" s="45">
        <v>160.90508</v>
      </c>
      <c r="N6" s="332"/>
      <c r="O6" s="56">
        <f>M6+N6</f>
        <v>160.90508</v>
      </c>
      <c r="P6" s="56">
        <f>O6/$L6*100</f>
        <v>10.526517285120921</v>
      </c>
      <c r="Q6" s="45">
        <v>514.09533999999996</v>
      </c>
      <c r="R6" s="332"/>
      <c r="S6" s="56">
        <f>Q6+R6</f>
        <v>514.09533999999996</v>
      </c>
      <c r="T6" s="56">
        <f>S6/$L6*100</f>
        <v>33.632458855308464</v>
      </c>
      <c r="U6" s="45">
        <v>709.67945999999995</v>
      </c>
      <c r="V6" s="332"/>
      <c r="W6" s="56">
        <f>U6+V6</f>
        <v>709.67945999999995</v>
      </c>
      <c r="X6" s="56">
        <f>W6/$L6*100</f>
        <v>46.427701987937738</v>
      </c>
      <c r="Y6" s="45">
        <v>1463.2057600000001</v>
      </c>
      <c r="Z6" s="391"/>
      <c r="AA6" s="401">
        <f>Y6+Z6</f>
        <v>1463.2057600000001</v>
      </c>
      <c r="AB6" s="56">
        <f>AA6/$L6*100</f>
        <v>95.723893393101662</v>
      </c>
      <c r="AC6" s="487">
        <f>L6-AA6</f>
        <v>65.363239999999905</v>
      </c>
      <c r="AD6" s="45">
        <f>630+653</f>
        <v>1283</v>
      </c>
      <c r="AE6" s="332">
        <v>105</v>
      </c>
      <c r="AF6" s="494">
        <f>AD6+AE6</f>
        <v>1388</v>
      </c>
      <c r="AG6" s="56">
        <f>AF6/$G6*100</f>
        <v>99.498207885304652</v>
      </c>
      <c r="AH6" s="578"/>
      <c r="AI6" s="241" t="s">
        <v>295</v>
      </c>
      <c r="AJ6" s="230" t="s">
        <v>68</v>
      </c>
    </row>
    <row r="7" spans="1:36" s="349" customFormat="1" x14ac:dyDescent="0.2">
      <c r="A7" s="132"/>
      <c r="B7" s="28">
        <v>1036</v>
      </c>
      <c r="C7" s="28">
        <v>109</v>
      </c>
      <c r="D7" s="170" t="s">
        <v>449</v>
      </c>
      <c r="E7" s="45"/>
      <c r="F7" s="332"/>
      <c r="G7" s="56"/>
      <c r="H7" s="617">
        <f>403.03+537.372+163.872</f>
        <v>1104.2739999999999</v>
      </c>
      <c r="I7" s="618"/>
      <c r="J7" s="45">
        <f>E7+H7</f>
        <v>1104.2739999999999</v>
      </c>
      <c r="K7" s="28">
        <f>F7+I7</f>
        <v>0</v>
      </c>
      <c r="L7" s="56">
        <f>SUM(J7:K7)</f>
        <v>1104.2739999999999</v>
      </c>
      <c r="M7" s="45"/>
      <c r="N7" s="332"/>
      <c r="O7" s="56"/>
      <c r="P7" s="56"/>
      <c r="Q7" s="45"/>
      <c r="R7" s="332"/>
      <c r="S7" s="56"/>
      <c r="T7" s="56"/>
      <c r="U7" s="45"/>
      <c r="V7" s="332"/>
      <c r="W7" s="56"/>
      <c r="X7" s="56"/>
      <c r="Y7" s="45">
        <v>1104.2739999999999</v>
      </c>
      <c r="Z7" s="391"/>
      <c r="AA7" s="401">
        <f>Y7+Z7</f>
        <v>1104.2739999999999</v>
      </c>
      <c r="AB7" s="56">
        <f>AA7/$L7*100</f>
        <v>100</v>
      </c>
      <c r="AC7" s="487">
        <f>L7-AA7</f>
        <v>0</v>
      </c>
      <c r="AD7" s="45"/>
      <c r="AE7" s="332"/>
      <c r="AF7" s="494"/>
      <c r="AG7" s="56"/>
      <c r="AH7" s="578"/>
      <c r="AI7" s="241"/>
      <c r="AJ7" s="230"/>
    </row>
    <row r="8" spans="1:36" x14ac:dyDescent="0.2">
      <c r="A8" s="133">
        <v>21</v>
      </c>
      <c r="B8" s="24"/>
      <c r="C8" s="24"/>
      <c r="D8" s="296" t="s">
        <v>245</v>
      </c>
      <c r="E8" s="57">
        <f t="shared" ref="E8:G8" si="1">SUM(E9:E13)</f>
        <v>874</v>
      </c>
      <c r="F8" s="58">
        <f t="shared" si="1"/>
        <v>400</v>
      </c>
      <c r="G8" s="59">
        <f t="shared" si="1"/>
        <v>1274</v>
      </c>
      <c r="H8" s="619">
        <f t="shared" ref="H8:L8" si="2">SUM(H9:H13)</f>
        <v>0</v>
      </c>
      <c r="I8" s="620">
        <f t="shared" si="2"/>
        <v>1510</v>
      </c>
      <c r="J8" s="57">
        <f t="shared" si="2"/>
        <v>874</v>
      </c>
      <c r="K8" s="58">
        <f t="shared" si="2"/>
        <v>1910</v>
      </c>
      <c r="L8" s="59">
        <f t="shared" si="2"/>
        <v>2784</v>
      </c>
      <c r="M8" s="57">
        <f t="shared" ref="M8:O8" si="3">SUM(M9:M13)</f>
        <v>187.95331000000002</v>
      </c>
      <c r="N8" s="58">
        <f t="shared" si="3"/>
        <v>0</v>
      </c>
      <c r="O8" s="59">
        <f t="shared" si="3"/>
        <v>187.95331000000002</v>
      </c>
      <c r="P8" s="59">
        <f t="shared" ref="P8:P14" si="4">O8/$L8*100</f>
        <v>6.7511964798850581</v>
      </c>
      <c r="Q8" s="57">
        <f t="shared" ref="Q8:S8" si="5">SUM(Q9:Q13)</f>
        <v>199.16535999999999</v>
      </c>
      <c r="R8" s="58">
        <f t="shared" si="5"/>
        <v>568.70000000000005</v>
      </c>
      <c r="S8" s="59">
        <f t="shared" si="5"/>
        <v>767.86536000000001</v>
      </c>
      <c r="T8" s="59">
        <f t="shared" ref="T8:T67" si="6">S8/$L8*100</f>
        <v>27.58137068965517</v>
      </c>
      <c r="U8" s="57">
        <f t="shared" ref="U8:W8" si="7">SUM(U9:U13)</f>
        <v>372.57456999999999</v>
      </c>
      <c r="V8" s="58">
        <f t="shared" si="7"/>
        <v>885.47900000000004</v>
      </c>
      <c r="W8" s="59">
        <f t="shared" si="7"/>
        <v>1258.05357</v>
      </c>
      <c r="X8" s="59">
        <f t="shared" ref="X8:X64" si="8">W8/$L8*100</f>
        <v>45.188705818965516</v>
      </c>
      <c r="Y8" s="57">
        <f t="shared" ref="Y8:Z8" si="9">SUM(Y9:Y13)</f>
        <v>632.51202000000001</v>
      </c>
      <c r="Z8" s="392">
        <f t="shared" si="9"/>
        <v>884.81899999999996</v>
      </c>
      <c r="AA8" s="402">
        <f>SUM(AA9:AA13)</f>
        <v>1517.3310200000001</v>
      </c>
      <c r="AB8" s="59">
        <f t="shared" ref="AB8:AB63" si="10">AA8/$L8*100</f>
        <v>54.501832614942536</v>
      </c>
      <c r="AC8" s="488">
        <f>SUM(AC9:AC13)</f>
        <v>1266.6689799999999</v>
      </c>
      <c r="AD8" s="57">
        <f t="shared" ref="AD8:AF8" si="11">SUM(AD9:AD13)</f>
        <v>1125</v>
      </c>
      <c r="AE8" s="58">
        <f t="shared" si="11"/>
        <v>475</v>
      </c>
      <c r="AF8" s="495">
        <f t="shared" si="11"/>
        <v>1600</v>
      </c>
      <c r="AG8" s="59">
        <f t="shared" ref="AG8:AG13" si="12">AF8/$G8*100</f>
        <v>125.58869701726844</v>
      </c>
      <c r="AH8" s="579"/>
      <c r="AI8" s="54"/>
      <c r="AJ8" s="83"/>
    </row>
    <row r="9" spans="1:36" x14ac:dyDescent="0.2">
      <c r="A9" s="61"/>
      <c r="B9" s="28">
        <v>2121</v>
      </c>
      <c r="C9" s="28">
        <v>20</v>
      </c>
      <c r="D9" s="170" t="s">
        <v>90</v>
      </c>
      <c r="E9" s="45"/>
      <c r="F9" s="16">
        <v>100</v>
      </c>
      <c r="G9" s="56">
        <f>E9+F9</f>
        <v>100</v>
      </c>
      <c r="H9" s="621"/>
      <c r="I9" s="618"/>
      <c r="J9" s="45">
        <f t="shared" ref="J9:K11" si="13">E9+H9</f>
        <v>0</v>
      </c>
      <c r="K9" s="28">
        <f t="shared" si="13"/>
        <v>100</v>
      </c>
      <c r="L9" s="56">
        <f>SUM(J9:K9)</f>
        <v>100</v>
      </c>
      <c r="M9" s="45"/>
      <c r="N9" s="16"/>
      <c r="O9" s="56">
        <f>M9+N9</f>
        <v>0</v>
      </c>
      <c r="P9" s="56">
        <f t="shared" si="4"/>
        <v>0</v>
      </c>
      <c r="Q9" s="45"/>
      <c r="R9" s="16"/>
      <c r="S9" s="56">
        <f>Q9+R9</f>
        <v>0</v>
      </c>
      <c r="T9" s="56">
        <f t="shared" si="6"/>
        <v>0</v>
      </c>
      <c r="U9" s="45"/>
      <c r="V9" s="16">
        <v>0</v>
      </c>
      <c r="W9" s="56">
        <f>U9+V9</f>
        <v>0</v>
      </c>
      <c r="X9" s="56">
        <f t="shared" si="8"/>
        <v>0</v>
      </c>
      <c r="Y9" s="529"/>
      <c r="Z9" s="391">
        <v>1.36</v>
      </c>
      <c r="AA9" s="401">
        <f>Y9+Z9</f>
        <v>1.36</v>
      </c>
      <c r="AB9" s="56">
        <f t="shared" si="10"/>
        <v>1.36</v>
      </c>
      <c r="AC9" s="487">
        <f t="shared" ref="AC9:AC13" si="14">L9-AA9</f>
        <v>98.64</v>
      </c>
      <c r="AD9" s="45"/>
      <c r="AE9" s="16">
        <v>100</v>
      </c>
      <c r="AF9" s="494">
        <f>AD9+AE9</f>
        <v>100</v>
      </c>
      <c r="AG9" s="56">
        <f t="shared" si="12"/>
        <v>100</v>
      </c>
      <c r="AH9" s="578"/>
      <c r="AI9" s="241" t="s">
        <v>68</v>
      </c>
      <c r="AJ9" s="230" t="s">
        <v>116</v>
      </c>
    </row>
    <row r="10" spans="1:36" x14ac:dyDescent="0.2">
      <c r="A10" s="61"/>
      <c r="B10" s="28">
        <v>2121</v>
      </c>
      <c r="C10" s="28">
        <v>237</v>
      </c>
      <c r="D10" s="170" t="s">
        <v>163</v>
      </c>
      <c r="E10" s="45">
        <v>358</v>
      </c>
      <c r="F10" s="16"/>
      <c r="G10" s="56">
        <f>E10+F10</f>
        <v>358</v>
      </c>
      <c r="H10" s="621"/>
      <c r="I10" s="618"/>
      <c r="J10" s="45">
        <f t="shared" si="13"/>
        <v>358</v>
      </c>
      <c r="K10" s="28">
        <f t="shared" si="13"/>
        <v>0</v>
      </c>
      <c r="L10" s="56">
        <f>SUM(J10:K10)</f>
        <v>358</v>
      </c>
      <c r="M10" s="45">
        <v>49.968000000000004</v>
      </c>
      <c r="N10" s="16"/>
      <c r="O10" s="56">
        <f>M10+N10</f>
        <v>49.968000000000004</v>
      </c>
      <c r="P10" s="56">
        <f t="shared" si="4"/>
        <v>13.957541899441342</v>
      </c>
      <c r="Q10" s="45">
        <v>89.234800000000007</v>
      </c>
      <c r="R10" s="16"/>
      <c r="S10" s="56">
        <f>Q10+R10</f>
        <v>89.234800000000007</v>
      </c>
      <c r="T10" s="56">
        <f t="shared" si="6"/>
        <v>24.925921787709498</v>
      </c>
      <c r="U10" s="45">
        <v>165.99512999999999</v>
      </c>
      <c r="V10" s="16"/>
      <c r="W10" s="56">
        <f>U10+V10</f>
        <v>165.99512999999999</v>
      </c>
      <c r="X10" s="56">
        <f t="shared" si="8"/>
        <v>46.367354748603354</v>
      </c>
      <c r="Y10" s="45">
        <v>286.07495999999998</v>
      </c>
      <c r="Z10" s="391"/>
      <c r="AA10" s="401">
        <f>Y10+Z10</f>
        <v>286.07495999999998</v>
      </c>
      <c r="AB10" s="56">
        <f t="shared" si="10"/>
        <v>79.909206703910613</v>
      </c>
      <c r="AC10" s="487">
        <f t="shared" si="14"/>
        <v>71.925040000000024</v>
      </c>
      <c r="AD10" s="45">
        <v>358</v>
      </c>
      <c r="AE10" s="16"/>
      <c r="AF10" s="494">
        <f>AD10+AE10</f>
        <v>358</v>
      </c>
      <c r="AG10" s="56">
        <f t="shared" si="12"/>
        <v>100</v>
      </c>
      <c r="AH10" s="578"/>
      <c r="AI10" s="241" t="s">
        <v>68</v>
      </c>
      <c r="AJ10" s="230" t="s">
        <v>116</v>
      </c>
    </row>
    <row r="11" spans="1:36" x14ac:dyDescent="0.2">
      <c r="A11" s="61"/>
      <c r="B11" s="28">
        <v>2141</v>
      </c>
      <c r="C11" s="28">
        <v>101</v>
      </c>
      <c r="D11" s="170" t="s">
        <v>451</v>
      </c>
      <c r="E11" s="45">
        <v>27</v>
      </c>
      <c r="F11" s="16"/>
      <c r="G11" s="56">
        <f>E11+F11</f>
        <v>27</v>
      </c>
      <c r="H11" s="621"/>
      <c r="I11" s="618"/>
      <c r="J11" s="45">
        <f t="shared" si="13"/>
        <v>27</v>
      </c>
      <c r="K11" s="28">
        <f t="shared" si="13"/>
        <v>0</v>
      </c>
      <c r="L11" s="56">
        <f>SUM(J11:K11)</f>
        <v>27</v>
      </c>
      <c r="M11" s="45">
        <v>3.60331</v>
      </c>
      <c r="N11" s="16"/>
      <c r="O11" s="56">
        <f>M11+N11</f>
        <v>3.60331</v>
      </c>
      <c r="P11" s="56">
        <f t="shared" si="4"/>
        <v>13.345592592592592</v>
      </c>
      <c r="Q11" s="45">
        <v>7.0364599999999999</v>
      </c>
      <c r="R11" s="16"/>
      <c r="S11" s="56">
        <f>Q11+R11</f>
        <v>7.0364599999999999</v>
      </c>
      <c r="T11" s="56">
        <f t="shared" si="6"/>
        <v>26.060962962962964</v>
      </c>
      <c r="U11" s="45">
        <v>9.7634399999999992</v>
      </c>
      <c r="V11" s="16"/>
      <c r="W11" s="56">
        <f>U11+V11</f>
        <v>9.7634399999999992</v>
      </c>
      <c r="X11" s="56">
        <f t="shared" si="8"/>
        <v>36.160888888888884</v>
      </c>
      <c r="Y11" s="45">
        <v>52.860280000000003</v>
      </c>
      <c r="Z11" s="391"/>
      <c r="AA11" s="401">
        <f>Y11+Z11</f>
        <v>52.860280000000003</v>
      </c>
      <c r="AB11" s="56">
        <f t="shared" si="10"/>
        <v>195.77881481481484</v>
      </c>
      <c r="AC11" s="487">
        <f t="shared" si="14"/>
        <v>-25.860280000000003</v>
      </c>
      <c r="AD11" s="45">
        <v>80</v>
      </c>
      <c r="AE11" s="16"/>
      <c r="AF11" s="494">
        <f>AD11+AE11</f>
        <v>80</v>
      </c>
      <c r="AG11" s="56">
        <f t="shared" si="12"/>
        <v>296.2962962962963</v>
      </c>
      <c r="AH11" s="578"/>
      <c r="AI11" s="241" t="s">
        <v>437</v>
      </c>
      <c r="AJ11" s="230" t="s">
        <v>116</v>
      </c>
    </row>
    <row r="12" spans="1:36" x14ac:dyDescent="0.2">
      <c r="A12" s="61"/>
      <c r="B12" s="28">
        <v>2144</v>
      </c>
      <c r="C12" s="28">
        <v>650</v>
      </c>
      <c r="D12" s="170" t="s">
        <v>159</v>
      </c>
      <c r="E12" s="45">
        <v>230</v>
      </c>
      <c r="F12" s="16"/>
      <c r="G12" s="56">
        <f>E12+F12</f>
        <v>230</v>
      </c>
      <c r="H12" s="617"/>
      <c r="I12" s="618"/>
      <c r="J12" s="45">
        <f>E12+H12</f>
        <v>230</v>
      </c>
      <c r="K12" s="28"/>
      <c r="L12" s="56">
        <f>SUM(J12:K12)</f>
        <v>230</v>
      </c>
      <c r="M12" s="45">
        <v>42.262</v>
      </c>
      <c r="N12" s="16"/>
      <c r="O12" s="56">
        <f>M12+N12</f>
        <v>42.262</v>
      </c>
      <c r="P12" s="56">
        <f t="shared" si="4"/>
        <v>18.374782608695654</v>
      </c>
      <c r="Q12" s="45">
        <v>79.489999999999995</v>
      </c>
      <c r="R12" s="16"/>
      <c r="S12" s="56">
        <f>Q12+R12</f>
        <v>79.489999999999995</v>
      </c>
      <c r="T12" s="56">
        <f t="shared" si="6"/>
        <v>34.560869565217388</v>
      </c>
      <c r="U12" s="45">
        <v>173.4119</v>
      </c>
      <c r="V12" s="16"/>
      <c r="W12" s="56">
        <f>U12+V12</f>
        <v>173.4119</v>
      </c>
      <c r="X12" s="56">
        <f t="shared" si="8"/>
        <v>75.396478260869571</v>
      </c>
      <c r="Y12" s="45">
        <v>232.81968000000001</v>
      </c>
      <c r="Z12" s="391"/>
      <c r="AA12" s="401">
        <f>Y12+Z12</f>
        <v>232.81968000000001</v>
      </c>
      <c r="AB12" s="56">
        <f t="shared" si="10"/>
        <v>101.22594782608697</v>
      </c>
      <c r="AC12" s="487">
        <f t="shared" si="14"/>
        <v>-2.8196800000000053</v>
      </c>
      <c r="AD12" s="45">
        <f>137+350</f>
        <v>487</v>
      </c>
      <c r="AE12" s="16"/>
      <c r="AF12" s="494">
        <f>AD12+AE12</f>
        <v>487</v>
      </c>
      <c r="AG12" s="56">
        <f t="shared" si="12"/>
        <v>211.7391304347826</v>
      </c>
      <c r="AH12" s="578" t="s">
        <v>487</v>
      </c>
      <c r="AI12" s="238" t="s">
        <v>273</v>
      </c>
      <c r="AJ12" s="231" t="s">
        <v>413</v>
      </c>
    </row>
    <row r="13" spans="1:36" x14ac:dyDescent="0.2">
      <c r="A13" s="61"/>
      <c r="B13" s="28">
        <v>2199</v>
      </c>
      <c r="C13" s="28">
        <v>912</v>
      </c>
      <c r="D13" s="170" t="s">
        <v>95</v>
      </c>
      <c r="E13" s="45">
        <v>259</v>
      </c>
      <c r="F13" s="16">
        <v>300</v>
      </c>
      <c r="G13" s="56">
        <f>E13+F13</f>
        <v>559</v>
      </c>
      <c r="H13" s="621"/>
      <c r="I13" s="618">
        <v>1510</v>
      </c>
      <c r="J13" s="45">
        <f>E13+H13</f>
        <v>259</v>
      </c>
      <c r="K13" s="28">
        <f>F13+I13</f>
        <v>1810</v>
      </c>
      <c r="L13" s="56">
        <f>SUM(J13:K13)</f>
        <v>2069</v>
      </c>
      <c r="M13" s="45">
        <v>92.12</v>
      </c>
      <c r="N13" s="16"/>
      <c r="O13" s="56">
        <f>M13+N13</f>
        <v>92.12</v>
      </c>
      <c r="P13" s="56">
        <f t="shared" si="4"/>
        <v>4.4523924601256653</v>
      </c>
      <c r="Q13" s="45">
        <v>23.4041</v>
      </c>
      <c r="R13" s="16">
        <v>568.70000000000005</v>
      </c>
      <c r="S13" s="56">
        <f>Q13+R13</f>
        <v>592.10410000000002</v>
      </c>
      <c r="T13" s="360">
        <f t="shared" si="6"/>
        <v>28.617887868535526</v>
      </c>
      <c r="U13" s="45">
        <v>23.4041</v>
      </c>
      <c r="V13" s="16">
        <v>885.47900000000004</v>
      </c>
      <c r="W13" s="56">
        <f>U13+V13</f>
        <v>908.88310000000001</v>
      </c>
      <c r="X13" s="56">
        <f t="shared" si="8"/>
        <v>43.928617689705177</v>
      </c>
      <c r="Y13" s="45">
        <v>60.757100000000001</v>
      </c>
      <c r="Z13" s="391">
        <v>883.45899999999995</v>
      </c>
      <c r="AA13" s="401">
        <f>Y13+Z13</f>
        <v>944.21609999999998</v>
      </c>
      <c r="AB13" s="56">
        <f t="shared" si="10"/>
        <v>45.636350894151761</v>
      </c>
      <c r="AC13" s="487">
        <f t="shared" si="14"/>
        <v>1124.7838999999999</v>
      </c>
      <c r="AD13" s="45">
        <v>200</v>
      </c>
      <c r="AE13" s="16">
        <v>375</v>
      </c>
      <c r="AF13" s="494">
        <f>AD13+AE13</f>
        <v>575</v>
      </c>
      <c r="AG13" s="56">
        <f t="shared" si="12"/>
        <v>102.86225402504472</v>
      </c>
      <c r="AH13" s="578"/>
      <c r="AI13" s="239" t="s">
        <v>353</v>
      </c>
      <c r="AJ13" s="232" t="s">
        <v>116</v>
      </c>
    </row>
    <row r="14" spans="1:36" x14ac:dyDescent="0.2">
      <c r="A14" s="133">
        <v>22</v>
      </c>
      <c r="B14" s="24"/>
      <c r="C14" s="24"/>
      <c r="D14" s="296" t="s">
        <v>70</v>
      </c>
      <c r="E14" s="57">
        <f t="shared" ref="E14:O14" si="15">SUM(E15:E33)</f>
        <v>9410</v>
      </c>
      <c r="F14" s="58">
        <f t="shared" si="15"/>
        <v>19976</v>
      </c>
      <c r="G14" s="59">
        <f t="shared" si="15"/>
        <v>29386</v>
      </c>
      <c r="H14" s="619">
        <f t="shared" si="15"/>
        <v>4</v>
      </c>
      <c r="I14" s="620">
        <f t="shared" si="15"/>
        <v>-2302</v>
      </c>
      <c r="J14" s="57">
        <f t="shared" si="15"/>
        <v>9414</v>
      </c>
      <c r="K14" s="58">
        <f t="shared" si="15"/>
        <v>17674</v>
      </c>
      <c r="L14" s="59">
        <f t="shared" si="15"/>
        <v>27088</v>
      </c>
      <c r="M14" s="57">
        <f t="shared" si="15"/>
        <v>1910.7330899999999</v>
      </c>
      <c r="N14" s="58">
        <f t="shared" si="15"/>
        <v>50.190799999999996</v>
      </c>
      <c r="O14" s="59">
        <f t="shared" si="15"/>
        <v>1960.9238899999998</v>
      </c>
      <c r="P14" s="59">
        <f t="shared" si="4"/>
        <v>7.2390870126993496</v>
      </c>
      <c r="Q14" s="57">
        <f>SUM(Q15:Q33)</f>
        <v>3853.7467600000004</v>
      </c>
      <c r="R14" s="58">
        <f>SUM(R15:R33)</f>
        <v>12758.971479999998</v>
      </c>
      <c r="S14" s="59">
        <f>SUM(S15:S33)</f>
        <v>16612.718239999998</v>
      </c>
      <c r="T14" s="59">
        <f t="shared" si="6"/>
        <v>61.328699940933248</v>
      </c>
      <c r="U14" s="57">
        <f>SUM(U15:U33)</f>
        <v>6241.7002199999988</v>
      </c>
      <c r="V14" s="58">
        <f>SUM(V15:V33)</f>
        <v>13380.050089999999</v>
      </c>
      <c r="W14" s="59">
        <f>SUM(W15:W33)</f>
        <v>19621.750309999999</v>
      </c>
      <c r="X14" s="59">
        <f t="shared" si="8"/>
        <v>72.437058143827528</v>
      </c>
      <c r="Y14" s="57">
        <f>SUM(Y15:Y33)</f>
        <v>7466.3247999999994</v>
      </c>
      <c r="Z14" s="392">
        <f>SUM(Z15:Z33)</f>
        <v>16739.360650000002</v>
      </c>
      <c r="AA14" s="402">
        <f>SUM(AA15:AA33)</f>
        <v>24205.685450000001</v>
      </c>
      <c r="AB14" s="59">
        <f t="shared" si="10"/>
        <v>89.359441265505026</v>
      </c>
      <c r="AC14" s="488">
        <f>SUM(AC15:AC33)</f>
        <v>2882.314550000001</v>
      </c>
      <c r="AD14" s="57">
        <f>SUM(AD15:AD33)</f>
        <v>14445</v>
      </c>
      <c r="AE14" s="58">
        <f>SUM(AE15:AE33)</f>
        <v>8767</v>
      </c>
      <c r="AF14" s="495">
        <f>SUM(AF15:AF33)</f>
        <v>23212</v>
      </c>
      <c r="AG14" s="59">
        <f>AF14/$G14*100</f>
        <v>78.989995235826584</v>
      </c>
      <c r="AH14" s="579"/>
      <c r="AI14" s="54"/>
      <c r="AJ14" s="83"/>
    </row>
    <row r="15" spans="1:36" x14ac:dyDescent="0.2">
      <c r="A15" s="132"/>
      <c r="B15" s="28">
        <v>2212</v>
      </c>
      <c r="C15" s="28">
        <v>203</v>
      </c>
      <c r="D15" s="170" t="s">
        <v>371</v>
      </c>
      <c r="E15" s="45">
        <v>200</v>
      </c>
      <c r="F15" s="16"/>
      <c r="G15" s="56">
        <f t="shared" ref="G15:G27" si="16">E15+F15</f>
        <v>200</v>
      </c>
      <c r="H15" s="621"/>
      <c r="I15" s="618"/>
      <c r="J15" s="45">
        <f t="shared" ref="J15:J27" si="17">E15+H15</f>
        <v>200</v>
      </c>
      <c r="K15" s="28">
        <f t="shared" ref="K15:K27" si="18">F15+I15</f>
        <v>0</v>
      </c>
      <c r="L15" s="56">
        <f t="shared" ref="L15:L27" si="19">SUM(J15:K15)</f>
        <v>200</v>
      </c>
      <c r="M15" s="45"/>
      <c r="N15" s="16"/>
      <c r="O15" s="56">
        <f t="shared" ref="O15:O27" si="20">M15+N15</f>
        <v>0</v>
      </c>
      <c r="P15" s="56"/>
      <c r="Q15" s="45">
        <v>36.299999999999997</v>
      </c>
      <c r="R15" s="16"/>
      <c r="S15" s="56">
        <f t="shared" ref="S15:S27" si="21">Q15+R15</f>
        <v>36.299999999999997</v>
      </c>
      <c r="T15" s="56">
        <f t="shared" si="6"/>
        <v>18.149999999999999</v>
      </c>
      <c r="U15" s="45">
        <v>36.299999999999997</v>
      </c>
      <c r="V15" s="16"/>
      <c r="W15" s="56">
        <f t="shared" ref="W15:W27" si="22">U15+V15</f>
        <v>36.299999999999997</v>
      </c>
      <c r="X15" s="56"/>
      <c r="Y15" s="45">
        <v>39.93</v>
      </c>
      <c r="Z15" s="391"/>
      <c r="AA15" s="401">
        <f t="shared" ref="AA15:AA27" si="23">Y15+Z15</f>
        <v>39.93</v>
      </c>
      <c r="AB15" s="56">
        <f t="shared" ref="AB15:AB27" si="24">AA15/$L15*100</f>
        <v>19.965</v>
      </c>
      <c r="AC15" s="487">
        <f t="shared" ref="AC15:AC33" si="25">L15-AA15</f>
        <v>160.07</v>
      </c>
      <c r="AD15" s="45">
        <v>200</v>
      </c>
      <c r="AE15" s="16">
        <v>0</v>
      </c>
      <c r="AF15" s="494">
        <f>AD15+AE15</f>
        <v>200</v>
      </c>
      <c r="AG15" s="56"/>
      <c r="AH15" s="578"/>
      <c r="AI15" s="241" t="s">
        <v>153</v>
      </c>
      <c r="AJ15" s="230" t="s">
        <v>116</v>
      </c>
    </row>
    <row r="16" spans="1:36" x14ac:dyDescent="0.2">
      <c r="A16" s="132"/>
      <c r="B16" s="28">
        <v>2212</v>
      </c>
      <c r="C16" s="28">
        <v>204</v>
      </c>
      <c r="D16" s="170" t="s">
        <v>121</v>
      </c>
      <c r="E16" s="45">
        <v>5768</v>
      </c>
      <c r="F16" s="16"/>
      <c r="G16" s="56">
        <f t="shared" si="16"/>
        <v>5768</v>
      </c>
      <c r="H16" s="621"/>
      <c r="I16" s="618"/>
      <c r="J16" s="45">
        <f t="shared" si="17"/>
        <v>5768</v>
      </c>
      <c r="K16" s="28">
        <f t="shared" si="18"/>
        <v>0</v>
      </c>
      <c r="L16" s="56">
        <f t="shared" si="19"/>
        <v>5768</v>
      </c>
      <c r="M16" s="45">
        <v>1777.60979</v>
      </c>
      <c r="N16" s="16"/>
      <c r="O16" s="56">
        <f t="shared" si="20"/>
        <v>1777.60979</v>
      </c>
      <c r="P16" s="56">
        <f>O16/$L16*100</f>
        <v>30.818477635228845</v>
      </c>
      <c r="Q16" s="45">
        <v>3386.4988400000002</v>
      </c>
      <c r="R16" s="16"/>
      <c r="S16" s="56">
        <f t="shared" si="21"/>
        <v>3386.4988400000002</v>
      </c>
      <c r="T16" s="56">
        <f t="shared" si="6"/>
        <v>58.711838418862698</v>
      </c>
      <c r="U16" s="45">
        <v>4074.5408499999999</v>
      </c>
      <c r="V16" s="16"/>
      <c r="W16" s="56">
        <f t="shared" si="22"/>
        <v>4074.5408499999999</v>
      </c>
      <c r="X16" s="56">
        <f>W16/$L16*100</f>
        <v>70.640444694868236</v>
      </c>
      <c r="Y16" s="45">
        <v>4515.9650000000001</v>
      </c>
      <c r="Z16" s="391"/>
      <c r="AA16" s="401">
        <f t="shared" si="23"/>
        <v>4515.9650000000001</v>
      </c>
      <c r="AB16" s="56">
        <f t="shared" si="24"/>
        <v>78.293429264909847</v>
      </c>
      <c r="AC16" s="487">
        <f t="shared" si="25"/>
        <v>1252.0349999999999</v>
      </c>
      <c r="AD16" s="16">
        <v>6200</v>
      </c>
      <c r="AE16" s="16"/>
      <c r="AF16" s="494">
        <f t="shared" ref="AF16:AF33" si="26">AD16+AE16</f>
        <v>6200</v>
      </c>
      <c r="AG16" s="56">
        <f>AF16/$G16*100</f>
        <v>107.48959778085991</v>
      </c>
      <c r="AH16" s="578"/>
      <c r="AI16" s="241" t="s">
        <v>191</v>
      </c>
      <c r="AJ16" s="230" t="s">
        <v>116</v>
      </c>
    </row>
    <row r="17" spans="1:36" x14ac:dyDescent="0.2">
      <c r="A17" s="132"/>
      <c r="B17" s="28">
        <v>2212</v>
      </c>
      <c r="C17" s="28">
        <v>206</v>
      </c>
      <c r="D17" s="170" t="s">
        <v>294</v>
      </c>
      <c r="E17" s="45"/>
      <c r="F17" s="16">
        <v>100</v>
      </c>
      <c r="G17" s="56">
        <f t="shared" si="16"/>
        <v>100</v>
      </c>
      <c r="H17" s="621"/>
      <c r="I17" s="618"/>
      <c r="J17" s="45">
        <f t="shared" si="17"/>
        <v>0</v>
      </c>
      <c r="K17" s="28">
        <f t="shared" si="18"/>
        <v>100</v>
      </c>
      <c r="L17" s="56">
        <f t="shared" si="19"/>
        <v>100</v>
      </c>
      <c r="M17" s="45"/>
      <c r="N17" s="16"/>
      <c r="O17" s="56">
        <f t="shared" si="20"/>
        <v>0</v>
      </c>
      <c r="P17" s="56">
        <f>O17/$L17*100</f>
        <v>0</v>
      </c>
      <c r="Q17" s="45"/>
      <c r="R17" s="16"/>
      <c r="S17" s="56">
        <f t="shared" si="21"/>
        <v>0</v>
      </c>
      <c r="T17" s="56">
        <f>S17/$L17*100</f>
        <v>0</v>
      </c>
      <c r="U17" s="45"/>
      <c r="V17" s="16"/>
      <c r="W17" s="56">
        <f t="shared" si="22"/>
        <v>0</v>
      </c>
      <c r="X17" s="56">
        <f>W17/$L17*100</f>
        <v>0</v>
      </c>
      <c r="Y17" s="45">
        <v>0</v>
      </c>
      <c r="Z17" s="391"/>
      <c r="AA17" s="401">
        <f t="shared" si="23"/>
        <v>0</v>
      </c>
      <c r="AB17" s="56">
        <f t="shared" si="24"/>
        <v>0</v>
      </c>
      <c r="AC17" s="487">
        <f t="shared" si="25"/>
        <v>100</v>
      </c>
      <c r="AD17" s="45">
        <v>100</v>
      </c>
      <c r="AE17" s="16"/>
      <c r="AF17" s="494">
        <f t="shared" si="26"/>
        <v>100</v>
      </c>
      <c r="AG17" s="56">
        <f>AF17/$G17*100</f>
        <v>100</v>
      </c>
      <c r="AH17" s="578" t="s">
        <v>351</v>
      </c>
      <c r="AI17" s="241" t="s">
        <v>353</v>
      </c>
      <c r="AJ17" s="230" t="s">
        <v>116</v>
      </c>
    </row>
    <row r="18" spans="1:36" s="349" customFormat="1" x14ac:dyDescent="0.2">
      <c r="A18" s="132"/>
      <c r="B18" s="28">
        <v>2212</v>
      </c>
      <c r="C18" s="28">
        <v>207</v>
      </c>
      <c r="D18" s="170" t="s">
        <v>370</v>
      </c>
      <c r="E18" s="45">
        <v>2400</v>
      </c>
      <c r="F18" s="16"/>
      <c r="G18" s="56">
        <f t="shared" si="16"/>
        <v>2400</v>
      </c>
      <c r="H18" s="621"/>
      <c r="I18" s="618"/>
      <c r="J18" s="45">
        <f t="shared" si="17"/>
        <v>2400</v>
      </c>
      <c r="K18" s="28">
        <f t="shared" si="18"/>
        <v>0</v>
      </c>
      <c r="L18" s="56">
        <f t="shared" si="19"/>
        <v>2400</v>
      </c>
      <c r="M18" s="45">
        <v>3.02305</v>
      </c>
      <c r="N18" s="16"/>
      <c r="O18" s="56">
        <f t="shared" si="20"/>
        <v>3.02305</v>
      </c>
      <c r="P18" s="56"/>
      <c r="Q18" s="45">
        <v>35.203049999999998</v>
      </c>
      <c r="R18" s="16"/>
      <c r="S18" s="56">
        <f t="shared" si="21"/>
        <v>35.203049999999998</v>
      </c>
      <c r="T18" s="56">
        <f t="shared" ref="T18:T25" si="27">S18/$L18*100</f>
        <v>1.4667937499999999</v>
      </c>
      <c r="U18" s="45">
        <v>1565.2561000000001</v>
      </c>
      <c r="V18" s="16"/>
      <c r="W18" s="56">
        <f t="shared" si="22"/>
        <v>1565.2561000000001</v>
      </c>
      <c r="X18" s="56">
        <f>W18/$L18*100</f>
        <v>65.219004166666679</v>
      </c>
      <c r="Y18" s="45">
        <v>2213.0580500000001</v>
      </c>
      <c r="Z18" s="391"/>
      <c r="AA18" s="401">
        <f t="shared" si="23"/>
        <v>2213.0580500000001</v>
      </c>
      <c r="AB18" s="56">
        <f t="shared" si="24"/>
        <v>92.210752083333333</v>
      </c>
      <c r="AC18" s="487">
        <f t="shared" si="25"/>
        <v>186.94194999999991</v>
      </c>
      <c r="AD18" s="45">
        <v>0</v>
      </c>
      <c r="AE18" s="16"/>
      <c r="AF18" s="494">
        <f t="shared" si="26"/>
        <v>0</v>
      </c>
      <c r="AG18" s="56">
        <f>AF18/$G18*100</f>
        <v>0</v>
      </c>
      <c r="AH18" s="578" t="s">
        <v>455</v>
      </c>
      <c r="AI18" s="241" t="s">
        <v>153</v>
      </c>
      <c r="AJ18" s="230" t="s">
        <v>116</v>
      </c>
    </row>
    <row r="19" spans="1:36" x14ac:dyDescent="0.2">
      <c r="A19" s="132"/>
      <c r="B19" s="28">
        <v>2212</v>
      </c>
      <c r="C19" s="28">
        <v>217</v>
      </c>
      <c r="D19" s="170" t="s">
        <v>345</v>
      </c>
      <c r="E19" s="45">
        <v>150</v>
      </c>
      <c r="F19" s="16"/>
      <c r="G19" s="56">
        <f t="shared" si="16"/>
        <v>150</v>
      </c>
      <c r="H19" s="621"/>
      <c r="I19" s="618"/>
      <c r="J19" s="45">
        <f t="shared" si="17"/>
        <v>150</v>
      </c>
      <c r="K19" s="28">
        <f t="shared" si="18"/>
        <v>0</v>
      </c>
      <c r="L19" s="56">
        <f t="shared" si="19"/>
        <v>150</v>
      </c>
      <c r="M19" s="45"/>
      <c r="N19" s="16"/>
      <c r="O19" s="56">
        <f t="shared" si="20"/>
        <v>0</v>
      </c>
      <c r="P19" s="56"/>
      <c r="Q19" s="45"/>
      <c r="R19" s="16"/>
      <c r="S19" s="56">
        <f t="shared" si="21"/>
        <v>0</v>
      </c>
      <c r="T19" s="56">
        <f t="shared" si="27"/>
        <v>0</v>
      </c>
      <c r="U19" s="45"/>
      <c r="V19" s="16"/>
      <c r="W19" s="56">
        <f t="shared" si="22"/>
        <v>0</v>
      </c>
      <c r="X19" s="56">
        <f>W19/$L19*100</f>
        <v>0</v>
      </c>
      <c r="Y19" s="45">
        <v>0</v>
      </c>
      <c r="Z19" s="391"/>
      <c r="AA19" s="401">
        <f t="shared" si="23"/>
        <v>0</v>
      </c>
      <c r="AB19" s="56">
        <f t="shared" si="24"/>
        <v>0</v>
      </c>
      <c r="AC19" s="487">
        <f t="shared" si="25"/>
        <v>150</v>
      </c>
      <c r="AD19" s="45">
        <v>150</v>
      </c>
      <c r="AE19" s="16"/>
      <c r="AF19" s="494">
        <f t="shared" si="26"/>
        <v>150</v>
      </c>
      <c r="AG19" s="56">
        <f>AF19/$G19*100</f>
        <v>100</v>
      </c>
      <c r="AH19" s="578" t="s">
        <v>488</v>
      </c>
      <c r="AI19" s="241" t="s">
        <v>153</v>
      </c>
      <c r="AJ19" s="230" t="s">
        <v>116</v>
      </c>
    </row>
    <row r="20" spans="1:36" x14ac:dyDescent="0.2">
      <c r="A20" s="132"/>
      <c r="B20" s="28">
        <v>2212</v>
      </c>
      <c r="C20" s="28">
        <v>220</v>
      </c>
      <c r="D20" s="170" t="s">
        <v>338</v>
      </c>
      <c r="E20" s="45">
        <f>122+78</f>
        <v>200</v>
      </c>
      <c r="F20" s="16">
        <f>1800+11834</f>
        <v>13634</v>
      </c>
      <c r="G20" s="56">
        <f t="shared" si="16"/>
        <v>13834</v>
      </c>
      <c r="H20" s="621"/>
      <c r="I20" s="618"/>
      <c r="J20" s="45">
        <f t="shared" si="17"/>
        <v>200</v>
      </c>
      <c r="K20" s="28">
        <f t="shared" si="18"/>
        <v>13634</v>
      </c>
      <c r="L20" s="56">
        <f t="shared" si="19"/>
        <v>13834</v>
      </c>
      <c r="M20" s="45"/>
      <c r="N20" s="16"/>
      <c r="O20" s="56">
        <f t="shared" si="20"/>
        <v>0</v>
      </c>
      <c r="P20" s="56"/>
      <c r="Q20" s="45">
        <v>122</v>
      </c>
      <c r="R20" s="16">
        <f>167.785+11834</f>
        <v>12001.785</v>
      </c>
      <c r="S20" s="56">
        <f t="shared" si="21"/>
        <v>12123.785</v>
      </c>
      <c r="T20" s="56">
        <f t="shared" si="27"/>
        <v>87.637595778516697</v>
      </c>
      <c r="U20" s="45">
        <v>122</v>
      </c>
      <c r="V20" s="16">
        <f>167.785+11834</f>
        <v>12001.785</v>
      </c>
      <c r="W20" s="56">
        <f t="shared" si="22"/>
        <v>12123.785</v>
      </c>
      <c r="X20" s="56">
        <f>W20/$L20*100</f>
        <v>87.637595778516697</v>
      </c>
      <c r="Y20" s="45">
        <v>122</v>
      </c>
      <c r="Z20" s="391">
        <f>1787.513+11834</f>
        <v>13621.512999999999</v>
      </c>
      <c r="AA20" s="401">
        <f t="shared" si="23"/>
        <v>13743.512999999999</v>
      </c>
      <c r="AB20" s="56">
        <f t="shared" si="24"/>
        <v>99.345908630909349</v>
      </c>
      <c r="AC20" s="487">
        <f t="shared" si="25"/>
        <v>90.48700000000099</v>
      </c>
      <c r="AD20" s="45"/>
      <c r="AE20" s="45">
        <v>600</v>
      </c>
      <c r="AF20" s="494">
        <f t="shared" si="26"/>
        <v>600</v>
      </c>
      <c r="AG20" s="56">
        <f>AF20/$G20*100</f>
        <v>4.337140378776926</v>
      </c>
      <c r="AH20" s="578" t="s">
        <v>489</v>
      </c>
      <c r="AI20" s="241" t="s">
        <v>153</v>
      </c>
      <c r="AJ20" s="230" t="s">
        <v>116</v>
      </c>
    </row>
    <row r="21" spans="1:36" s="349" customFormat="1" x14ac:dyDescent="0.2">
      <c r="A21" s="132"/>
      <c r="B21" s="28">
        <v>2212</v>
      </c>
      <c r="C21" s="28">
        <v>222</v>
      </c>
      <c r="D21" s="170" t="s">
        <v>368</v>
      </c>
      <c r="E21" s="45"/>
      <c r="F21" s="16">
        <v>1320</v>
      </c>
      <c r="G21" s="56">
        <f t="shared" si="16"/>
        <v>1320</v>
      </c>
      <c r="H21" s="621">
        <v>4</v>
      </c>
      <c r="I21" s="618">
        <v>-4</v>
      </c>
      <c r="J21" s="45">
        <f t="shared" si="17"/>
        <v>4</v>
      </c>
      <c r="K21" s="28">
        <f t="shared" si="18"/>
        <v>1316</v>
      </c>
      <c r="L21" s="56">
        <f t="shared" si="19"/>
        <v>1320</v>
      </c>
      <c r="M21" s="45"/>
      <c r="N21" s="16"/>
      <c r="O21" s="56">
        <f t="shared" si="20"/>
        <v>0</v>
      </c>
      <c r="P21" s="56"/>
      <c r="Q21" s="45"/>
      <c r="R21" s="16">
        <v>15.4275</v>
      </c>
      <c r="S21" s="56">
        <f t="shared" si="21"/>
        <v>15.4275</v>
      </c>
      <c r="T21" s="56">
        <f t="shared" si="27"/>
        <v>1.16875</v>
      </c>
      <c r="U21" s="45"/>
      <c r="V21" s="16">
        <v>407.22611000000001</v>
      </c>
      <c r="W21" s="56">
        <f t="shared" ref="W21:W25" si="28">U21+V21</f>
        <v>407.22611000000001</v>
      </c>
      <c r="X21" s="56">
        <f t="shared" ref="X21:X25" si="29">W21/$L21*100</f>
        <v>30.850462878787877</v>
      </c>
      <c r="Y21" s="45">
        <v>3.4674999999999998</v>
      </c>
      <c r="Z21" s="391">
        <v>1314.5996700000001</v>
      </c>
      <c r="AA21" s="401">
        <f t="shared" si="23"/>
        <v>1318.06717</v>
      </c>
      <c r="AB21" s="56">
        <f t="shared" si="24"/>
        <v>99.853573484848496</v>
      </c>
      <c r="AC21" s="487">
        <f t="shared" si="25"/>
        <v>1.9328299999999672</v>
      </c>
      <c r="AD21" s="45">
        <v>0</v>
      </c>
      <c r="AE21" s="16"/>
      <c r="AF21" s="494">
        <f t="shared" si="26"/>
        <v>0</v>
      </c>
      <c r="AG21" s="56">
        <f t="shared" ref="AG21" si="30">AF21/$G21*100</f>
        <v>0</v>
      </c>
      <c r="AH21" s="578" t="s">
        <v>455</v>
      </c>
      <c r="AI21" s="241" t="s">
        <v>153</v>
      </c>
      <c r="AJ21" s="230" t="s">
        <v>116</v>
      </c>
    </row>
    <row r="22" spans="1:36" s="349" customFormat="1" x14ac:dyDescent="0.2">
      <c r="A22" s="132"/>
      <c r="B22" s="28">
        <v>2212</v>
      </c>
      <c r="C22" s="28">
        <v>231</v>
      </c>
      <c r="D22" s="170" t="s">
        <v>463</v>
      </c>
      <c r="E22" s="45"/>
      <c r="F22" s="16"/>
      <c r="G22" s="56"/>
      <c r="H22" s="621"/>
      <c r="I22" s="618"/>
      <c r="J22" s="45"/>
      <c r="K22" s="28"/>
      <c r="L22" s="56"/>
      <c r="M22" s="45"/>
      <c r="N22" s="16"/>
      <c r="O22" s="56"/>
      <c r="P22" s="56"/>
      <c r="Q22" s="45"/>
      <c r="R22" s="16"/>
      <c r="S22" s="56"/>
      <c r="T22" s="56"/>
      <c r="U22" s="45"/>
      <c r="V22" s="16"/>
      <c r="W22" s="56"/>
      <c r="X22" s="56"/>
      <c r="Y22" s="45"/>
      <c r="Z22" s="391"/>
      <c r="AA22" s="401">
        <f t="shared" si="23"/>
        <v>0</v>
      </c>
      <c r="AB22" s="56"/>
      <c r="AC22" s="487">
        <f t="shared" si="25"/>
        <v>0</v>
      </c>
      <c r="AD22" s="45"/>
      <c r="AE22" s="16">
        <v>250</v>
      </c>
      <c r="AF22" s="494">
        <v>250</v>
      </c>
      <c r="AG22" s="56"/>
      <c r="AH22" s="578"/>
      <c r="AI22" s="241" t="s">
        <v>153</v>
      </c>
      <c r="AJ22" s="230" t="s">
        <v>116</v>
      </c>
    </row>
    <row r="23" spans="1:36" s="349" customFormat="1" x14ac:dyDescent="0.2">
      <c r="A23" s="132"/>
      <c r="B23" s="28">
        <v>2212</v>
      </c>
      <c r="C23" s="28">
        <v>51</v>
      </c>
      <c r="D23" s="170" t="s">
        <v>439</v>
      </c>
      <c r="E23" s="45"/>
      <c r="F23" s="16"/>
      <c r="G23" s="56"/>
      <c r="H23" s="621"/>
      <c r="I23" s="618">
        <v>100</v>
      </c>
      <c r="J23" s="45">
        <f t="shared" ref="J23" si="31">E23+H23</f>
        <v>0</v>
      </c>
      <c r="K23" s="28">
        <f t="shared" ref="K23" si="32">F23+I23</f>
        <v>100</v>
      </c>
      <c r="L23" s="56">
        <f t="shared" ref="L23" si="33">SUM(J23:K23)</f>
        <v>100</v>
      </c>
      <c r="M23" s="45"/>
      <c r="N23" s="16"/>
      <c r="O23" s="56"/>
      <c r="P23" s="56"/>
      <c r="Q23" s="45"/>
      <c r="R23" s="16"/>
      <c r="S23" s="56"/>
      <c r="T23" s="56"/>
      <c r="U23" s="45"/>
      <c r="V23" s="16"/>
      <c r="W23" s="56">
        <f t="shared" si="28"/>
        <v>0</v>
      </c>
      <c r="X23" s="56">
        <f t="shared" si="29"/>
        <v>0</v>
      </c>
      <c r="Y23" s="45"/>
      <c r="Z23" s="391">
        <v>99.968000000000004</v>
      </c>
      <c r="AA23" s="401">
        <f t="shared" si="23"/>
        <v>99.968000000000004</v>
      </c>
      <c r="AB23" s="56">
        <f t="shared" si="24"/>
        <v>99.968000000000004</v>
      </c>
      <c r="AC23" s="487">
        <f t="shared" si="25"/>
        <v>3.1999999999996476E-2</v>
      </c>
      <c r="AD23" s="45">
        <f>5000+500</f>
        <v>5500</v>
      </c>
      <c r="AE23" s="16">
        <f>2500+3000</f>
        <v>5500</v>
      </c>
      <c r="AF23" s="494">
        <f t="shared" si="26"/>
        <v>11000</v>
      </c>
      <c r="AG23" s="56"/>
      <c r="AH23" s="578" t="s">
        <v>490</v>
      </c>
      <c r="AI23" s="241" t="s">
        <v>153</v>
      </c>
      <c r="AJ23" s="230" t="s">
        <v>116</v>
      </c>
    </row>
    <row r="24" spans="1:36" x14ac:dyDescent="0.2">
      <c r="A24" s="132"/>
      <c r="B24" s="28">
        <v>2219</v>
      </c>
      <c r="C24" s="28">
        <v>39</v>
      </c>
      <c r="D24" s="170" t="s">
        <v>379</v>
      </c>
      <c r="E24" s="45"/>
      <c r="F24" s="16">
        <f>600+300</f>
        <v>900</v>
      </c>
      <c r="G24" s="56">
        <f t="shared" si="16"/>
        <v>900</v>
      </c>
      <c r="H24" s="621"/>
      <c r="I24" s="618"/>
      <c r="J24" s="45">
        <f t="shared" si="17"/>
        <v>0</v>
      </c>
      <c r="K24" s="28">
        <f t="shared" si="18"/>
        <v>900</v>
      </c>
      <c r="L24" s="56">
        <f t="shared" si="19"/>
        <v>900</v>
      </c>
      <c r="M24" s="45"/>
      <c r="N24" s="16"/>
      <c r="O24" s="56">
        <f t="shared" si="20"/>
        <v>0</v>
      </c>
      <c r="P24" s="56"/>
      <c r="Q24" s="45"/>
      <c r="R24" s="16"/>
      <c r="S24" s="56">
        <f t="shared" si="21"/>
        <v>0</v>
      </c>
      <c r="T24" s="56">
        <f t="shared" si="27"/>
        <v>0</v>
      </c>
      <c r="U24" s="45"/>
      <c r="V24" s="16">
        <v>35</v>
      </c>
      <c r="W24" s="56">
        <f t="shared" si="28"/>
        <v>35</v>
      </c>
      <c r="X24" s="56">
        <f t="shared" si="29"/>
        <v>3.8888888888888888</v>
      </c>
      <c r="Y24" s="45"/>
      <c r="Z24" s="391">
        <v>579.5</v>
      </c>
      <c r="AA24" s="401">
        <f t="shared" si="23"/>
        <v>579.5</v>
      </c>
      <c r="AB24" s="56">
        <f t="shared" si="24"/>
        <v>64.388888888888886</v>
      </c>
      <c r="AC24" s="487">
        <f t="shared" si="25"/>
        <v>320.5</v>
      </c>
      <c r="AD24" s="45"/>
      <c r="AE24" s="16">
        <v>700</v>
      </c>
      <c r="AF24" s="494">
        <f t="shared" si="26"/>
        <v>700</v>
      </c>
      <c r="AG24" s="56">
        <f t="shared" ref="AG24" si="34">AF24/$G24*100</f>
        <v>77.777777777777786</v>
      </c>
      <c r="AH24" s="578"/>
      <c r="AI24" s="241" t="s">
        <v>353</v>
      </c>
      <c r="AJ24" s="230" t="s">
        <v>116</v>
      </c>
    </row>
    <row r="25" spans="1:36" x14ac:dyDescent="0.2">
      <c r="A25" s="132"/>
      <c r="B25" s="28">
        <v>2219</v>
      </c>
      <c r="C25" s="28">
        <v>43</v>
      </c>
      <c r="D25" s="170" t="s">
        <v>119</v>
      </c>
      <c r="E25" s="45">
        <v>31</v>
      </c>
      <c r="F25" s="16"/>
      <c r="G25" s="56">
        <f t="shared" si="16"/>
        <v>31</v>
      </c>
      <c r="H25" s="621"/>
      <c r="I25" s="618"/>
      <c r="J25" s="45">
        <f t="shared" si="17"/>
        <v>31</v>
      </c>
      <c r="K25" s="28">
        <f t="shared" si="18"/>
        <v>0</v>
      </c>
      <c r="L25" s="56">
        <f t="shared" si="19"/>
        <v>31</v>
      </c>
      <c r="M25" s="45">
        <v>8.8027499999999996</v>
      </c>
      <c r="N25" s="16"/>
      <c r="O25" s="56">
        <f t="shared" si="20"/>
        <v>8.8027499999999996</v>
      </c>
      <c r="P25" s="56">
        <f>O25/$L25*100</f>
        <v>28.395967741935486</v>
      </c>
      <c r="Q25" s="45">
        <v>16.14987</v>
      </c>
      <c r="R25" s="16"/>
      <c r="S25" s="56">
        <f t="shared" si="21"/>
        <v>16.14987</v>
      </c>
      <c r="T25" s="56">
        <f t="shared" si="27"/>
        <v>52.096354838709679</v>
      </c>
      <c r="U25" s="45">
        <v>25.212769999999999</v>
      </c>
      <c r="V25" s="16"/>
      <c r="W25" s="56">
        <f t="shared" si="28"/>
        <v>25.212769999999999</v>
      </c>
      <c r="X25" s="56">
        <f t="shared" si="29"/>
        <v>81.331516129032252</v>
      </c>
      <c r="Y25" s="45">
        <v>32.216250000000002</v>
      </c>
      <c r="Z25" s="391"/>
      <c r="AA25" s="401">
        <f t="shared" si="23"/>
        <v>32.216250000000002</v>
      </c>
      <c r="AB25" s="56">
        <f t="shared" si="24"/>
        <v>103.92338709677421</v>
      </c>
      <c r="AC25" s="487">
        <f t="shared" si="25"/>
        <v>-1.2162500000000023</v>
      </c>
      <c r="AD25" s="45">
        <v>32</v>
      </c>
      <c r="AE25" s="16"/>
      <c r="AF25" s="494">
        <f t="shared" si="26"/>
        <v>32</v>
      </c>
      <c r="AG25" s="56">
        <f>AF25/$G25*100</f>
        <v>103.2258064516129</v>
      </c>
      <c r="AH25" s="578"/>
      <c r="AI25" s="246" t="s">
        <v>152</v>
      </c>
      <c r="AJ25" s="231" t="s">
        <v>273</v>
      </c>
    </row>
    <row r="26" spans="1:36" s="349" customFormat="1" x14ac:dyDescent="0.2">
      <c r="A26" s="132"/>
      <c r="B26" s="28">
        <v>2219</v>
      </c>
      <c r="C26" s="28">
        <v>46</v>
      </c>
      <c r="D26" s="170" t="s">
        <v>482</v>
      </c>
      <c r="E26" s="45"/>
      <c r="F26" s="16">
        <v>200</v>
      </c>
      <c r="G26" s="56">
        <f t="shared" si="16"/>
        <v>200</v>
      </c>
      <c r="H26" s="621"/>
      <c r="I26" s="618">
        <v>112</v>
      </c>
      <c r="J26" s="45">
        <f t="shared" si="17"/>
        <v>0</v>
      </c>
      <c r="K26" s="28">
        <f t="shared" si="18"/>
        <v>312</v>
      </c>
      <c r="L26" s="56">
        <f t="shared" si="19"/>
        <v>312</v>
      </c>
      <c r="M26" s="45"/>
      <c r="N26" s="16"/>
      <c r="O26" s="56">
        <f t="shared" si="20"/>
        <v>0</v>
      </c>
      <c r="P26" s="56">
        <f>O26/$L26*100</f>
        <v>0</v>
      </c>
      <c r="Q26" s="45"/>
      <c r="R26" s="16"/>
      <c r="S26" s="56">
        <f t="shared" si="21"/>
        <v>0</v>
      </c>
      <c r="T26" s="56">
        <f>S26/$L26*100</f>
        <v>0</v>
      </c>
      <c r="U26" s="45"/>
      <c r="V26" s="16">
        <v>172.5</v>
      </c>
      <c r="W26" s="56">
        <f t="shared" si="22"/>
        <v>172.5</v>
      </c>
      <c r="X26" s="56">
        <f>W26/$L26*100</f>
        <v>55.28846153846154</v>
      </c>
      <c r="Y26" s="45"/>
      <c r="Z26" s="391">
        <v>172.5</v>
      </c>
      <c r="AA26" s="401">
        <f t="shared" si="23"/>
        <v>172.5</v>
      </c>
      <c r="AB26" s="56">
        <f t="shared" si="24"/>
        <v>55.28846153846154</v>
      </c>
      <c r="AC26" s="487">
        <f t="shared" si="25"/>
        <v>139.5</v>
      </c>
      <c r="AD26" s="45"/>
      <c r="AE26" s="16">
        <v>100</v>
      </c>
      <c r="AF26" s="494">
        <f t="shared" si="26"/>
        <v>100</v>
      </c>
      <c r="AG26" s="56">
        <f>AF26/$G26*100</f>
        <v>50</v>
      </c>
      <c r="AH26" s="578"/>
      <c r="AI26" s="241" t="s">
        <v>353</v>
      </c>
      <c r="AJ26" s="230" t="s">
        <v>116</v>
      </c>
    </row>
    <row r="27" spans="1:36" x14ac:dyDescent="0.2">
      <c r="A27" s="132"/>
      <c r="B27" s="28">
        <v>2219</v>
      </c>
      <c r="C27" s="28">
        <v>49</v>
      </c>
      <c r="D27" s="170" t="s">
        <v>346</v>
      </c>
      <c r="E27" s="45">
        <v>135</v>
      </c>
      <c r="F27" s="16"/>
      <c r="G27" s="56">
        <f t="shared" si="16"/>
        <v>135</v>
      </c>
      <c r="H27" s="621"/>
      <c r="I27" s="618"/>
      <c r="J27" s="45">
        <f t="shared" si="17"/>
        <v>135</v>
      </c>
      <c r="K27" s="28">
        <f t="shared" si="18"/>
        <v>0</v>
      </c>
      <c r="L27" s="56">
        <f t="shared" si="19"/>
        <v>135</v>
      </c>
      <c r="M27" s="45"/>
      <c r="N27" s="16"/>
      <c r="O27" s="56">
        <f t="shared" si="20"/>
        <v>0</v>
      </c>
      <c r="P27" s="56">
        <f t="shared" ref="P27:P32" si="35">O27/$L27*100</f>
        <v>0</v>
      </c>
      <c r="Q27" s="45">
        <v>15</v>
      </c>
      <c r="R27" s="16"/>
      <c r="S27" s="56">
        <f t="shared" si="21"/>
        <v>15</v>
      </c>
      <c r="T27" s="56">
        <f>S27/$L27*100</f>
        <v>11.111111111111111</v>
      </c>
      <c r="U27" s="45">
        <v>15</v>
      </c>
      <c r="V27" s="16"/>
      <c r="W27" s="56">
        <f t="shared" si="22"/>
        <v>15</v>
      </c>
      <c r="X27" s="56">
        <f>W27/$L27*100</f>
        <v>11.111111111111111</v>
      </c>
      <c r="Y27" s="45">
        <v>15</v>
      </c>
      <c r="Z27" s="391"/>
      <c r="AA27" s="401">
        <f t="shared" si="23"/>
        <v>15</v>
      </c>
      <c r="AB27" s="56">
        <f t="shared" si="24"/>
        <v>11.111111111111111</v>
      </c>
      <c r="AC27" s="487">
        <f t="shared" si="25"/>
        <v>120</v>
      </c>
      <c r="AD27" s="45">
        <v>135</v>
      </c>
      <c r="AE27" s="16"/>
      <c r="AF27" s="494">
        <f t="shared" si="26"/>
        <v>135</v>
      </c>
      <c r="AG27" s="56">
        <f>AF27/$G27*100</f>
        <v>100</v>
      </c>
      <c r="AH27" s="578"/>
      <c r="AI27" s="241" t="s">
        <v>353</v>
      </c>
      <c r="AJ27" s="230" t="s">
        <v>116</v>
      </c>
    </row>
    <row r="28" spans="1:36" s="349" customFormat="1" x14ac:dyDescent="0.2">
      <c r="A28" s="132"/>
      <c r="B28" s="28">
        <v>2219</v>
      </c>
      <c r="C28" s="28">
        <v>52</v>
      </c>
      <c r="D28" s="170" t="s">
        <v>464</v>
      </c>
      <c r="E28" s="45"/>
      <c r="F28" s="16"/>
      <c r="G28" s="56"/>
      <c r="H28" s="621"/>
      <c r="I28" s="618"/>
      <c r="J28" s="45"/>
      <c r="K28" s="28"/>
      <c r="L28" s="56"/>
      <c r="M28" s="45"/>
      <c r="N28" s="16"/>
      <c r="O28" s="56"/>
      <c r="P28" s="56"/>
      <c r="Q28" s="45"/>
      <c r="R28" s="16"/>
      <c r="S28" s="56"/>
      <c r="T28" s="56"/>
      <c r="U28" s="45"/>
      <c r="V28" s="16"/>
      <c r="W28" s="56"/>
      <c r="X28" s="56"/>
      <c r="Y28" s="45"/>
      <c r="Z28" s="391"/>
      <c r="AA28" s="401"/>
      <c r="AB28" s="56"/>
      <c r="AC28" s="487">
        <f t="shared" si="25"/>
        <v>0</v>
      </c>
      <c r="AD28" s="45">
        <v>0</v>
      </c>
      <c r="AE28" s="16">
        <v>200</v>
      </c>
      <c r="AF28" s="494">
        <f t="shared" si="26"/>
        <v>200</v>
      </c>
      <c r="AG28" s="56"/>
      <c r="AH28" s="578"/>
      <c r="AI28" s="241" t="s">
        <v>353</v>
      </c>
      <c r="AJ28" s="230" t="s">
        <v>116</v>
      </c>
    </row>
    <row r="29" spans="1:36" s="349" customFormat="1" x14ac:dyDescent="0.2">
      <c r="A29" s="132"/>
      <c r="B29" s="28">
        <v>2223</v>
      </c>
      <c r="C29" s="28">
        <v>36</v>
      </c>
      <c r="D29" s="170" t="s">
        <v>456</v>
      </c>
      <c r="E29" s="45"/>
      <c r="F29" s="16"/>
      <c r="G29" s="56"/>
      <c r="H29" s="621"/>
      <c r="I29" s="618"/>
      <c r="J29" s="45"/>
      <c r="K29" s="28"/>
      <c r="L29" s="56"/>
      <c r="M29" s="45"/>
      <c r="N29" s="16"/>
      <c r="O29" s="56"/>
      <c r="P29" s="56"/>
      <c r="Q29" s="45"/>
      <c r="R29" s="16"/>
      <c r="S29" s="56"/>
      <c r="T29" s="56"/>
      <c r="U29" s="45"/>
      <c r="V29" s="16"/>
      <c r="W29" s="56"/>
      <c r="X29" s="56"/>
      <c r="Y29" s="45"/>
      <c r="Z29" s="391"/>
      <c r="AA29" s="401"/>
      <c r="AB29" s="56"/>
      <c r="AC29" s="487">
        <f t="shared" si="25"/>
        <v>0</v>
      </c>
      <c r="AD29" s="45">
        <f>730+641+239</f>
        <v>1610</v>
      </c>
      <c r="AE29" s="16">
        <f>766+405+246</f>
        <v>1417</v>
      </c>
      <c r="AF29" s="494">
        <f t="shared" si="26"/>
        <v>3027</v>
      </c>
      <c r="AG29" s="56"/>
      <c r="AH29" s="578"/>
      <c r="AI29" s="241" t="s">
        <v>273</v>
      </c>
      <c r="AJ29" s="230" t="s">
        <v>471</v>
      </c>
    </row>
    <row r="30" spans="1:36" x14ac:dyDescent="0.2">
      <c r="A30" s="132"/>
      <c r="B30" s="28">
        <v>2292</v>
      </c>
      <c r="C30" s="28">
        <v>204</v>
      </c>
      <c r="D30" s="170" t="s">
        <v>117</v>
      </c>
      <c r="E30" s="45">
        <v>486</v>
      </c>
      <c r="F30" s="16"/>
      <c r="G30" s="56">
        <f t="shared" ref="G30:G33" si="36">E30+F30</f>
        <v>486</v>
      </c>
      <c r="H30" s="621"/>
      <c r="I30" s="618"/>
      <c r="J30" s="45">
        <f t="shared" ref="J30:J31" si="37">E30+H30</f>
        <v>486</v>
      </c>
      <c r="K30" s="28">
        <f t="shared" ref="K30:K31" si="38">F30+I30</f>
        <v>0</v>
      </c>
      <c r="L30" s="56">
        <f t="shared" ref="L30:L33" si="39">SUM(J30:K30)</f>
        <v>486</v>
      </c>
      <c r="M30" s="45">
        <v>121.2975</v>
      </c>
      <c r="N30" s="16"/>
      <c r="O30" s="56">
        <f t="shared" ref="O30:O33" si="40">M30+N30</f>
        <v>121.2975</v>
      </c>
      <c r="P30" s="56">
        <f t="shared" si="35"/>
        <v>24.958333333333332</v>
      </c>
      <c r="Q30" s="45">
        <v>242.595</v>
      </c>
      <c r="R30" s="16"/>
      <c r="S30" s="56">
        <f t="shared" ref="S30:S33" si="41">Q30+R30</f>
        <v>242.595</v>
      </c>
      <c r="T30" s="56">
        <f t="shared" ref="T30:T31" si="42">S30/$L30*100</f>
        <v>49.916666666666664</v>
      </c>
      <c r="U30" s="45">
        <v>363.89249999999998</v>
      </c>
      <c r="V30" s="16"/>
      <c r="W30" s="56">
        <f t="shared" ref="W30:W33" si="43">U30+V30</f>
        <v>363.89249999999998</v>
      </c>
      <c r="X30" s="56">
        <f t="shared" ref="X30:X32" si="44">W30/$L30*100</f>
        <v>74.874999999999986</v>
      </c>
      <c r="Y30" s="45">
        <v>485.19</v>
      </c>
      <c r="Z30" s="391"/>
      <c r="AA30" s="401">
        <f t="shared" ref="AA30:AA33" si="45">Y30+Z30</f>
        <v>485.19</v>
      </c>
      <c r="AB30" s="56">
        <f t="shared" ref="AB30:AB33" si="46">AA30/$L30*100</f>
        <v>99.833333333333329</v>
      </c>
      <c r="AC30" s="487">
        <f t="shared" si="25"/>
        <v>0.81000000000000227</v>
      </c>
      <c r="AD30" s="45">
        <v>486</v>
      </c>
      <c r="AE30" s="16"/>
      <c r="AF30" s="494">
        <f t="shared" si="26"/>
        <v>486</v>
      </c>
      <c r="AG30" s="56">
        <f t="shared" ref="AG30:AG33" si="47">AF30/$G30*100</f>
        <v>100</v>
      </c>
      <c r="AH30" s="578" t="s">
        <v>491</v>
      </c>
      <c r="AI30" s="303" t="s">
        <v>192</v>
      </c>
      <c r="AJ30" s="229" t="s">
        <v>467</v>
      </c>
    </row>
    <row r="31" spans="1:36" x14ac:dyDescent="0.2">
      <c r="A31" s="132"/>
      <c r="B31" s="28">
        <v>2333</v>
      </c>
      <c r="C31" s="28">
        <v>280</v>
      </c>
      <c r="D31" s="170" t="s">
        <v>337</v>
      </c>
      <c r="E31" s="45"/>
      <c r="F31" s="16">
        <v>822</v>
      </c>
      <c r="G31" s="56">
        <f t="shared" si="36"/>
        <v>822</v>
      </c>
      <c r="H31" s="621"/>
      <c r="I31" s="618">
        <f>60+100</f>
        <v>160</v>
      </c>
      <c r="J31" s="45">
        <f t="shared" si="37"/>
        <v>0</v>
      </c>
      <c r="K31" s="28">
        <f t="shared" si="38"/>
        <v>982</v>
      </c>
      <c r="L31" s="56">
        <f t="shared" si="39"/>
        <v>982</v>
      </c>
      <c r="M31" s="45"/>
      <c r="N31" s="16">
        <v>13.8908</v>
      </c>
      <c r="O31" s="56">
        <f t="shared" si="40"/>
        <v>13.8908</v>
      </c>
      <c r="P31" s="56">
        <f t="shared" si="35"/>
        <v>1.414541751527495</v>
      </c>
      <c r="Q31" s="45"/>
      <c r="R31" s="16">
        <v>705.45898</v>
      </c>
      <c r="S31" s="56">
        <f t="shared" si="41"/>
        <v>705.45898</v>
      </c>
      <c r="T31" s="56">
        <f t="shared" si="42"/>
        <v>71.838999999999999</v>
      </c>
      <c r="U31" s="45"/>
      <c r="V31" s="16">
        <v>705.45898</v>
      </c>
      <c r="W31" s="56">
        <f t="shared" si="43"/>
        <v>705.45898</v>
      </c>
      <c r="X31" s="56">
        <f t="shared" si="44"/>
        <v>71.838999999999999</v>
      </c>
      <c r="Y31" s="45"/>
      <c r="Z31" s="391">
        <v>893.19997999999998</v>
      </c>
      <c r="AA31" s="401">
        <f t="shared" si="45"/>
        <v>893.19997999999998</v>
      </c>
      <c r="AB31" s="56">
        <f t="shared" si="46"/>
        <v>90.95722810590631</v>
      </c>
      <c r="AC31" s="487">
        <f t="shared" si="25"/>
        <v>88.800020000000018</v>
      </c>
      <c r="AD31" s="45"/>
      <c r="AE31" s="16"/>
      <c r="AF31" s="494">
        <f t="shared" si="26"/>
        <v>0</v>
      </c>
      <c r="AG31" s="56">
        <f t="shared" si="47"/>
        <v>0</v>
      </c>
      <c r="AH31" s="578" t="s">
        <v>366</v>
      </c>
      <c r="AI31" s="241" t="s">
        <v>353</v>
      </c>
      <c r="AJ31" s="230" t="s">
        <v>116</v>
      </c>
    </row>
    <row r="32" spans="1:36" s="349" customFormat="1" x14ac:dyDescent="0.2">
      <c r="A32" s="132"/>
      <c r="B32" s="28">
        <v>2341</v>
      </c>
      <c r="C32" s="28">
        <v>50</v>
      </c>
      <c r="D32" s="170" t="s">
        <v>362</v>
      </c>
      <c r="E32" s="45"/>
      <c r="F32" s="16">
        <v>3000</v>
      </c>
      <c r="G32" s="56">
        <f t="shared" si="36"/>
        <v>3000</v>
      </c>
      <c r="H32" s="621"/>
      <c r="I32" s="618">
        <f>-190-2480</f>
        <v>-2670</v>
      </c>
      <c r="J32" s="45">
        <f t="shared" ref="J32" si="48">E32+H32</f>
        <v>0</v>
      </c>
      <c r="K32" s="28">
        <f t="shared" ref="K32" si="49">F32+I32</f>
        <v>330</v>
      </c>
      <c r="L32" s="56">
        <f t="shared" ref="L32" si="50">SUM(J32:K32)</f>
        <v>330</v>
      </c>
      <c r="M32" s="45"/>
      <c r="N32" s="16">
        <v>36.299999999999997</v>
      </c>
      <c r="O32" s="56">
        <f t="shared" si="40"/>
        <v>36.299999999999997</v>
      </c>
      <c r="P32" s="56">
        <f t="shared" si="35"/>
        <v>10.999999999999998</v>
      </c>
      <c r="Q32" s="45"/>
      <c r="R32" s="16">
        <v>36.299999999999997</v>
      </c>
      <c r="S32" s="56">
        <f t="shared" si="41"/>
        <v>36.299999999999997</v>
      </c>
      <c r="T32" s="56"/>
      <c r="U32" s="45"/>
      <c r="V32" s="16">
        <v>58.08</v>
      </c>
      <c r="W32" s="56">
        <f t="shared" si="43"/>
        <v>58.08</v>
      </c>
      <c r="X32" s="56">
        <f t="shared" si="44"/>
        <v>17.599999999999998</v>
      </c>
      <c r="Y32" s="45"/>
      <c r="Z32" s="391">
        <v>58.08</v>
      </c>
      <c r="AA32" s="401">
        <f t="shared" si="45"/>
        <v>58.08</v>
      </c>
      <c r="AB32" s="56">
        <f t="shared" si="46"/>
        <v>17.599999999999998</v>
      </c>
      <c r="AC32" s="487">
        <f t="shared" si="25"/>
        <v>271.92</v>
      </c>
      <c r="AD32" s="45"/>
      <c r="AE32" s="16"/>
      <c r="AF32" s="494">
        <f t="shared" si="26"/>
        <v>0</v>
      </c>
      <c r="AG32" s="56">
        <f t="shared" si="47"/>
        <v>0</v>
      </c>
      <c r="AH32" s="578"/>
      <c r="AI32" s="241" t="s">
        <v>353</v>
      </c>
      <c r="AJ32" s="230" t="s">
        <v>116</v>
      </c>
    </row>
    <row r="33" spans="1:36" s="327" customFormat="1" ht="12" x14ac:dyDescent="0.2">
      <c r="A33" s="324"/>
      <c r="B33" s="34">
        <v>2321</v>
      </c>
      <c r="C33" s="325">
        <v>5103</v>
      </c>
      <c r="D33" s="297" t="s">
        <v>292</v>
      </c>
      <c r="E33" s="60">
        <v>40</v>
      </c>
      <c r="F33" s="63"/>
      <c r="G33" s="62">
        <f t="shared" si="36"/>
        <v>40</v>
      </c>
      <c r="H33" s="622"/>
      <c r="I33" s="623"/>
      <c r="J33" s="60">
        <f>E33+H33</f>
        <v>40</v>
      </c>
      <c r="K33" s="63">
        <f>F33+I33</f>
        <v>0</v>
      </c>
      <c r="L33" s="62">
        <f t="shared" si="39"/>
        <v>40</v>
      </c>
      <c r="M33" s="60"/>
      <c r="N33" s="63"/>
      <c r="O33" s="62">
        <f t="shared" si="40"/>
        <v>0</v>
      </c>
      <c r="P33" s="326">
        <f>O33/$L33*100</f>
        <v>0</v>
      </c>
      <c r="Q33" s="60"/>
      <c r="R33" s="63"/>
      <c r="S33" s="62">
        <f t="shared" si="41"/>
        <v>0</v>
      </c>
      <c r="T33" s="326">
        <f t="shared" si="6"/>
        <v>0</v>
      </c>
      <c r="U33" s="60">
        <v>39.497999999999998</v>
      </c>
      <c r="V33" s="63"/>
      <c r="W33" s="62">
        <f t="shared" si="43"/>
        <v>39.497999999999998</v>
      </c>
      <c r="X33" s="62">
        <f t="shared" si="8"/>
        <v>98.74499999999999</v>
      </c>
      <c r="Y33" s="60">
        <v>39.497999999999998</v>
      </c>
      <c r="Z33" s="393"/>
      <c r="AA33" s="403">
        <f t="shared" si="45"/>
        <v>39.497999999999998</v>
      </c>
      <c r="AB33" s="56">
        <f t="shared" si="46"/>
        <v>98.74499999999999</v>
      </c>
      <c r="AC33" s="487">
        <f t="shared" si="25"/>
        <v>0.50200000000000244</v>
      </c>
      <c r="AD33" s="60">
        <v>32</v>
      </c>
      <c r="AE33" s="63"/>
      <c r="AF33" s="497">
        <f t="shared" si="26"/>
        <v>32</v>
      </c>
      <c r="AG33" s="331">
        <f t="shared" si="47"/>
        <v>80</v>
      </c>
      <c r="AH33" s="580"/>
      <c r="AI33" s="304" t="s">
        <v>192</v>
      </c>
      <c r="AJ33" s="233" t="s">
        <v>467</v>
      </c>
    </row>
    <row r="34" spans="1:36" x14ac:dyDescent="0.2">
      <c r="A34" s="88">
        <v>31</v>
      </c>
      <c r="B34" s="31">
        <v>3100</v>
      </c>
      <c r="C34" s="31"/>
      <c r="D34" s="288" t="s">
        <v>356</v>
      </c>
      <c r="E34" s="54">
        <f t="shared" ref="E34:O34" si="51">SUM(E35:E47)</f>
        <v>17266</v>
      </c>
      <c r="F34" s="18">
        <f t="shared" si="51"/>
        <v>535</v>
      </c>
      <c r="G34" s="55">
        <f t="shared" si="51"/>
        <v>17801</v>
      </c>
      <c r="H34" s="624">
        <f t="shared" si="51"/>
        <v>2081.7509</v>
      </c>
      <c r="I34" s="625">
        <f t="shared" si="51"/>
        <v>-55</v>
      </c>
      <c r="J34" s="54">
        <f t="shared" si="51"/>
        <v>19347.750899999999</v>
      </c>
      <c r="K34" s="18">
        <f t="shared" si="51"/>
        <v>480</v>
      </c>
      <c r="L34" s="55">
        <f t="shared" si="51"/>
        <v>19827.750899999999</v>
      </c>
      <c r="M34" s="54">
        <f t="shared" si="51"/>
        <v>1525.72154</v>
      </c>
      <c r="N34" s="18">
        <f t="shared" si="51"/>
        <v>0</v>
      </c>
      <c r="O34" s="55">
        <f t="shared" si="51"/>
        <v>1525.72154</v>
      </c>
      <c r="P34" s="59">
        <f>O34/$L34*100</f>
        <v>7.6948795034539188</v>
      </c>
      <c r="Q34" s="54">
        <f>SUM(Q35:Q47)</f>
        <v>4023.2568099999999</v>
      </c>
      <c r="R34" s="18">
        <f>SUM(R35:R47)</f>
        <v>0</v>
      </c>
      <c r="S34" s="55">
        <f>SUM(S35:S47)</f>
        <v>4023.2568099999999</v>
      </c>
      <c r="T34" s="59">
        <f t="shared" si="6"/>
        <v>20.291039716461235</v>
      </c>
      <c r="U34" s="54">
        <f>SUM(U35:U47)</f>
        <v>8509.1612299999997</v>
      </c>
      <c r="V34" s="18">
        <f>SUM(V35:V47)</f>
        <v>0</v>
      </c>
      <c r="W34" s="55">
        <f>SUM(W35:W47)</f>
        <v>8509.1612299999997</v>
      </c>
      <c r="X34" s="59">
        <f t="shared" si="8"/>
        <v>42.915413215121639</v>
      </c>
      <c r="Y34" s="54">
        <f>SUM(Y35:Y47)</f>
        <v>10390.303</v>
      </c>
      <c r="Z34" s="394">
        <f>SUM(Z35:Z47)</f>
        <v>0</v>
      </c>
      <c r="AA34" s="404">
        <f>SUM(AA35:AA47)</f>
        <v>10390.303</v>
      </c>
      <c r="AB34" s="59">
        <f t="shared" si="10"/>
        <v>52.402832032754667</v>
      </c>
      <c r="AC34" s="488">
        <f>SUM(AC35:AC47)</f>
        <v>9437.4478999999992</v>
      </c>
      <c r="AD34" s="54">
        <f>SUM(AD35:AD47)</f>
        <v>19429</v>
      </c>
      <c r="AE34" s="18">
        <f>SUM(AE35:AE47)</f>
        <v>135</v>
      </c>
      <c r="AF34" s="496">
        <f>SUM(AF35:AF47)</f>
        <v>19564</v>
      </c>
      <c r="AG34" s="55">
        <f t="shared" ref="AG34:AG40" si="52">AF34/$G34*100</f>
        <v>109.90393798101231</v>
      </c>
      <c r="AH34" s="581"/>
      <c r="AI34" s="242"/>
      <c r="AJ34" s="83"/>
    </row>
    <row r="35" spans="1:36" ht="12" customHeight="1" x14ac:dyDescent="0.2">
      <c r="A35" s="132"/>
      <c r="B35" s="28">
        <v>3111</v>
      </c>
      <c r="C35" s="28">
        <v>301</v>
      </c>
      <c r="D35" s="170" t="s">
        <v>200</v>
      </c>
      <c r="E35" s="45">
        <v>1418</v>
      </c>
      <c r="F35" s="16"/>
      <c r="G35" s="56">
        <f t="shared" ref="G35:G47" si="53">E35+F35</f>
        <v>1418</v>
      </c>
      <c r="H35" s="617">
        <f>14.08+83.721+24.4755</f>
        <v>122.2765</v>
      </c>
      <c r="I35" s="618"/>
      <c r="J35" s="45">
        <f t="shared" ref="J35:J46" si="54">E35+H35</f>
        <v>1540.2764999999999</v>
      </c>
      <c r="K35" s="28"/>
      <c r="L35" s="56">
        <f t="shared" ref="L35:L47" si="55">SUM(J35:K35)</f>
        <v>1540.2764999999999</v>
      </c>
      <c r="M35" s="45">
        <v>354.5</v>
      </c>
      <c r="N35" s="16"/>
      <c r="O35" s="56">
        <f t="shared" ref="O35:O47" si="56">M35+N35</f>
        <v>354.5</v>
      </c>
      <c r="P35" s="56">
        <f t="shared" ref="P35:P43" si="57">O35/$L35*100</f>
        <v>23.01534821832314</v>
      </c>
      <c r="Q35" s="45">
        <f>709+14.08</f>
        <v>723.08</v>
      </c>
      <c r="R35" s="16"/>
      <c r="S35" s="56">
        <f t="shared" ref="S35:S47" si="58">Q35+R35</f>
        <v>723.08</v>
      </c>
      <c r="T35" s="56">
        <f t="shared" si="6"/>
        <v>46.944818024555985</v>
      </c>
      <c r="U35" s="45">
        <f>1063.5+83.721+14.08</f>
        <v>1161.3009999999999</v>
      </c>
      <c r="V35" s="16"/>
      <c r="W35" s="56">
        <f t="shared" ref="W35:W47" si="59">U35+V35</f>
        <v>1161.3009999999999</v>
      </c>
      <c r="X35" s="56">
        <f t="shared" si="8"/>
        <v>75.39561890348908</v>
      </c>
      <c r="Y35" s="45">
        <f>1418+122.2765</f>
        <v>1540.2764999999999</v>
      </c>
      <c r="Z35" s="391"/>
      <c r="AA35" s="401">
        <f t="shared" ref="AA35:AA47" si="60">Y35+Z35</f>
        <v>1540.2764999999999</v>
      </c>
      <c r="AB35" s="56">
        <f t="shared" si="10"/>
        <v>100</v>
      </c>
      <c r="AC35" s="487">
        <f t="shared" ref="AC35:AC47" si="61">L35-AA35</f>
        <v>0</v>
      </c>
      <c r="AD35" s="45">
        <v>1462</v>
      </c>
      <c r="AE35" s="16"/>
      <c r="AF35" s="494">
        <f t="shared" ref="AF35:AF47" si="62">AD35+AE35</f>
        <v>1462</v>
      </c>
      <c r="AG35" s="56">
        <f t="shared" si="52"/>
        <v>103.10296191819464</v>
      </c>
      <c r="AH35" s="578"/>
      <c r="AI35" s="240" t="s">
        <v>193</v>
      </c>
      <c r="AJ35" s="229" t="s">
        <v>467</v>
      </c>
    </row>
    <row r="36" spans="1:36" ht="12" customHeight="1" x14ac:dyDescent="0.2">
      <c r="A36" s="132"/>
      <c r="B36" s="28">
        <v>3111</v>
      </c>
      <c r="C36" s="28">
        <v>301</v>
      </c>
      <c r="D36" s="170" t="s">
        <v>239</v>
      </c>
      <c r="E36" s="45">
        <v>231</v>
      </c>
      <c r="F36" s="16"/>
      <c r="G36" s="56">
        <f t="shared" si="53"/>
        <v>231</v>
      </c>
      <c r="H36" s="617">
        <v>28.707000000000001</v>
      </c>
      <c r="I36" s="618"/>
      <c r="J36" s="45">
        <f t="shared" si="54"/>
        <v>259.70699999999999</v>
      </c>
      <c r="K36" s="28"/>
      <c r="L36" s="56">
        <f t="shared" si="55"/>
        <v>259.70699999999999</v>
      </c>
      <c r="M36" s="45"/>
      <c r="N36" s="16"/>
      <c r="O36" s="56">
        <f t="shared" si="56"/>
        <v>0</v>
      </c>
      <c r="P36" s="56">
        <f t="shared" si="57"/>
        <v>0</v>
      </c>
      <c r="Q36" s="45">
        <v>0</v>
      </c>
      <c r="R36" s="16"/>
      <c r="S36" s="56">
        <f t="shared" si="58"/>
        <v>0</v>
      </c>
      <c r="T36" s="56">
        <f t="shared" si="6"/>
        <v>0</v>
      </c>
      <c r="U36" s="45">
        <v>259.70699999999999</v>
      </c>
      <c r="V36" s="16"/>
      <c r="W36" s="56">
        <f t="shared" si="59"/>
        <v>259.70699999999999</v>
      </c>
      <c r="X36" s="56">
        <f t="shared" si="8"/>
        <v>100</v>
      </c>
      <c r="Y36" s="45">
        <v>259.70699999999999</v>
      </c>
      <c r="Z36" s="391"/>
      <c r="AA36" s="401">
        <f t="shared" si="60"/>
        <v>259.70699999999999</v>
      </c>
      <c r="AB36" s="56">
        <f t="shared" si="10"/>
        <v>100</v>
      </c>
      <c r="AC36" s="487">
        <f t="shared" si="61"/>
        <v>0</v>
      </c>
      <c r="AD36" s="45">
        <v>338</v>
      </c>
      <c r="AE36" s="16"/>
      <c r="AF36" s="494">
        <f t="shared" si="62"/>
        <v>338</v>
      </c>
      <c r="AG36" s="56">
        <f t="shared" si="52"/>
        <v>146.32034632034632</v>
      </c>
      <c r="AH36" s="578"/>
      <c r="AI36" s="240" t="s">
        <v>193</v>
      </c>
      <c r="AJ36" s="229" t="s">
        <v>467</v>
      </c>
    </row>
    <row r="37" spans="1:36" ht="12" customHeight="1" x14ac:dyDescent="0.2">
      <c r="A37" s="132"/>
      <c r="B37" s="28">
        <v>3111</v>
      </c>
      <c r="C37" s="28" t="s">
        <v>328</v>
      </c>
      <c r="D37" s="170" t="s">
        <v>320</v>
      </c>
      <c r="E37" s="45">
        <f>5200</f>
        <v>5200</v>
      </c>
      <c r="F37" s="16"/>
      <c r="G37" s="56">
        <f t="shared" si="53"/>
        <v>5200</v>
      </c>
      <c r="H37" s="621"/>
      <c r="I37" s="618"/>
      <c r="J37" s="45">
        <f t="shared" si="54"/>
        <v>5200</v>
      </c>
      <c r="K37" s="28">
        <f>F37+I37</f>
        <v>0</v>
      </c>
      <c r="L37" s="56">
        <f t="shared" si="55"/>
        <v>5200</v>
      </c>
      <c r="M37" s="45"/>
      <c r="N37" s="16"/>
      <c r="O37" s="56">
        <f t="shared" si="56"/>
        <v>0</v>
      </c>
      <c r="P37" s="56">
        <f t="shared" si="57"/>
        <v>0</v>
      </c>
      <c r="Q37" s="45">
        <v>26.922499999999999</v>
      </c>
      <c r="R37" s="16"/>
      <c r="S37" s="56">
        <f t="shared" si="58"/>
        <v>26.922499999999999</v>
      </c>
      <c r="T37" s="56">
        <f t="shared" si="6"/>
        <v>0.51774038461538463</v>
      </c>
      <c r="U37" s="45">
        <v>26.922499999999999</v>
      </c>
      <c r="V37" s="16"/>
      <c r="W37" s="56">
        <f t="shared" si="59"/>
        <v>26.922499999999999</v>
      </c>
      <c r="X37" s="56">
        <f t="shared" si="8"/>
        <v>0.51774038461538463</v>
      </c>
      <c r="Y37" s="45">
        <v>51.424999999999997</v>
      </c>
      <c r="Z37" s="391"/>
      <c r="AA37" s="401">
        <f t="shared" si="60"/>
        <v>51.424999999999997</v>
      </c>
      <c r="AB37" s="56"/>
      <c r="AC37" s="487">
        <f t="shared" si="61"/>
        <v>5148.5749999999998</v>
      </c>
      <c r="AD37" s="45">
        <v>7650</v>
      </c>
      <c r="AE37" s="16"/>
      <c r="AF37" s="494">
        <f t="shared" si="62"/>
        <v>7650</v>
      </c>
      <c r="AG37" s="56">
        <f t="shared" si="52"/>
        <v>147.11538461538461</v>
      </c>
      <c r="AH37" s="578" t="s">
        <v>492</v>
      </c>
      <c r="AI37" s="241" t="s">
        <v>153</v>
      </c>
      <c r="AJ37" s="230" t="s">
        <v>116</v>
      </c>
    </row>
    <row r="38" spans="1:36" x14ac:dyDescent="0.2">
      <c r="A38" s="132"/>
      <c r="B38" s="28">
        <v>3113</v>
      </c>
      <c r="C38" s="28">
        <v>300</v>
      </c>
      <c r="D38" s="170" t="s">
        <v>194</v>
      </c>
      <c r="E38" s="45">
        <f>2260+140+250+1000</f>
        <v>3650</v>
      </c>
      <c r="F38" s="16"/>
      <c r="G38" s="56">
        <f t="shared" si="53"/>
        <v>3650</v>
      </c>
      <c r="H38" s="621"/>
      <c r="I38" s="618"/>
      <c r="J38" s="45">
        <f t="shared" si="54"/>
        <v>3650</v>
      </c>
      <c r="K38" s="16"/>
      <c r="L38" s="56">
        <f t="shared" si="55"/>
        <v>3650</v>
      </c>
      <c r="M38" s="45"/>
      <c r="N38" s="16"/>
      <c r="O38" s="56">
        <f t="shared" si="56"/>
        <v>0</v>
      </c>
      <c r="P38" s="56">
        <f t="shared" si="57"/>
        <v>0</v>
      </c>
      <c r="Q38" s="45">
        <v>0</v>
      </c>
      <c r="R38" s="16"/>
      <c r="S38" s="56">
        <f t="shared" si="58"/>
        <v>0</v>
      </c>
      <c r="T38" s="56">
        <f t="shared" si="6"/>
        <v>0</v>
      </c>
      <c r="U38" s="45"/>
      <c r="V38" s="16"/>
      <c r="W38" s="56">
        <f t="shared" si="59"/>
        <v>0</v>
      </c>
      <c r="X38" s="56">
        <f t="shared" si="8"/>
        <v>0</v>
      </c>
      <c r="Y38" s="45">
        <v>144.173</v>
      </c>
      <c r="Z38" s="391"/>
      <c r="AA38" s="401">
        <f t="shared" si="60"/>
        <v>144.173</v>
      </c>
      <c r="AB38" s="56">
        <f t="shared" si="10"/>
        <v>3.9499452054794522</v>
      </c>
      <c r="AC38" s="487">
        <f t="shared" si="61"/>
        <v>3505.8270000000002</v>
      </c>
      <c r="AD38" s="45">
        <v>2600</v>
      </c>
      <c r="AE38" s="16"/>
      <c r="AF38" s="494">
        <f t="shared" si="62"/>
        <v>2600</v>
      </c>
      <c r="AG38" s="56">
        <f t="shared" si="52"/>
        <v>71.232876712328761</v>
      </c>
      <c r="AH38" s="578" t="s">
        <v>374</v>
      </c>
      <c r="AI38" s="241" t="s">
        <v>153</v>
      </c>
      <c r="AJ38" s="230" t="s">
        <v>116</v>
      </c>
    </row>
    <row r="39" spans="1:36" ht="12.75" customHeight="1" x14ac:dyDescent="0.2">
      <c r="A39" s="132"/>
      <c r="B39" s="28">
        <v>3113</v>
      </c>
      <c r="C39" s="28">
        <v>303</v>
      </c>
      <c r="D39" s="170" t="s">
        <v>201</v>
      </c>
      <c r="E39" s="45">
        <v>2055</v>
      </c>
      <c r="F39" s="16"/>
      <c r="G39" s="56">
        <f t="shared" si="53"/>
        <v>2055</v>
      </c>
      <c r="H39" s="617">
        <f>723.189+29.1543+131.6521</f>
        <v>883.99540000000002</v>
      </c>
      <c r="I39" s="618"/>
      <c r="J39" s="45">
        <f t="shared" si="54"/>
        <v>2938.9953999999998</v>
      </c>
      <c r="K39" s="16"/>
      <c r="L39" s="56">
        <f t="shared" si="55"/>
        <v>2938.9953999999998</v>
      </c>
      <c r="M39" s="45">
        <v>513.75</v>
      </c>
      <c r="N39" s="16"/>
      <c r="O39" s="56">
        <f t="shared" si="56"/>
        <v>513.75</v>
      </c>
      <c r="P39" s="56">
        <f t="shared" si="57"/>
        <v>17.48046288197661</v>
      </c>
      <c r="Q39" s="45">
        <f>1027.5+752.3433</f>
        <v>1779.8433</v>
      </c>
      <c r="R39" s="16"/>
      <c r="S39" s="56">
        <f t="shared" si="58"/>
        <v>1779.8433</v>
      </c>
      <c r="T39" s="56">
        <f t="shared" si="6"/>
        <v>60.559581005128493</v>
      </c>
      <c r="U39" s="45">
        <f>1541.25+723.189+160.8064</f>
        <v>2425.2453999999998</v>
      </c>
      <c r="V39" s="16"/>
      <c r="W39" s="56">
        <f t="shared" si="59"/>
        <v>2425.2453999999998</v>
      </c>
      <c r="X39" s="56">
        <f t="shared" si="8"/>
        <v>82.519537118023393</v>
      </c>
      <c r="Y39" s="45">
        <f>2055+883.9954</f>
        <v>2938.9953999999998</v>
      </c>
      <c r="Z39" s="391"/>
      <c r="AA39" s="401">
        <f t="shared" si="60"/>
        <v>2938.9953999999998</v>
      </c>
      <c r="AB39" s="56">
        <f t="shared" si="10"/>
        <v>100</v>
      </c>
      <c r="AC39" s="487">
        <f t="shared" si="61"/>
        <v>0</v>
      </c>
      <c r="AD39" s="45">
        <v>2098</v>
      </c>
      <c r="AE39" s="16"/>
      <c r="AF39" s="494">
        <f t="shared" si="62"/>
        <v>2098</v>
      </c>
      <c r="AG39" s="56">
        <f t="shared" si="52"/>
        <v>102.09245742092456</v>
      </c>
      <c r="AH39" s="578" t="s">
        <v>339</v>
      </c>
      <c r="AI39" s="240" t="s">
        <v>193</v>
      </c>
      <c r="AJ39" s="229" t="s">
        <v>467</v>
      </c>
    </row>
    <row r="40" spans="1:36" x14ac:dyDescent="0.2">
      <c r="A40" s="132"/>
      <c r="B40" s="28">
        <v>3113</v>
      </c>
      <c r="C40" s="28">
        <v>303.30399999999997</v>
      </c>
      <c r="D40" s="170" t="s">
        <v>240</v>
      </c>
      <c r="E40" s="45">
        <f>661+540</f>
        <v>1201</v>
      </c>
      <c r="F40" s="16"/>
      <c r="G40" s="56">
        <f t="shared" si="53"/>
        <v>1201</v>
      </c>
      <c r="H40" s="617">
        <v>347.97500000000002</v>
      </c>
      <c r="I40" s="618"/>
      <c r="J40" s="45">
        <f t="shared" si="54"/>
        <v>1548.9749999999999</v>
      </c>
      <c r="K40" s="28"/>
      <c r="L40" s="56">
        <f t="shared" si="55"/>
        <v>1548.9749999999999</v>
      </c>
      <c r="M40" s="45"/>
      <c r="N40" s="16"/>
      <c r="O40" s="56">
        <f t="shared" si="56"/>
        <v>0</v>
      </c>
      <c r="P40" s="56">
        <f t="shared" si="57"/>
        <v>0</v>
      </c>
      <c r="Q40" s="45"/>
      <c r="R40" s="16"/>
      <c r="S40" s="56">
        <f t="shared" si="58"/>
        <v>0</v>
      </c>
      <c r="T40" s="56">
        <f t="shared" si="6"/>
        <v>0</v>
      </c>
      <c r="U40" s="45">
        <f>660.227+887.975</f>
        <v>1548.202</v>
      </c>
      <c r="V40" s="16"/>
      <c r="W40" s="56">
        <f t="shared" si="59"/>
        <v>1548.202</v>
      </c>
      <c r="X40" s="56">
        <f t="shared" si="8"/>
        <v>99.950096031246474</v>
      </c>
      <c r="Y40" s="45">
        <f>660.227+887.975</f>
        <v>1548.202</v>
      </c>
      <c r="Z40" s="391"/>
      <c r="AA40" s="401">
        <f t="shared" si="60"/>
        <v>1548.202</v>
      </c>
      <c r="AB40" s="56">
        <f t="shared" si="10"/>
        <v>99.950096031246474</v>
      </c>
      <c r="AC40" s="487">
        <f t="shared" si="61"/>
        <v>0.77299999999991087</v>
      </c>
      <c r="AD40" s="16">
        <f>888+660</f>
        <v>1548</v>
      </c>
      <c r="AE40" s="16"/>
      <c r="AF40" s="494">
        <f t="shared" si="62"/>
        <v>1548</v>
      </c>
      <c r="AG40" s="56">
        <f t="shared" si="52"/>
        <v>128.89258950874273</v>
      </c>
      <c r="AH40" s="578"/>
      <c r="AI40" s="240" t="s">
        <v>193</v>
      </c>
      <c r="AJ40" s="229" t="s">
        <v>467</v>
      </c>
    </row>
    <row r="41" spans="1:36" x14ac:dyDescent="0.2">
      <c r="A41" s="132"/>
      <c r="B41" s="28">
        <v>3113</v>
      </c>
      <c r="C41" s="28">
        <v>304</v>
      </c>
      <c r="D41" s="170" t="s">
        <v>202</v>
      </c>
      <c r="E41" s="45">
        <v>1355</v>
      </c>
      <c r="F41" s="16"/>
      <c r="G41" s="56">
        <f t="shared" si="53"/>
        <v>1355</v>
      </c>
      <c r="H41" s="617">
        <v>688.79700000000003</v>
      </c>
      <c r="I41" s="618"/>
      <c r="J41" s="45">
        <f t="shared" si="54"/>
        <v>2043.797</v>
      </c>
      <c r="K41" s="28">
        <f>F41+I41</f>
        <v>0</v>
      </c>
      <c r="L41" s="56">
        <f t="shared" si="55"/>
        <v>2043.797</v>
      </c>
      <c r="M41" s="45">
        <v>338.75</v>
      </c>
      <c r="N41" s="16"/>
      <c r="O41" s="56">
        <f t="shared" si="56"/>
        <v>338.75</v>
      </c>
      <c r="P41" s="56">
        <f t="shared" si="57"/>
        <v>16.57454238361246</v>
      </c>
      <c r="Q41" s="45">
        <v>677.5</v>
      </c>
      <c r="R41" s="16"/>
      <c r="S41" s="56">
        <f t="shared" si="58"/>
        <v>677.5</v>
      </c>
      <c r="T41" s="56">
        <f t="shared" si="6"/>
        <v>33.14908476722492</v>
      </c>
      <c r="U41" s="45">
        <f>1016.25+103.31956+585.47744</f>
        <v>1705.047</v>
      </c>
      <c r="V41" s="16"/>
      <c r="W41" s="56">
        <f t="shared" si="59"/>
        <v>1705.047</v>
      </c>
      <c r="X41" s="56">
        <f t="shared" si="8"/>
        <v>83.425457616387533</v>
      </c>
      <c r="Y41" s="45">
        <f>1355+688.797</f>
        <v>2043.797</v>
      </c>
      <c r="Z41" s="391"/>
      <c r="AA41" s="401">
        <f t="shared" si="60"/>
        <v>2043.797</v>
      </c>
      <c r="AB41" s="56">
        <f t="shared" si="10"/>
        <v>100</v>
      </c>
      <c r="AC41" s="487">
        <f t="shared" si="61"/>
        <v>0</v>
      </c>
      <c r="AD41" s="45">
        <v>1403</v>
      </c>
      <c r="AE41" s="16"/>
      <c r="AF41" s="494">
        <f t="shared" si="62"/>
        <v>1403</v>
      </c>
      <c r="AG41" s="56">
        <f t="shared" ref="AG41:AG49" si="63">AF41/$G41*100</f>
        <v>103.54243542435424</v>
      </c>
      <c r="AH41" s="578" t="s">
        <v>352</v>
      </c>
      <c r="AI41" s="240" t="s">
        <v>193</v>
      </c>
      <c r="AJ41" s="229" t="s">
        <v>467</v>
      </c>
    </row>
    <row r="42" spans="1:36" x14ac:dyDescent="0.2">
      <c r="A42" s="132"/>
      <c r="B42" s="28">
        <v>3113</v>
      </c>
      <c r="C42" s="28">
        <v>4169</v>
      </c>
      <c r="D42" s="170" t="s">
        <v>306</v>
      </c>
      <c r="E42" s="45">
        <v>109</v>
      </c>
      <c r="F42" s="16"/>
      <c r="G42" s="56">
        <f t="shared" si="53"/>
        <v>109</v>
      </c>
      <c r="H42" s="617"/>
      <c r="I42" s="618"/>
      <c r="J42" s="45">
        <f t="shared" si="54"/>
        <v>109</v>
      </c>
      <c r="K42" s="28">
        <f>F42+I42</f>
        <v>0</v>
      </c>
      <c r="L42" s="56">
        <f t="shared" si="55"/>
        <v>109</v>
      </c>
      <c r="M42" s="45">
        <v>5.9889000000000001</v>
      </c>
      <c r="N42" s="16"/>
      <c r="O42" s="56">
        <f t="shared" si="56"/>
        <v>5.9889000000000001</v>
      </c>
      <c r="P42" s="56">
        <f t="shared" si="57"/>
        <v>5.4944036697247709</v>
      </c>
      <c r="Q42" s="45">
        <v>10.200010000000001</v>
      </c>
      <c r="R42" s="16"/>
      <c r="S42" s="56">
        <f t="shared" si="58"/>
        <v>10.200010000000001</v>
      </c>
      <c r="T42" s="56">
        <f t="shared" si="6"/>
        <v>9.3578073394495416</v>
      </c>
      <c r="U42" s="45">
        <v>15.20445</v>
      </c>
      <c r="V42" s="16"/>
      <c r="W42" s="56">
        <f t="shared" si="59"/>
        <v>15.20445</v>
      </c>
      <c r="X42" s="56">
        <f t="shared" si="8"/>
        <v>13.949036697247704</v>
      </c>
      <c r="Y42" s="45">
        <v>28.22167</v>
      </c>
      <c r="Z42" s="391"/>
      <c r="AA42" s="401">
        <f t="shared" si="60"/>
        <v>28.22167</v>
      </c>
      <c r="AB42" s="56">
        <f t="shared" si="10"/>
        <v>25.891440366972478</v>
      </c>
      <c r="AC42" s="487">
        <f t="shared" si="61"/>
        <v>80.778329999999997</v>
      </c>
      <c r="AD42" s="45">
        <v>3</v>
      </c>
      <c r="AE42" s="16"/>
      <c r="AF42" s="494">
        <f t="shared" si="62"/>
        <v>3</v>
      </c>
      <c r="AG42" s="56">
        <f t="shared" si="63"/>
        <v>2.7522935779816518</v>
      </c>
      <c r="AH42" s="578" t="s">
        <v>493</v>
      </c>
      <c r="AI42" s="241" t="s">
        <v>353</v>
      </c>
      <c r="AJ42" s="230" t="s">
        <v>116</v>
      </c>
    </row>
    <row r="43" spans="1:36" x14ac:dyDescent="0.2">
      <c r="A43" s="132"/>
      <c r="B43" s="28">
        <v>3113</v>
      </c>
      <c r="C43" s="28">
        <v>319</v>
      </c>
      <c r="D43" s="170" t="s">
        <v>347</v>
      </c>
      <c r="E43" s="45"/>
      <c r="F43" s="16">
        <v>400</v>
      </c>
      <c r="G43" s="56">
        <f t="shared" si="53"/>
        <v>400</v>
      </c>
      <c r="H43" s="617"/>
      <c r="I43" s="618"/>
      <c r="J43" s="45">
        <f t="shared" si="54"/>
        <v>0</v>
      </c>
      <c r="K43" s="28">
        <f t="shared" ref="K43:K44" si="64">F43+I43</f>
        <v>400</v>
      </c>
      <c r="L43" s="56">
        <f t="shared" si="55"/>
        <v>400</v>
      </c>
      <c r="M43" s="45"/>
      <c r="N43" s="16"/>
      <c r="O43" s="56">
        <f t="shared" si="56"/>
        <v>0</v>
      </c>
      <c r="P43" s="56">
        <f t="shared" si="57"/>
        <v>0</v>
      </c>
      <c r="Q43" s="45"/>
      <c r="R43" s="16"/>
      <c r="S43" s="56">
        <f t="shared" si="58"/>
        <v>0</v>
      </c>
      <c r="T43" s="56">
        <f t="shared" si="6"/>
        <v>0</v>
      </c>
      <c r="U43" s="45"/>
      <c r="V43" s="16">
        <v>0</v>
      </c>
      <c r="W43" s="56">
        <f t="shared" si="59"/>
        <v>0</v>
      </c>
      <c r="X43" s="56">
        <f t="shared" si="8"/>
        <v>0</v>
      </c>
      <c r="Y43" s="45"/>
      <c r="Z43" s="391"/>
      <c r="AA43" s="401">
        <f t="shared" si="60"/>
        <v>0</v>
      </c>
      <c r="AB43" s="56">
        <f t="shared" si="10"/>
        <v>0</v>
      </c>
      <c r="AC43" s="487">
        <f t="shared" si="61"/>
        <v>400</v>
      </c>
      <c r="AD43" s="45">
        <v>0</v>
      </c>
      <c r="AE43" s="16"/>
      <c r="AF43" s="494">
        <f t="shared" si="62"/>
        <v>0</v>
      </c>
      <c r="AG43" s="56">
        <f t="shared" si="63"/>
        <v>0</v>
      </c>
      <c r="AH43" s="578"/>
      <c r="AI43" s="241" t="s">
        <v>353</v>
      </c>
      <c r="AJ43" s="230" t="s">
        <v>116</v>
      </c>
    </row>
    <row r="44" spans="1:36" x14ac:dyDescent="0.2">
      <c r="A44" s="132"/>
      <c r="B44" s="28">
        <v>3119</v>
      </c>
      <c r="C44" s="28">
        <v>1112</v>
      </c>
      <c r="D44" s="170" t="s">
        <v>252</v>
      </c>
      <c r="E44" s="45">
        <v>145</v>
      </c>
      <c r="F44" s="16"/>
      <c r="G44" s="56">
        <f t="shared" si="53"/>
        <v>145</v>
      </c>
      <c r="H44" s="621">
        <v>-45</v>
      </c>
      <c r="I44" s="618"/>
      <c r="J44" s="45">
        <f t="shared" si="54"/>
        <v>100</v>
      </c>
      <c r="K44" s="28">
        <f t="shared" si="64"/>
        <v>0</v>
      </c>
      <c r="L44" s="56">
        <f t="shared" si="55"/>
        <v>100</v>
      </c>
      <c r="M44" s="45"/>
      <c r="N44" s="16"/>
      <c r="O44" s="56">
        <f t="shared" si="56"/>
        <v>0</v>
      </c>
      <c r="P44" s="56">
        <f t="shared" ref="P44:P52" si="65">O44/$L44*100</f>
        <v>0</v>
      </c>
      <c r="Q44" s="45">
        <v>40</v>
      </c>
      <c r="R44" s="16"/>
      <c r="S44" s="56">
        <f t="shared" si="58"/>
        <v>40</v>
      </c>
      <c r="T44" s="56">
        <f t="shared" si="6"/>
        <v>40</v>
      </c>
      <c r="U44" s="45">
        <v>80</v>
      </c>
      <c r="V44" s="16"/>
      <c r="W44" s="56">
        <f t="shared" si="59"/>
        <v>80</v>
      </c>
      <c r="X44" s="56">
        <f t="shared" si="8"/>
        <v>80</v>
      </c>
      <c r="Y44" s="45">
        <v>80</v>
      </c>
      <c r="Z44" s="391"/>
      <c r="AA44" s="401">
        <f t="shared" si="60"/>
        <v>80</v>
      </c>
      <c r="AB44" s="56">
        <f t="shared" si="10"/>
        <v>80</v>
      </c>
      <c r="AC44" s="487">
        <f t="shared" si="61"/>
        <v>20</v>
      </c>
      <c r="AD44" s="45">
        <v>160</v>
      </c>
      <c r="AE44" s="16"/>
      <c r="AF44" s="494">
        <f t="shared" si="62"/>
        <v>160</v>
      </c>
      <c r="AG44" s="56">
        <f t="shared" si="63"/>
        <v>110.34482758620689</v>
      </c>
      <c r="AH44" s="578" t="s">
        <v>408</v>
      </c>
      <c r="AI44" s="240" t="s">
        <v>193</v>
      </c>
      <c r="AJ44" s="229" t="s">
        <v>467</v>
      </c>
    </row>
    <row r="45" spans="1:36" x14ac:dyDescent="0.2">
      <c r="A45" s="132"/>
      <c r="B45" s="28">
        <v>3141</v>
      </c>
      <c r="C45" s="28">
        <v>309</v>
      </c>
      <c r="D45" s="170" t="s">
        <v>260</v>
      </c>
      <c r="E45" s="45">
        <v>1589</v>
      </c>
      <c r="F45" s="16">
        <v>135</v>
      </c>
      <c r="G45" s="56">
        <f t="shared" si="53"/>
        <v>1724</v>
      </c>
      <c r="H45" s="621">
        <v>55</v>
      </c>
      <c r="I45" s="618">
        <v>-55</v>
      </c>
      <c r="J45" s="45">
        <f t="shared" si="54"/>
        <v>1644</v>
      </c>
      <c r="K45" s="28">
        <f>F45+I45</f>
        <v>80</v>
      </c>
      <c r="L45" s="56">
        <f t="shared" si="55"/>
        <v>1724</v>
      </c>
      <c r="M45" s="45">
        <v>250.98264</v>
      </c>
      <c r="N45" s="16"/>
      <c r="O45" s="56">
        <f t="shared" si="56"/>
        <v>250.98264</v>
      </c>
      <c r="P45" s="56">
        <f t="shared" si="65"/>
        <v>14.55815777262181</v>
      </c>
      <c r="Q45" s="45">
        <v>642.21100000000001</v>
      </c>
      <c r="R45" s="16"/>
      <c r="S45" s="56">
        <f t="shared" si="58"/>
        <v>642.21100000000001</v>
      </c>
      <c r="T45" s="56">
        <f t="shared" si="6"/>
        <v>37.251218097447797</v>
      </c>
      <c r="U45" s="45">
        <v>1036.0248799999999</v>
      </c>
      <c r="V45" s="16"/>
      <c r="W45" s="56">
        <f t="shared" si="59"/>
        <v>1036.0248799999999</v>
      </c>
      <c r="X45" s="56">
        <f t="shared" si="8"/>
        <v>60.094250580046406</v>
      </c>
      <c r="Y45" s="45">
        <v>1442.2484300000001</v>
      </c>
      <c r="Z45" s="391"/>
      <c r="AA45" s="401">
        <f t="shared" si="60"/>
        <v>1442.2484300000001</v>
      </c>
      <c r="AB45" s="56">
        <f t="shared" si="10"/>
        <v>83.657101508120661</v>
      </c>
      <c r="AC45" s="487">
        <f t="shared" si="61"/>
        <v>281.7515699999999</v>
      </c>
      <c r="AD45" s="45">
        <v>1847</v>
      </c>
      <c r="AE45" s="16">
        <v>135</v>
      </c>
      <c r="AF45" s="494">
        <f t="shared" si="62"/>
        <v>1982</v>
      </c>
      <c r="AG45" s="56">
        <f t="shared" si="63"/>
        <v>114.96519721577727</v>
      </c>
      <c r="AH45" s="578"/>
      <c r="AI45" s="240" t="s">
        <v>193</v>
      </c>
      <c r="AJ45" s="234" t="s">
        <v>281</v>
      </c>
    </row>
    <row r="46" spans="1:36" x14ac:dyDescent="0.2">
      <c r="A46" s="132"/>
      <c r="B46" s="28">
        <v>3231</v>
      </c>
      <c r="C46" s="28">
        <v>310</v>
      </c>
      <c r="D46" s="170" t="s">
        <v>304</v>
      </c>
      <c r="E46" s="45">
        <v>247</v>
      </c>
      <c r="F46" s="16"/>
      <c r="G46" s="56">
        <f t="shared" si="53"/>
        <v>247</v>
      </c>
      <c r="H46" s="617"/>
      <c r="I46" s="618"/>
      <c r="J46" s="45">
        <f t="shared" si="54"/>
        <v>247</v>
      </c>
      <c r="K46" s="28">
        <f>F46+I46</f>
        <v>0</v>
      </c>
      <c r="L46" s="56">
        <f t="shared" si="55"/>
        <v>247</v>
      </c>
      <c r="M46" s="45">
        <v>61.75</v>
      </c>
      <c r="N46" s="16"/>
      <c r="O46" s="56">
        <f t="shared" si="56"/>
        <v>61.75</v>
      </c>
      <c r="P46" s="56">
        <f t="shared" si="65"/>
        <v>25</v>
      </c>
      <c r="Q46" s="45">
        <v>123.5</v>
      </c>
      <c r="R46" s="16"/>
      <c r="S46" s="56">
        <f t="shared" si="58"/>
        <v>123.5</v>
      </c>
      <c r="T46" s="56">
        <f t="shared" si="6"/>
        <v>50</v>
      </c>
      <c r="U46" s="45">
        <v>185.25</v>
      </c>
      <c r="V46" s="16"/>
      <c r="W46" s="56">
        <f t="shared" si="59"/>
        <v>185.25</v>
      </c>
      <c r="X46" s="56">
        <f t="shared" si="8"/>
        <v>75</v>
      </c>
      <c r="Y46" s="45">
        <v>247</v>
      </c>
      <c r="Z46" s="391"/>
      <c r="AA46" s="401">
        <f t="shared" si="60"/>
        <v>247</v>
      </c>
      <c r="AB46" s="56">
        <f t="shared" si="10"/>
        <v>100</v>
      </c>
      <c r="AC46" s="487">
        <f t="shared" si="61"/>
        <v>0</v>
      </c>
      <c r="AD46" s="45">
        <v>254</v>
      </c>
      <c r="AE46" s="16"/>
      <c r="AF46" s="494">
        <f t="shared" si="62"/>
        <v>254</v>
      </c>
      <c r="AG46" s="56">
        <f t="shared" si="63"/>
        <v>102.83400809716599</v>
      </c>
      <c r="AH46" s="578"/>
      <c r="AI46" s="240" t="s">
        <v>193</v>
      </c>
      <c r="AJ46" s="229" t="s">
        <v>467</v>
      </c>
    </row>
    <row r="47" spans="1:36" x14ac:dyDescent="0.2">
      <c r="A47" s="134"/>
      <c r="B47" s="34">
        <v>3231</v>
      </c>
      <c r="C47" s="34">
        <v>310</v>
      </c>
      <c r="D47" s="297" t="s">
        <v>241</v>
      </c>
      <c r="E47" s="60">
        <v>66</v>
      </c>
      <c r="F47" s="63"/>
      <c r="G47" s="62">
        <f t="shared" si="53"/>
        <v>66</v>
      </c>
      <c r="H47" s="626"/>
      <c r="I47" s="623"/>
      <c r="J47" s="60">
        <f>E47+H47</f>
        <v>66</v>
      </c>
      <c r="K47" s="34">
        <f>F47+I47</f>
        <v>0</v>
      </c>
      <c r="L47" s="62">
        <f t="shared" si="55"/>
        <v>66</v>
      </c>
      <c r="M47" s="60"/>
      <c r="N47" s="63"/>
      <c r="O47" s="62">
        <f t="shared" si="56"/>
        <v>0</v>
      </c>
      <c r="P47" s="62">
        <f t="shared" si="65"/>
        <v>0</v>
      </c>
      <c r="Q47" s="60">
        <v>0</v>
      </c>
      <c r="R47" s="63"/>
      <c r="S47" s="62">
        <f t="shared" si="58"/>
        <v>0</v>
      </c>
      <c r="T47" s="62">
        <f t="shared" si="6"/>
        <v>0</v>
      </c>
      <c r="U47" s="60">
        <v>66.257000000000005</v>
      </c>
      <c r="V47" s="63"/>
      <c r="W47" s="62">
        <f t="shared" si="59"/>
        <v>66.257000000000005</v>
      </c>
      <c r="X47" s="62">
        <f t="shared" si="8"/>
        <v>100.38939393939394</v>
      </c>
      <c r="Y47" s="60">
        <v>66.257000000000005</v>
      </c>
      <c r="Z47" s="393"/>
      <c r="AA47" s="403">
        <f t="shared" si="60"/>
        <v>66.257000000000005</v>
      </c>
      <c r="AB47" s="62">
        <f t="shared" si="10"/>
        <v>100.38939393939394</v>
      </c>
      <c r="AC47" s="487">
        <f t="shared" si="61"/>
        <v>-0.257000000000005</v>
      </c>
      <c r="AD47" s="60">
        <v>66</v>
      </c>
      <c r="AE47" s="63"/>
      <c r="AF47" s="497">
        <f t="shared" si="62"/>
        <v>66</v>
      </c>
      <c r="AG47" s="62">
        <f t="shared" si="63"/>
        <v>100</v>
      </c>
      <c r="AH47" s="580"/>
      <c r="AI47" s="304" t="s">
        <v>193</v>
      </c>
      <c r="AJ47" s="233" t="s">
        <v>467</v>
      </c>
    </row>
    <row r="48" spans="1:36" x14ac:dyDescent="0.2">
      <c r="A48" s="88">
        <v>33</v>
      </c>
      <c r="B48" s="31">
        <v>3300</v>
      </c>
      <c r="C48" s="31"/>
      <c r="D48" s="288" t="s">
        <v>71</v>
      </c>
      <c r="E48" s="54">
        <f t="shared" ref="E48:O48" si="66">SUM(E49:E60)</f>
        <v>10968</v>
      </c>
      <c r="F48" s="18">
        <f t="shared" si="66"/>
        <v>0</v>
      </c>
      <c r="G48" s="55">
        <f t="shared" si="66"/>
        <v>10968</v>
      </c>
      <c r="H48" s="624">
        <f t="shared" si="66"/>
        <v>557.55214999999998</v>
      </c>
      <c r="I48" s="625">
        <f t="shared" si="66"/>
        <v>88</v>
      </c>
      <c r="J48" s="54">
        <f t="shared" si="66"/>
        <v>11525.55215</v>
      </c>
      <c r="K48" s="18">
        <f t="shared" si="66"/>
        <v>0</v>
      </c>
      <c r="L48" s="55">
        <f t="shared" si="66"/>
        <v>11525.55215</v>
      </c>
      <c r="M48" s="54">
        <f t="shared" si="66"/>
        <v>1715.8533299999999</v>
      </c>
      <c r="N48" s="18">
        <f t="shared" si="66"/>
        <v>0</v>
      </c>
      <c r="O48" s="55">
        <f t="shared" si="66"/>
        <v>1715.8533299999999</v>
      </c>
      <c r="P48" s="55">
        <f t="shared" si="65"/>
        <v>14.887385069877107</v>
      </c>
      <c r="Q48" s="54">
        <f>SUM(Q49:Q60)</f>
        <v>3521.3035000000004</v>
      </c>
      <c r="R48" s="18">
        <f>SUM(R49:R60)</f>
        <v>0</v>
      </c>
      <c r="S48" s="55">
        <f>SUM(S49:S60)</f>
        <v>3521.3035000000004</v>
      </c>
      <c r="T48" s="55">
        <f t="shared" si="6"/>
        <v>30.552145824961631</v>
      </c>
      <c r="U48" s="54">
        <f>SUM(U49:U60)</f>
        <v>8101.7357200000006</v>
      </c>
      <c r="V48" s="18">
        <f>SUM(V49:V60)</f>
        <v>0</v>
      </c>
      <c r="W48" s="55">
        <f>SUM(W49:W60)</f>
        <v>8101.7357200000006</v>
      </c>
      <c r="X48" s="55">
        <f t="shared" si="8"/>
        <v>70.29368844598045</v>
      </c>
      <c r="Y48" s="54">
        <f>SUM(Y49:Y60)</f>
        <v>11164.80665</v>
      </c>
      <c r="Z48" s="394">
        <f>SUM(Z49:Z60)</f>
        <v>87.567700000000002</v>
      </c>
      <c r="AA48" s="404">
        <f>SUM(AA49:AA60)</f>
        <v>11252.37435</v>
      </c>
      <c r="AB48" s="55">
        <f t="shared" si="10"/>
        <v>97.629807262639474</v>
      </c>
      <c r="AC48" s="488">
        <f>SUM(AC49:AC60)</f>
        <v>273.17779999999976</v>
      </c>
      <c r="AD48" s="54">
        <f>SUM(AD49:AD60)</f>
        <v>13735</v>
      </c>
      <c r="AE48" s="18">
        <f>SUM(AE49:AE60)</f>
        <v>0</v>
      </c>
      <c r="AF48" s="496">
        <f>SUM(AF49:AF60)</f>
        <v>13735</v>
      </c>
      <c r="AG48" s="55">
        <f t="shared" si="63"/>
        <v>125.22793581327498</v>
      </c>
      <c r="AH48" s="581"/>
      <c r="AI48" s="242"/>
      <c r="AJ48" s="83"/>
    </row>
    <row r="49" spans="1:174" x14ac:dyDescent="0.2">
      <c r="A49" s="132"/>
      <c r="B49" s="28">
        <v>3314</v>
      </c>
      <c r="C49" s="28">
        <v>504</v>
      </c>
      <c r="D49" s="170" t="s">
        <v>115</v>
      </c>
      <c r="E49" s="45">
        <f>342+1376</f>
        <v>1718</v>
      </c>
      <c r="F49" s="16"/>
      <c r="G49" s="56">
        <f>E49+F49</f>
        <v>1718</v>
      </c>
      <c r="H49" s="621"/>
      <c r="I49" s="618"/>
      <c r="J49" s="45">
        <f t="shared" ref="J49:J60" si="67">E49+H49</f>
        <v>1718</v>
      </c>
      <c r="K49" s="28">
        <f>F49+I49</f>
        <v>0</v>
      </c>
      <c r="L49" s="56">
        <f>SUM(J49:K49)</f>
        <v>1718</v>
      </c>
      <c r="M49" s="45">
        <v>333.91428999999999</v>
      </c>
      <c r="N49" s="16"/>
      <c r="O49" s="56">
        <f>M49+N49</f>
        <v>333.91428999999999</v>
      </c>
      <c r="P49" s="56">
        <f t="shared" si="65"/>
        <v>19.436221769499419</v>
      </c>
      <c r="Q49" s="45">
        <v>709.71348</v>
      </c>
      <c r="R49" s="16"/>
      <c r="S49" s="56">
        <f>Q49+R49</f>
        <v>709.71348</v>
      </c>
      <c r="T49" s="56">
        <f t="shared" si="6"/>
        <v>41.310447031431899</v>
      </c>
      <c r="U49" s="45">
        <v>1052.1741300000001</v>
      </c>
      <c r="V49" s="16"/>
      <c r="W49" s="56">
        <f>U49+V49</f>
        <v>1052.1741300000001</v>
      </c>
      <c r="X49" s="56">
        <f t="shared" si="8"/>
        <v>61.244128637951114</v>
      </c>
      <c r="Y49" s="45">
        <v>1544.14294</v>
      </c>
      <c r="Z49" s="391"/>
      <c r="AA49" s="401">
        <f>Y49+Z49</f>
        <v>1544.14294</v>
      </c>
      <c r="AB49" s="56">
        <f t="shared" si="10"/>
        <v>89.880264260768328</v>
      </c>
      <c r="AC49" s="487">
        <f t="shared" ref="AC49:AC60" si="68">L49-AA49</f>
        <v>173.85706000000005</v>
      </c>
      <c r="AD49" s="45">
        <v>0</v>
      </c>
      <c r="AE49" s="16"/>
      <c r="AF49" s="494">
        <f>AD49+AE49</f>
        <v>0</v>
      </c>
      <c r="AG49" s="56">
        <f t="shared" si="63"/>
        <v>0</v>
      </c>
      <c r="AH49" s="578" t="s">
        <v>457</v>
      </c>
      <c r="AI49" s="61" t="s">
        <v>262</v>
      </c>
      <c r="AJ49" s="56" t="s">
        <v>126</v>
      </c>
    </row>
    <row r="50" spans="1:174" x14ac:dyDescent="0.2">
      <c r="A50" s="132"/>
      <c r="B50" s="28">
        <v>3315</v>
      </c>
      <c r="C50" s="28">
        <v>505</v>
      </c>
      <c r="D50" s="170" t="s">
        <v>250</v>
      </c>
      <c r="E50" s="45">
        <v>1285</v>
      </c>
      <c r="F50" s="16"/>
      <c r="G50" s="56">
        <f t="shared" ref="G50:G57" si="69">E50+F50</f>
        <v>1285</v>
      </c>
      <c r="H50" s="621"/>
      <c r="I50" s="618"/>
      <c r="J50" s="45">
        <f t="shared" si="67"/>
        <v>1285</v>
      </c>
      <c r="K50" s="16"/>
      <c r="L50" s="56">
        <f t="shared" ref="L50:L57" si="70">SUM(J50:K50)</f>
        <v>1285</v>
      </c>
      <c r="M50" s="45">
        <v>400</v>
      </c>
      <c r="N50" s="16"/>
      <c r="O50" s="56">
        <f t="shared" ref="O50:O57" si="71">M50+N50</f>
        <v>400</v>
      </c>
      <c r="P50" s="56">
        <f t="shared" si="65"/>
        <v>31.1284046692607</v>
      </c>
      <c r="Q50" s="45">
        <v>400</v>
      </c>
      <c r="R50" s="16"/>
      <c r="S50" s="56">
        <f t="shared" ref="S50:S57" si="72">Q50+R50</f>
        <v>400</v>
      </c>
      <c r="T50" s="56">
        <f t="shared" ref="T50:T57" si="73">S50/$L50*100</f>
        <v>31.1284046692607</v>
      </c>
      <c r="U50" s="45">
        <v>1285</v>
      </c>
      <c r="V50" s="16"/>
      <c r="W50" s="56">
        <f t="shared" ref="W50:W57" si="74">U50+V50</f>
        <v>1285</v>
      </c>
      <c r="X50" s="56">
        <f>W50/$L50*100</f>
        <v>100</v>
      </c>
      <c r="Y50" s="45">
        <v>1285</v>
      </c>
      <c r="Z50" s="391"/>
      <c r="AA50" s="401">
        <f t="shared" ref="AA50:AA57" si="75">Y50+Z50</f>
        <v>1285</v>
      </c>
      <c r="AB50" s="56">
        <f t="shared" ref="AB50:AB57" si="76">AA50/$L50*100</f>
        <v>100</v>
      </c>
      <c r="AC50" s="487">
        <f t="shared" si="68"/>
        <v>0</v>
      </c>
      <c r="AD50" s="45">
        <v>1285</v>
      </c>
      <c r="AE50" s="16"/>
      <c r="AF50" s="494">
        <f t="shared" ref="AF50:AF59" si="77">AD50+AE50</f>
        <v>1285</v>
      </c>
      <c r="AG50" s="56">
        <f t="shared" ref="AG50:AG57" si="78">AF50/$G50*100</f>
        <v>100</v>
      </c>
      <c r="AH50" s="578" t="s">
        <v>348</v>
      </c>
      <c r="AI50" s="240" t="s">
        <v>193</v>
      </c>
      <c r="AJ50" s="229" t="s">
        <v>467</v>
      </c>
    </row>
    <row r="51" spans="1:174" ht="12.75" customHeight="1" x14ac:dyDescent="0.2">
      <c r="A51" s="132"/>
      <c r="B51" s="28">
        <v>3319</v>
      </c>
      <c r="C51" s="422">
        <v>5110</v>
      </c>
      <c r="D51" s="170" t="s">
        <v>324</v>
      </c>
      <c r="E51" s="45">
        <v>40</v>
      </c>
      <c r="F51" s="16"/>
      <c r="G51" s="56">
        <f t="shared" si="69"/>
        <v>40</v>
      </c>
      <c r="H51" s="627"/>
      <c r="I51" s="628"/>
      <c r="J51" s="45">
        <f t="shared" si="67"/>
        <v>40</v>
      </c>
      <c r="K51" s="16"/>
      <c r="L51" s="56">
        <f t="shared" si="70"/>
        <v>40</v>
      </c>
      <c r="M51" s="45">
        <v>40</v>
      </c>
      <c r="N51" s="16"/>
      <c r="O51" s="56">
        <f t="shared" si="71"/>
        <v>40</v>
      </c>
      <c r="P51" s="56">
        <f t="shared" si="65"/>
        <v>100</v>
      </c>
      <c r="Q51" s="45">
        <v>40</v>
      </c>
      <c r="R51" s="16"/>
      <c r="S51" s="56">
        <f t="shared" si="72"/>
        <v>40</v>
      </c>
      <c r="T51" s="56">
        <f t="shared" si="73"/>
        <v>100</v>
      </c>
      <c r="U51" s="45">
        <v>40</v>
      </c>
      <c r="V51" s="16"/>
      <c r="W51" s="56">
        <f t="shared" si="74"/>
        <v>40</v>
      </c>
      <c r="X51" s="56">
        <f>W51/$L51*100</f>
        <v>100</v>
      </c>
      <c r="Y51" s="45">
        <v>40</v>
      </c>
      <c r="Z51" s="391"/>
      <c r="AA51" s="401">
        <f t="shared" si="75"/>
        <v>40</v>
      </c>
      <c r="AB51" s="56">
        <f t="shared" si="76"/>
        <v>100</v>
      </c>
      <c r="AC51" s="487">
        <f t="shared" si="68"/>
        <v>0</v>
      </c>
      <c r="AD51" s="45">
        <v>40</v>
      </c>
      <c r="AE51" s="16"/>
      <c r="AF51" s="494">
        <f t="shared" si="77"/>
        <v>40</v>
      </c>
      <c r="AG51" s="56">
        <f t="shared" si="78"/>
        <v>100</v>
      </c>
      <c r="AH51" s="578" t="s">
        <v>340</v>
      </c>
      <c r="AI51" s="240" t="s">
        <v>193</v>
      </c>
      <c r="AJ51" s="229" t="s">
        <v>467</v>
      </c>
    </row>
    <row r="52" spans="1:174" ht="12.75" customHeight="1" x14ac:dyDescent="0.2">
      <c r="A52" s="132"/>
      <c r="B52" s="28">
        <v>3319</v>
      </c>
      <c r="C52" s="28">
        <v>112</v>
      </c>
      <c r="D52" s="170" t="s">
        <v>323</v>
      </c>
      <c r="E52" s="45">
        <v>241</v>
      </c>
      <c r="F52" s="16"/>
      <c r="G52" s="56">
        <f t="shared" si="69"/>
        <v>241</v>
      </c>
      <c r="H52" s="627"/>
      <c r="I52" s="628"/>
      <c r="J52" s="45">
        <f t="shared" si="67"/>
        <v>241</v>
      </c>
      <c r="K52" s="16"/>
      <c r="L52" s="56">
        <f t="shared" si="70"/>
        <v>241</v>
      </c>
      <c r="M52" s="45"/>
      <c r="N52" s="16"/>
      <c r="O52" s="56">
        <f t="shared" si="71"/>
        <v>0</v>
      </c>
      <c r="P52" s="56">
        <f t="shared" si="65"/>
        <v>0</v>
      </c>
      <c r="Q52" s="45">
        <v>240</v>
      </c>
      <c r="R52" s="16"/>
      <c r="S52" s="56">
        <f t="shared" si="72"/>
        <v>240</v>
      </c>
      <c r="T52" s="56">
        <f t="shared" si="73"/>
        <v>99.585062240663902</v>
      </c>
      <c r="U52" s="45">
        <v>240</v>
      </c>
      <c r="V52" s="16"/>
      <c r="W52" s="56">
        <f t="shared" si="74"/>
        <v>240</v>
      </c>
      <c r="X52" s="56">
        <f>W52/$L52*100</f>
        <v>99.585062240663902</v>
      </c>
      <c r="Y52" s="45">
        <v>240</v>
      </c>
      <c r="Z52" s="391"/>
      <c r="AA52" s="401">
        <f t="shared" si="75"/>
        <v>240</v>
      </c>
      <c r="AB52" s="56">
        <f t="shared" si="76"/>
        <v>99.585062240663902</v>
      </c>
      <c r="AC52" s="487">
        <f t="shared" si="68"/>
        <v>1</v>
      </c>
      <c r="AD52" s="45">
        <v>248</v>
      </c>
      <c r="AE52" s="16"/>
      <c r="AF52" s="494">
        <f t="shared" si="77"/>
        <v>248</v>
      </c>
      <c r="AG52" s="56">
        <f t="shared" si="78"/>
        <v>102.90456431535269</v>
      </c>
      <c r="AH52" s="578" t="s">
        <v>458</v>
      </c>
      <c r="AI52" s="240" t="s">
        <v>321</v>
      </c>
      <c r="AJ52" s="229" t="s">
        <v>467</v>
      </c>
    </row>
    <row r="53" spans="1:174" x14ac:dyDescent="0.2">
      <c r="A53" s="132"/>
      <c r="B53" s="28">
        <v>3322.3326000000002</v>
      </c>
      <c r="C53" s="28" t="s">
        <v>244</v>
      </c>
      <c r="D53" s="170" t="s">
        <v>139</v>
      </c>
      <c r="E53" s="45">
        <f>2450+30+270+200</f>
        <v>2950</v>
      </c>
      <c r="F53" s="16"/>
      <c r="G53" s="56">
        <f t="shared" si="69"/>
        <v>2950</v>
      </c>
      <c r="H53" s="617">
        <f>555-225+300-88</f>
        <v>542</v>
      </c>
      <c r="I53" s="618">
        <v>88</v>
      </c>
      <c r="J53" s="45">
        <f t="shared" si="67"/>
        <v>3492</v>
      </c>
      <c r="K53" s="16"/>
      <c r="L53" s="56">
        <f t="shared" si="70"/>
        <v>3492</v>
      </c>
      <c r="M53" s="45"/>
      <c r="N53" s="16"/>
      <c r="O53" s="56">
        <f t="shared" si="71"/>
        <v>0</v>
      </c>
      <c r="P53" s="56">
        <f>O53/$L53*100</f>
        <v>0</v>
      </c>
      <c r="Q53" s="45">
        <v>200.63614999999999</v>
      </c>
      <c r="R53" s="16"/>
      <c r="S53" s="56">
        <f t="shared" si="72"/>
        <v>200.63614999999999</v>
      </c>
      <c r="T53" s="56">
        <f t="shared" si="73"/>
        <v>5.7455942153493691</v>
      </c>
      <c r="U53" s="45">
        <v>1959.3638000000001</v>
      </c>
      <c r="V53" s="16"/>
      <c r="W53" s="56">
        <f t="shared" si="74"/>
        <v>1959.3638000000001</v>
      </c>
      <c r="X53" s="56">
        <f t="shared" ref="X53:X57" si="79">W53/$L53*100</f>
        <v>56.110074455899209</v>
      </c>
      <c r="Y53" s="45">
        <v>3474.28</v>
      </c>
      <c r="Z53" s="391">
        <v>87.567700000000002</v>
      </c>
      <c r="AA53" s="401">
        <f t="shared" si="75"/>
        <v>3561.8477000000003</v>
      </c>
      <c r="AB53" s="56">
        <f t="shared" si="76"/>
        <v>102.00022050400916</v>
      </c>
      <c r="AC53" s="487">
        <f t="shared" si="68"/>
        <v>-69.847700000000259</v>
      </c>
      <c r="AD53" s="45">
        <v>3038</v>
      </c>
      <c r="AE53" s="16"/>
      <c r="AF53" s="494">
        <f t="shared" si="77"/>
        <v>3038</v>
      </c>
      <c r="AG53" s="56">
        <f t="shared" si="78"/>
        <v>102.98305084745762</v>
      </c>
      <c r="AH53" s="578"/>
      <c r="AI53" s="243" t="s">
        <v>308</v>
      </c>
      <c r="AJ53" s="230" t="s">
        <v>116</v>
      </c>
    </row>
    <row r="54" spans="1:174" x14ac:dyDescent="0.2">
      <c r="A54" s="132"/>
      <c r="B54" s="28">
        <v>3326</v>
      </c>
      <c r="C54" s="28">
        <v>103</v>
      </c>
      <c r="D54" s="170" t="s">
        <v>230</v>
      </c>
      <c r="E54" s="45">
        <v>50</v>
      </c>
      <c r="F54" s="16"/>
      <c r="G54" s="56">
        <f t="shared" si="69"/>
        <v>50</v>
      </c>
      <c r="H54" s="621"/>
      <c r="I54" s="618"/>
      <c r="J54" s="45">
        <f t="shared" si="67"/>
        <v>50</v>
      </c>
      <c r="K54" s="16"/>
      <c r="L54" s="56">
        <f t="shared" si="70"/>
        <v>50</v>
      </c>
      <c r="M54" s="45"/>
      <c r="N54" s="16"/>
      <c r="O54" s="56">
        <f t="shared" si="71"/>
        <v>0</v>
      </c>
      <c r="P54" s="56">
        <f>O54/$L54*100</f>
        <v>0</v>
      </c>
      <c r="Q54" s="45">
        <v>0.4</v>
      </c>
      <c r="R54" s="16"/>
      <c r="S54" s="56">
        <f t="shared" si="72"/>
        <v>0.4</v>
      </c>
      <c r="T54" s="56">
        <f t="shared" si="73"/>
        <v>0.8</v>
      </c>
      <c r="U54" s="45">
        <v>4.617</v>
      </c>
      <c r="V54" s="16"/>
      <c r="W54" s="56">
        <f t="shared" si="74"/>
        <v>4.617</v>
      </c>
      <c r="X54" s="56">
        <f t="shared" si="79"/>
        <v>9.234</v>
      </c>
      <c r="Y54" s="45">
        <v>43.314999999999998</v>
      </c>
      <c r="Z54" s="391"/>
      <c r="AA54" s="401">
        <f t="shared" si="75"/>
        <v>43.314999999999998</v>
      </c>
      <c r="AB54" s="56">
        <f t="shared" si="76"/>
        <v>86.63</v>
      </c>
      <c r="AC54" s="487">
        <f t="shared" si="68"/>
        <v>6.6850000000000023</v>
      </c>
      <c r="AD54" s="45">
        <v>50</v>
      </c>
      <c r="AE54" s="16"/>
      <c r="AF54" s="494">
        <f t="shared" si="77"/>
        <v>50</v>
      </c>
      <c r="AG54" s="56">
        <f t="shared" si="78"/>
        <v>100</v>
      </c>
      <c r="AH54" s="578"/>
      <c r="AI54" s="243" t="s">
        <v>308</v>
      </c>
      <c r="AJ54" s="230" t="s">
        <v>116</v>
      </c>
    </row>
    <row r="55" spans="1:174" x14ac:dyDescent="0.2">
      <c r="A55" s="132"/>
      <c r="B55" s="28">
        <v>3349</v>
      </c>
      <c r="C55" s="28">
        <v>42</v>
      </c>
      <c r="D55" s="170" t="s">
        <v>72</v>
      </c>
      <c r="E55" s="45">
        <v>341</v>
      </c>
      <c r="F55" s="16"/>
      <c r="G55" s="56">
        <f t="shared" si="69"/>
        <v>341</v>
      </c>
      <c r="H55" s="621"/>
      <c r="I55" s="618"/>
      <c r="J55" s="45">
        <f t="shared" si="67"/>
        <v>341</v>
      </c>
      <c r="K55" s="16"/>
      <c r="L55" s="56">
        <f t="shared" si="70"/>
        <v>341</v>
      </c>
      <c r="M55" s="45">
        <v>52.86504</v>
      </c>
      <c r="N55" s="16"/>
      <c r="O55" s="56">
        <f t="shared" si="71"/>
        <v>52.86504</v>
      </c>
      <c r="P55" s="56">
        <f>O55/$L55*100</f>
        <v>15.502944281524927</v>
      </c>
      <c r="Q55" s="45">
        <v>130.09272000000001</v>
      </c>
      <c r="R55" s="16"/>
      <c r="S55" s="56">
        <f t="shared" si="72"/>
        <v>130.09272000000001</v>
      </c>
      <c r="T55" s="56">
        <f t="shared" si="73"/>
        <v>38.150357771261</v>
      </c>
      <c r="U55" s="45">
        <v>171.23464000000001</v>
      </c>
      <c r="V55" s="16"/>
      <c r="W55" s="56">
        <f t="shared" si="74"/>
        <v>171.23464000000001</v>
      </c>
      <c r="X55" s="56">
        <f t="shared" si="79"/>
        <v>50.215436950146632</v>
      </c>
      <c r="Y55" s="45">
        <v>273.68455999999998</v>
      </c>
      <c r="Z55" s="391"/>
      <c r="AA55" s="401">
        <f t="shared" si="75"/>
        <v>273.68455999999998</v>
      </c>
      <c r="AB55" s="56">
        <f t="shared" si="76"/>
        <v>80.259401759530775</v>
      </c>
      <c r="AC55" s="487">
        <f t="shared" si="68"/>
        <v>67.315440000000024</v>
      </c>
      <c r="AD55" s="45">
        <f>323+50+25</f>
        <v>398</v>
      </c>
      <c r="AE55" s="16"/>
      <c r="AF55" s="494">
        <f t="shared" si="77"/>
        <v>398</v>
      </c>
      <c r="AG55" s="56">
        <f t="shared" si="78"/>
        <v>116.71554252199414</v>
      </c>
      <c r="AH55" s="578"/>
      <c r="AI55" s="292" t="s">
        <v>261</v>
      </c>
      <c r="AJ55" s="291" t="s">
        <v>69</v>
      </c>
      <c r="FR55" s="110">
        <f>SUM(Q55:FQ55)</f>
        <v>2298.6800190029326</v>
      </c>
    </row>
    <row r="56" spans="1:174" x14ac:dyDescent="0.2">
      <c r="A56" s="132"/>
      <c r="B56" s="28">
        <v>3392</v>
      </c>
      <c r="C56" s="28">
        <v>312</v>
      </c>
      <c r="D56" s="170" t="s">
        <v>249</v>
      </c>
      <c r="E56" s="45">
        <v>3553</v>
      </c>
      <c r="F56" s="16"/>
      <c r="G56" s="56">
        <f t="shared" si="69"/>
        <v>3553</v>
      </c>
      <c r="H56" s="617">
        <v>15.552149999999999</v>
      </c>
      <c r="I56" s="629"/>
      <c r="J56" s="45">
        <f t="shared" si="67"/>
        <v>3568.55215</v>
      </c>
      <c r="K56" s="332">
        <f>F56+I56</f>
        <v>0</v>
      </c>
      <c r="L56" s="56">
        <f t="shared" si="70"/>
        <v>3568.55215</v>
      </c>
      <c r="M56" s="45">
        <v>888.25</v>
      </c>
      <c r="N56" s="16"/>
      <c r="O56" s="56">
        <f t="shared" si="71"/>
        <v>888.25</v>
      </c>
      <c r="P56" s="56">
        <f>O56/$L56*100</f>
        <v>24.891047199632492</v>
      </c>
      <c r="Q56" s="45">
        <f>1776.5+15.55215</f>
        <v>1792.05215</v>
      </c>
      <c r="R56" s="16"/>
      <c r="S56" s="56">
        <f t="shared" si="72"/>
        <v>1792.05215</v>
      </c>
      <c r="T56" s="56">
        <f t="shared" si="73"/>
        <v>50.217905600735023</v>
      </c>
      <c r="U56" s="45">
        <f>2664.75+15.55215</f>
        <v>2680.30215</v>
      </c>
      <c r="V56" s="16"/>
      <c r="W56" s="56">
        <f t="shared" si="74"/>
        <v>2680.30215</v>
      </c>
      <c r="X56" s="56">
        <f t="shared" si="79"/>
        <v>75.108952800367518</v>
      </c>
      <c r="Y56" s="45">
        <f>3553+15.55215</f>
        <v>3568.55215</v>
      </c>
      <c r="Z56" s="391"/>
      <c r="AA56" s="401">
        <f t="shared" si="75"/>
        <v>3568.55215</v>
      </c>
      <c r="AB56" s="56">
        <f t="shared" si="76"/>
        <v>100</v>
      </c>
      <c r="AC56" s="487">
        <f t="shared" si="68"/>
        <v>0</v>
      </c>
      <c r="AD56" s="16">
        <f>2275+3659</f>
        <v>5934</v>
      </c>
      <c r="AE56" s="16"/>
      <c r="AF56" s="494">
        <f t="shared" si="77"/>
        <v>5934</v>
      </c>
      <c r="AG56" s="56">
        <f t="shared" si="78"/>
        <v>167.01379116239798</v>
      </c>
      <c r="AH56" s="578" t="s">
        <v>494</v>
      </c>
      <c r="AI56" s="240" t="s">
        <v>193</v>
      </c>
      <c r="AJ56" s="229" t="s">
        <v>467</v>
      </c>
    </row>
    <row r="57" spans="1:174" x14ac:dyDescent="0.2">
      <c r="A57" s="132"/>
      <c r="B57" s="28">
        <v>3392</v>
      </c>
      <c r="C57" s="28" t="s">
        <v>243</v>
      </c>
      <c r="D57" s="170" t="s">
        <v>242</v>
      </c>
      <c r="E57" s="45">
        <f>355+300</f>
        <v>655</v>
      </c>
      <c r="F57" s="16"/>
      <c r="G57" s="56">
        <f t="shared" si="69"/>
        <v>655</v>
      </c>
      <c r="H57" s="627"/>
      <c r="I57" s="628"/>
      <c r="J57" s="45">
        <f t="shared" si="67"/>
        <v>655</v>
      </c>
      <c r="K57" s="16"/>
      <c r="L57" s="56">
        <f t="shared" si="70"/>
        <v>655</v>
      </c>
      <c r="M57" s="45"/>
      <c r="N57" s="16"/>
      <c r="O57" s="56">
        <f t="shared" si="71"/>
        <v>0</v>
      </c>
      <c r="P57" s="56">
        <f>O57/$L57*100</f>
        <v>0</v>
      </c>
      <c r="Q57" s="45">
        <v>0</v>
      </c>
      <c r="R57" s="16"/>
      <c r="S57" s="56">
        <f t="shared" si="72"/>
        <v>0</v>
      </c>
      <c r="T57" s="56">
        <f t="shared" si="73"/>
        <v>0</v>
      </c>
      <c r="U57" s="45">
        <v>654.59900000000005</v>
      </c>
      <c r="V57" s="16"/>
      <c r="W57" s="56">
        <f t="shared" si="74"/>
        <v>654.59900000000005</v>
      </c>
      <c r="X57" s="56">
        <f t="shared" si="79"/>
        <v>99.9387786259542</v>
      </c>
      <c r="Y57" s="45">
        <v>654.59900000000005</v>
      </c>
      <c r="Z57" s="391"/>
      <c r="AA57" s="401">
        <f t="shared" si="75"/>
        <v>654.59900000000005</v>
      </c>
      <c r="AB57" s="56">
        <f t="shared" si="76"/>
        <v>99.9387786259542</v>
      </c>
      <c r="AC57" s="487">
        <f t="shared" si="68"/>
        <v>0.40099999999995362</v>
      </c>
      <c r="AD57" s="45">
        <v>655</v>
      </c>
      <c r="AE57" s="16"/>
      <c r="AF57" s="494">
        <f t="shared" si="77"/>
        <v>655</v>
      </c>
      <c r="AG57" s="56">
        <f t="shared" si="78"/>
        <v>100</v>
      </c>
      <c r="AH57" s="578"/>
      <c r="AI57" s="240" t="s">
        <v>193</v>
      </c>
      <c r="AJ57" s="229" t="s">
        <v>467</v>
      </c>
    </row>
    <row r="58" spans="1:174" s="349" customFormat="1" x14ac:dyDescent="0.2">
      <c r="A58" s="132"/>
      <c r="B58" s="28">
        <v>3392</v>
      </c>
      <c r="C58" s="28">
        <v>312</v>
      </c>
      <c r="D58" s="170" t="s">
        <v>462</v>
      </c>
      <c r="E58" s="45"/>
      <c r="F58" s="16"/>
      <c r="G58" s="56"/>
      <c r="H58" s="627"/>
      <c r="I58" s="628"/>
      <c r="J58" s="45"/>
      <c r="K58" s="16"/>
      <c r="L58" s="56"/>
      <c r="M58" s="45"/>
      <c r="N58" s="16"/>
      <c r="O58" s="56"/>
      <c r="P58" s="56"/>
      <c r="Q58" s="45"/>
      <c r="R58" s="16"/>
      <c r="S58" s="56"/>
      <c r="T58" s="56"/>
      <c r="U58" s="45"/>
      <c r="V58" s="16"/>
      <c r="W58" s="56"/>
      <c r="X58" s="56"/>
      <c r="Y58" s="45"/>
      <c r="Z58" s="391"/>
      <c r="AA58" s="401"/>
      <c r="AB58" s="56"/>
      <c r="AC58" s="487">
        <f t="shared" si="68"/>
        <v>0</v>
      </c>
      <c r="AD58" s="45">
        <v>1100</v>
      </c>
      <c r="AE58" s="16"/>
      <c r="AF58" s="494">
        <f t="shared" si="77"/>
        <v>1100</v>
      </c>
      <c r="AG58" s="56"/>
      <c r="AH58" s="578"/>
      <c r="AI58" s="240" t="s">
        <v>193</v>
      </c>
      <c r="AJ58" s="229" t="s">
        <v>467</v>
      </c>
    </row>
    <row r="59" spans="1:174" s="349" customFormat="1" x14ac:dyDescent="0.2">
      <c r="A59" s="132"/>
      <c r="B59" s="28">
        <v>3392</v>
      </c>
      <c r="C59" s="28">
        <v>312</v>
      </c>
      <c r="D59" s="170" t="s">
        <v>484</v>
      </c>
      <c r="E59" s="45"/>
      <c r="F59" s="16"/>
      <c r="G59" s="56"/>
      <c r="H59" s="627"/>
      <c r="I59" s="628"/>
      <c r="J59" s="45"/>
      <c r="K59" s="16"/>
      <c r="L59" s="56"/>
      <c r="M59" s="45"/>
      <c r="N59" s="16"/>
      <c r="O59" s="56"/>
      <c r="P59" s="56"/>
      <c r="Q59" s="45"/>
      <c r="R59" s="16"/>
      <c r="S59" s="56"/>
      <c r="T59" s="56"/>
      <c r="U59" s="45"/>
      <c r="V59" s="16"/>
      <c r="W59" s="56"/>
      <c r="X59" s="56"/>
      <c r="Y59" s="45"/>
      <c r="Z59" s="391"/>
      <c r="AA59" s="401"/>
      <c r="AB59" s="56"/>
      <c r="AC59" s="487">
        <f t="shared" si="68"/>
        <v>0</v>
      </c>
      <c r="AD59" s="45">
        <f>935-88</f>
        <v>847</v>
      </c>
      <c r="AE59" s="16"/>
      <c r="AF59" s="494">
        <f t="shared" si="77"/>
        <v>847</v>
      </c>
      <c r="AG59" s="56"/>
      <c r="AH59" s="578"/>
      <c r="AI59" s="240" t="s">
        <v>193</v>
      </c>
      <c r="AJ59" s="229" t="s">
        <v>467</v>
      </c>
    </row>
    <row r="60" spans="1:174" x14ac:dyDescent="0.2">
      <c r="A60" s="132"/>
      <c r="B60" s="28">
        <v>3399</v>
      </c>
      <c r="C60" s="28">
        <v>313</v>
      </c>
      <c r="D60" s="170" t="s">
        <v>101</v>
      </c>
      <c r="E60" s="45">
        <v>135</v>
      </c>
      <c r="F60" s="16"/>
      <c r="G60" s="56">
        <f>E60+F60</f>
        <v>135</v>
      </c>
      <c r="H60" s="621"/>
      <c r="I60" s="618"/>
      <c r="J60" s="45">
        <f t="shared" si="67"/>
        <v>135</v>
      </c>
      <c r="K60" s="16"/>
      <c r="L60" s="56">
        <f>SUM(J60:K60)</f>
        <v>135</v>
      </c>
      <c r="M60" s="45">
        <v>0.82399999999999995</v>
      </c>
      <c r="N60" s="16"/>
      <c r="O60" s="56">
        <f>M60+N60</f>
        <v>0.82399999999999995</v>
      </c>
      <c r="P60" s="56">
        <f t="shared" ref="P60:P68" si="80">O60/$L60*100</f>
        <v>0.61037037037037034</v>
      </c>
      <c r="Q60" s="45">
        <v>8.4090000000000007</v>
      </c>
      <c r="R60" s="16"/>
      <c r="S60" s="56">
        <f>Q60+R60</f>
        <v>8.4090000000000007</v>
      </c>
      <c r="T60" s="56">
        <f t="shared" si="6"/>
        <v>6.2288888888888891</v>
      </c>
      <c r="U60" s="45">
        <v>14.445</v>
      </c>
      <c r="V60" s="16"/>
      <c r="W60" s="56">
        <f>U60+V60</f>
        <v>14.445</v>
      </c>
      <c r="X60" s="56">
        <f t="shared" si="8"/>
        <v>10.7</v>
      </c>
      <c r="Y60" s="45">
        <v>41.232999999999997</v>
      </c>
      <c r="Z60" s="391"/>
      <c r="AA60" s="401">
        <f>Y60+Z60</f>
        <v>41.232999999999997</v>
      </c>
      <c r="AB60" s="56">
        <f t="shared" si="10"/>
        <v>30.54296296296296</v>
      </c>
      <c r="AC60" s="487">
        <f t="shared" si="68"/>
        <v>93.766999999999996</v>
      </c>
      <c r="AD60" s="45">
        <f>125+15</f>
        <v>140</v>
      </c>
      <c r="AE60" s="16"/>
      <c r="AF60" s="494">
        <f>AD60+AE60</f>
        <v>140</v>
      </c>
      <c r="AG60" s="56">
        <f t="shared" ref="AG60:AG68" si="81">AF60/$G60*100</f>
        <v>103.7037037037037</v>
      </c>
      <c r="AH60" s="578" t="s">
        <v>272</v>
      </c>
      <c r="AI60" s="292" t="s">
        <v>261</v>
      </c>
      <c r="AJ60" s="299" t="s">
        <v>413</v>
      </c>
    </row>
    <row r="61" spans="1:174" x14ac:dyDescent="0.2">
      <c r="A61" s="133">
        <v>34</v>
      </c>
      <c r="B61" s="24">
        <v>3400</v>
      </c>
      <c r="C61" s="24"/>
      <c r="D61" s="296" t="s">
        <v>73</v>
      </c>
      <c r="E61" s="57">
        <f t="shared" ref="E61:O61" si="82">SUM(E62:E68)</f>
        <v>5520</v>
      </c>
      <c r="F61" s="58">
        <f t="shared" si="82"/>
        <v>9050</v>
      </c>
      <c r="G61" s="59">
        <f t="shared" si="82"/>
        <v>14570</v>
      </c>
      <c r="H61" s="619">
        <f t="shared" si="82"/>
        <v>45</v>
      </c>
      <c r="I61" s="620">
        <f t="shared" si="82"/>
        <v>0</v>
      </c>
      <c r="J61" s="57">
        <f t="shared" si="82"/>
        <v>5565</v>
      </c>
      <c r="K61" s="58">
        <f t="shared" si="82"/>
        <v>9050</v>
      </c>
      <c r="L61" s="59">
        <f t="shared" si="82"/>
        <v>14615</v>
      </c>
      <c r="M61" s="57">
        <f t="shared" si="82"/>
        <v>1205.4583500000001</v>
      </c>
      <c r="N61" s="58">
        <f t="shared" si="82"/>
        <v>0</v>
      </c>
      <c r="O61" s="59">
        <f t="shared" si="82"/>
        <v>1205.4583500000001</v>
      </c>
      <c r="P61" s="59">
        <f t="shared" si="80"/>
        <v>8.2480899760520021</v>
      </c>
      <c r="Q61" s="57">
        <f>SUM(Q62:Q68)</f>
        <v>3177.0963400000001</v>
      </c>
      <c r="R61" s="58">
        <f>SUM(R62:R68)</f>
        <v>0</v>
      </c>
      <c r="S61" s="59">
        <f>SUM(S62:S68)</f>
        <v>3177.0963400000001</v>
      </c>
      <c r="T61" s="59">
        <f t="shared" si="6"/>
        <v>21.738599657885736</v>
      </c>
      <c r="U61" s="57">
        <f>SUM(U62:U68)</f>
        <v>4295.9585900000002</v>
      </c>
      <c r="V61" s="58">
        <f>SUM(V62:V68)</f>
        <v>0</v>
      </c>
      <c r="W61" s="59">
        <f>SUM(W62:W68)</f>
        <v>4295.9585900000002</v>
      </c>
      <c r="X61" s="59">
        <f t="shared" si="8"/>
        <v>29.394174409852891</v>
      </c>
      <c r="Y61" s="57">
        <f>SUM(Y62:Y68)</f>
        <v>5523.2484700000005</v>
      </c>
      <c r="Z61" s="392">
        <f>SUM(Z62:Z68)</f>
        <v>9050</v>
      </c>
      <c r="AA61" s="402">
        <f>SUM(AA62:AA68)</f>
        <v>14573.248469999999</v>
      </c>
      <c r="AB61" s="59">
        <f t="shared" si="10"/>
        <v>99.714324119055746</v>
      </c>
      <c r="AC61" s="488">
        <f>SUM(AC62:AC68)</f>
        <v>41.751530000000059</v>
      </c>
      <c r="AD61" s="57">
        <f>SUM(AD62:AD68)</f>
        <v>6452</v>
      </c>
      <c r="AE61" s="58">
        <f>SUM(AE62:AE68)</f>
        <v>6700</v>
      </c>
      <c r="AF61" s="495">
        <f>SUM(AF62:AF68)</f>
        <v>13152</v>
      </c>
      <c r="AG61" s="59">
        <f t="shared" si="81"/>
        <v>90.267673301304058</v>
      </c>
      <c r="AH61" s="579"/>
      <c r="AI61" s="242"/>
      <c r="AJ61" s="83"/>
    </row>
    <row r="62" spans="1:174" ht="13.5" customHeight="1" x14ac:dyDescent="0.2">
      <c r="A62" s="132"/>
      <c r="B62" s="28">
        <v>3412</v>
      </c>
      <c r="C62" s="28">
        <v>506</v>
      </c>
      <c r="D62" s="170" t="s">
        <v>305</v>
      </c>
      <c r="E62" s="45">
        <v>4320</v>
      </c>
      <c r="F62" s="16"/>
      <c r="G62" s="56">
        <f t="shared" ref="G62:G68" si="83">E62+F62</f>
        <v>4320</v>
      </c>
      <c r="H62" s="627"/>
      <c r="I62" s="618"/>
      <c r="J62" s="45">
        <f t="shared" ref="J62:K66" si="84">E62+H62</f>
        <v>4320</v>
      </c>
      <c r="K62" s="16">
        <f t="shared" si="84"/>
        <v>0</v>
      </c>
      <c r="L62" s="56">
        <f t="shared" ref="L62:L68" si="85">SUM(J62:K62)</f>
        <v>4320</v>
      </c>
      <c r="M62" s="45">
        <v>1080</v>
      </c>
      <c r="N62" s="16"/>
      <c r="O62" s="56">
        <f t="shared" ref="O62:O64" si="86">M62+N62</f>
        <v>1080</v>
      </c>
      <c r="P62" s="56">
        <f t="shared" si="80"/>
        <v>25</v>
      </c>
      <c r="Q62" s="45">
        <v>2160</v>
      </c>
      <c r="R62" s="16"/>
      <c r="S62" s="56">
        <f t="shared" ref="S62:S64" si="87">Q62+R62</f>
        <v>2160</v>
      </c>
      <c r="T62" s="56">
        <f t="shared" si="6"/>
        <v>50</v>
      </c>
      <c r="U62" s="45">
        <v>3240</v>
      </c>
      <c r="V62" s="16"/>
      <c r="W62" s="56">
        <f t="shared" ref="W62:W64" si="88">U62+V62</f>
        <v>3240</v>
      </c>
      <c r="X62" s="56">
        <f t="shared" si="8"/>
        <v>75</v>
      </c>
      <c r="Y62" s="45">
        <v>4320</v>
      </c>
      <c r="Z62" s="391"/>
      <c r="AA62" s="401">
        <f t="shared" ref="AA62:AA68" si="89">Y62+Z62</f>
        <v>4320</v>
      </c>
      <c r="AB62" s="56">
        <f t="shared" si="10"/>
        <v>100</v>
      </c>
      <c r="AC62" s="487">
        <f t="shared" ref="AC62:AC68" si="90">L62-AA62</f>
        <v>0</v>
      </c>
      <c r="AD62" s="45">
        <v>5230</v>
      </c>
      <c r="AE62" s="16"/>
      <c r="AF62" s="494">
        <f t="shared" ref="AF62:AF68" si="91">AD62+AE62</f>
        <v>5230</v>
      </c>
      <c r="AG62" s="56">
        <f t="shared" si="81"/>
        <v>121.06481481481481</v>
      </c>
      <c r="AH62" s="578" t="s">
        <v>307</v>
      </c>
      <c r="AI62" s="240" t="s">
        <v>193</v>
      </c>
      <c r="AJ62" s="229" t="s">
        <v>467</v>
      </c>
    </row>
    <row r="63" spans="1:174" ht="13.5" customHeight="1" x14ac:dyDescent="0.2">
      <c r="A63" s="132"/>
      <c r="B63" s="28">
        <v>3412</v>
      </c>
      <c r="C63" s="28">
        <v>506</v>
      </c>
      <c r="D63" s="170" t="s">
        <v>311</v>
      </c>
      <c r="E63" s="45"/>
      <c r="F63" s="16">
        <f>7500+1550</f>
        <v>9050</v>
      </c>
      <c r="G63" s="56">
        <f t="shared" si="83"/>
        <v>9050</v>
      </c>
      <c r="H63" s="627"/>
      <c r="I63" s="618"/>
      <c r="J63" s="45">
        <f t="shared" si="84"/>
        <v>0</v>
      </c>
      <c r="K63" s="16">
        <f t="shared" si="84"/>
        <v>9050</v>
      </c>
      <c r="L63" s="56">
        <f t="shared" si="85"/>
        <v>9050</v>
      </c>
      <c r="M63" s="45"/>
      <c r="N63" s="16"/>
      <c r="O63" s="56">
        <f t="shared" si="86"/>
        <v>0</v>
      </c>
      <c r="P63" s="56">
        <f t="shared" si="80"/>
        <v>0</v>
      </c>
      <c r="Q63" s="45"/>
      <c r="R63" s="16"/>
      <c r="S63" s="56">
        <f t="shared" si="87"/>
        <v>0</v>
      </c>
      <c r="T63" s="56">
        <f t="shared" si="6"/>
        <v>0</v>
      </c>
      <c r="U63" s="45"/>
      <c r="V63" s="363">
        <v>0</v>
      </c>
      <c r="W63" s="56">
        <f t="shared" si="88"/>
        <v>0</v>
      </c>
      <c r="X63" s="56">
        <f t="shared" si="8"/>
        <v>0</v>
      </c>
      <c r="Y63" s="45"/>
      <c r="Z63" s="391">
        <v>9050</v>
      </c>
      <c r="AA63" s="401">
        <f t="shared" si="89"/>
        <v>9050</v>
      </c>
      <c r="AB63" s="56">
        <f t="shared" si="10"/>
        <v>100</v>
      </c>
      <c r="AC63" s="487">
        <f t="shared" si="90"/>
        <v>0</v>
      </c>
      <c r="AD63" s="45"/>
      <c r="AE63" s="16">
        <v>6300</v>
      </c>
      <c r="AF63" s="494">
        <f t="shared" si="91"/>
        <v>6300</v>
      </c>
      <c r="AG63" s="56">
        <f t="shared" si="81"/>
        <v>69.613259668508292</v>
      </c>
      <c r="AH63" s="578" t="s">
        <v>409</v>
      </c>
      <c r="AI63" s="240" t="s">
        <v>193</v>
      </c>
      <c r="AJ63" s="229" t="s">
        <v>467</v>
      </c>
    </row>
    <row r="64" spans="1:174" ht="13.5" customHeight="1" x14ac:dyDescent="0.2">
      <c r="A64" s="132"/>
      <c r="B64" s="28">
        <v>3412</v>
      </c>
      <c r="C64" s="28">
        <v>216</v>
      </c>
      <c r="D64" s="170" t="s">
        <v>310</v>
      </c>
      <c r="E64" s="45">
        <v>200</v>
      </c>
      <c r="F64" s="16"/>
      <c r="G64" s="56">
        <f t="shared" si="83"/>
        <v>200</v>
      </c>
      <c r="H64" s="627"/>
      <c r="I64" s="618"/>
      <c r="J64" s="45">
        <f t="shared" si="84"/>
        <v>200</v>
      </c>
      <c r="K64" s="16">
        <f t="shared" si="84"/>
        <v>0</v>
      </c>
      <c r="L64" s="56">
        <f t="shared" si="85"/>
        <v>200</v>
      </c>
      <c r="M64" s="45">
        <v>55.458350000000003</v>
      </c>
      <c r="N64" s="16"/>
      <c r="O64" s="56">
        <f t="shared" si="86"/>
        <v>55.458350000000003</v>
      </c>
      <c r="P64" s="56">
        <f t="shared" si="80"/>
        <v>27.729175000000001</v>
      </c>
      <c r="Q64" s="45">
        <v>92.096339999999998</v>
      </c>
      <c r="R64" s="16"/>
      <c r="S64" s="56">
        <f t="shared" si="87"/>
        <v>92.096339999999998</v>
      </c>
      <c r="T64" s="56">
        <f t="shared" si="6"/>
        <v>46.048169999999999</v>
      </c>
      <c r="U64" s="45">
        <v>130.95858999999999</v>
      </c>
      <c r="V64" s="16"/>
      <c r="W64" s="56">
        <f t="shared" si="88"/>
        <v>130.95858999999999</v>
      </c>
      <c r="X64" s="56">
        <f t="shared" si="8"/>
        <v>65.479294999999993</v>
      </c>
      <c r="Y64" s="45">
        <v>179.94846999999999</v>
      </c>
      <c r="Z64" s="391"/>
      <c r="AA64" s="401">
        <f t="shared" si="89"/>
        <v>179.94846999999999</v>
      </c>
      <c r="AB64" s="56">
        <f t="shared" ref="AB64:AB70" si="92">AA64/$L64*100</f>
        <v>89.974234999999993</v>
      </c>
      <c r="AC64" s="487">
        <f t="shared" si="90"/>
        <v>20.051530000000014</v>
      </c>
      <c r="AD64" s="45">
        <v>197</v>
      </c>
      <c r="AE64" s="16"/>
      <c r="AF64" s="494">
        <f t="shared" si="91"/>
        <v>197</v>
      </c>
      <c r="AG64" s="56">
        <f t="shared" si="81"/>
        <v>98.5</v>
      </c>
      <c r="AH64" s="578"/>
      <c r="AI64" s="241" t="s">
        <v>293</v>
      </c>
      <c r="AJ64" s="341" t="s">
        <v>68</v>
      </c>
    </row>
    <row r="65" spans="1:36" s="426" customFormat="1" ht="13.5" customHeight="1" x14ac:dyDescent="0.2">
      <c r="A65" s="132"/>
      <c r="B65" s="422">
        <v>3412</v>
      </c>
      <c r="C65" s="422">
        <v>216</v>
      </c>
      <c r="D65" s="170" t="s">
        <v>480</v>
      </c>
      <c r="E65" s="45"/>
      <c r="F65" s="16"/>
      <c r="G65" s="56"/>
      <c r="H65" s="627"/>
      <c r="I65" s="618"/>
      <c r="J65" s="45"/>
      <c r="K65" s="16"/>
      <c r="L65" s="56"/>
      <c r="M65" s="45"/>
      <c r="N65" s="16"/>
      <c r="O65" s="56"/>
      <c r="P65" s="56"/>
      <c r="Q65" s="45"/>
      <c r="R65" s="16"/>
      <c r="S65" s="56"/>
      <c r="T65" s="56"/>
      <c r="U65" s="45"/>
      <c r="V65" s="16"/>
      <c r="W65" s="56"/>
      <c r="X65" s="56"/>
      <c r="Y65" s="45"/>
      <c r="Z65" s="391"/>
      <c r="AA65" s="401"/>
      <c r="AB65" s="56"/>
      <c r="AC65" s="487"/>
      <c r="AD65" s="45"/>
      <c r="AE65" s="16">
        <v>400</v>
      </c>
      <c r="AF65" s="494">
        <f t="shared" si="91"/>
        <v>400</v>
      </c>
      <c r="AG65" s="56"/>
      <c r="AH65" s="578"/>
      <c r="AI65" s="241" t="s">
        <v>353</v>
      </c>
      <c r="AJ65" s="451" t="s">
        <v>116</v>
      </c>
    </row>
    <row r="66" spans="1:36" ht="13.5" customHeight="1" x14ac:dyDescent="0.2">
      <c r="A66" s="132"/>
      <c r="B66" s="28">
        <v>3419</v>
      </c>
      <c r="C66" s="28">
        <v>105</v>
      </c>
      <c r="D66" s="170" t="s">
        <v>325</v>
      </c>
      <c r="E66" s="45">
        <v>45</v>
      </c>
      <c r="F66" s="16"/>
      <c r="G66" s="56">
        <f t="shared" si="83"/>
        <v>45</v>
      </c>
      <c r="H66" s="617">
        <f>45+25</f>
        <v>70</v>
      </c>
      <c r="I66" s="618"/>
      <c r="J66" s="45">
        <f>E66+H66</f>
        <v>115</v>
      </c>
      <c r="K66" s="16">
        <f t="shared" si="84"/>
        <v>0</v>
      </c>
      <c r="L66" s="56">
        <f t="shared" si="85"/>
        <v>115</v>
      </c>
      <c r="M66" s="45"/>
      <c r="N66" s="16"/>
      <c r="O66" s="56">
        <f t="shared" ref="O66:O68" si="93">M66+N66</f>
        <v>0</v>
      </c>
      <c r="P66" s="56">
        <f t="shared" si="80"/>
        <v>0</v>
      </c>
      <c r="Q66" s="45"/>
      <c r="R66" s="16"/>
      <c r="S66" s="56">
        <f t="shared" ref="S66:S68" si="94">Q66+R66</f>
        <v>0</v>
      </c>
      <c r="T66" s="56">
        <f t="shared" si="6"/>
        <v>0</v>
      </c>
      <c r="U66" s="364"/>
      <c r="V66" s="16"/>
      <c r="W66" s="56">
        <f t="shared" ref="W66:W68" si="95">U66+V66</f>
        <v>0</v>
      </c>
      <c r="X66" s="56">
        <f>W66/$L66*100</f>
        <v>0</v>
      </c>
      <c r="Y66" s="45">
        <v>115</v>
      </c>
      <c r="Z66" s="391"/>
      <c r="AA66" s="401">
        <f t="shared" si="89"/>
        <v>115</v>
      </c>
      <c r="AB66" s="56">
        <f t="shared" si="92"/>
        <v>100</v>
      </c>
      <c r="AC66" s="487">
        <f t="shared" si="90"/>
        <v>0</v>
      </c>
      <c r="AD66" s="45">
        <v>45</v>
      </c>
      <c r="AE66" s="16"/>
      <c r="AF66" s="494">
        <f t="shared" si="91"/>
        <v>45</v>
      </c>
      <c r="AG66" s="56">
        <f t="shared" si="81"/>
        <v>100</v>
      </c>
      <c r="AH66" s="578" t="s">
        <v>495</v>
      </c>
      <c r="AI66" s="240" t="s">
        <v>321</v>
      </c>
      <c r="AJ66" s="229" t="s">
        <v>467</v>
      </c>
    </row>
    <row r="67" spans="1:36" ht="13.5" customHeight="1" x14ac:dyDescent="0.2">
      <c r="A67" s="132"/>
      <c r="B67" s="28">
        <v>3419</v>
      </c>
      <c r="C67" s="28">
        <v>104</v>
      </c>
      <c r="D67" s="170" t="s">
        <v>318</v>
      </c>
      <c r="E67" s="45">
        <v>100</v>
      </c>
      <c r="F67" s="16"/>
      <c r="G67" s="56">
        <f t="shared" si="83"/>
        <v>100</v>
      </c>
      <c r="H67" s="617">
        <v>-25</v>
      </c>
      <c r="I67" s="618"/>
      <c r="J67" s="45">
        <f>E67+H67</f>
        <v>75</v>
      </c>
      <c r="K67" s="16"/>
      <c r="L67" s="56">
        <f>SUM(J67:K67)</f>
        <v>75</v>
      </c>
      <c r="M67" s="45">
        <v>70</v>
      </c>
      <c r="N67" s="16"/>
      <c r="O67" s="56">
        <f t="shared" si="93"/>
        <v>70</v>
      </c>
      <c r="P67" s="56"/>
      <c r="Q67" s="45">
        <v>70</v>
      </c>
      <c r="R67" s="16"/>
      <c r="S67" s="56">
        <f t="shared" si="94"/>
        <v>70</v>
      </c>
      <c r="T67" s="56">
        <f t="shared" si="6"/>
        <v>93.333333333333329</v>
      </c>
      <c r="U67" s="45">
        <v>70</v>
      </c>
      <c r="V67" s="16"/>
      <c r="W67" s="56">
        <f t="shared" si="95"/>
        <v>70</v>
      </c>
      <c r="X67" s="56">
        <f>W67/$L67*100</f>
        <v>93.333333333333329</v>
      </c>
      <c r="Y67" s="45">
        <v>70</v>
      </c>
      <c r="Z67" s="391"/>
      <c r="AA67" s="401">
        <f t="shared" si="89"/>
        <v>70</v>
      </c>
      <c r="AB67" s="56">
        <f t="shared" si="92"/>
        <v>93.333333333333329</v>
      </c>
      <c r="AC67" s="487">
        <f t="shared" si="90"/>
        <v>5</v>
      </c>
      <c r="AD67" s="45">
        <f>50+30+20</f>
        <v>100</v>
      </c>
      <c r="AE67" s="16"/>
      <c r="AF67" s="494">
        <f t="shared" si="91"/>
        <v>100</v>
      </c>
      <c r="AG67" s="56">
        <f t="shared" si="81"/>
        <v>100</v>
      </c>
      <c r="AH67" s="578"/>
      <c r="AI67" s="240" t="s">
        <v>321</v>
      </c>
      <c r="AJ67" s="229" t="s">
        <v>467</v>
      </c>
    </row>
    <row r="68" spans="1:36" ht="12.75" customHeight="1" x14ac:dyDescent="0.2">
      <c r="A68" s="132"/>
      <c r="B68" s="28">
        <v>3421</v>
      </c>
      <c r="C68" s="28">
        <v>105</v>
      </c>
      <c r="D68" s="170" t="s">
        <v>316</v>
      </c>
      <c r="E68" s="45">
        <v>855</v>
      </c>
      <c r="F68" s="16"/>
      <c r="G68" s="56">
        <f t="shared" si="83"/>
        <v>855</v>
      </c>
      <c r="H68" s="627"/>
      <c r="I68" s="618"/>
      <c r="J68" s="45">
        <f>E68+H68</f>
        <v>855</v>
      </c>
      <c r="K68" s="16"/>
      <c r="L68" s="56">
        <f t="shared" si="85"/>
        <v>855</v>
      </c>
      <c r="M68" s="45"/>
      <c r="N68" s="16"/>
      <c r="O68" s="56">
        <f t="shared" si="93"/>
        <v>0</v>
      </c>
      <c r="P68" s="56">
        <f t="shared" si="80"/>
        <v>0</v>
      </c>
      <c r="Q68" s="45">
        <v>855</v>
      </c>
      <c r="R68" s="16"/>
      <c r="S68" s="56">
        <f t="shared" si="94"/>
        <v>855</v>
      </c>
      <c r="T68" s="56">
        <f>S68/$L68*100</f>
        <v>100</v>
      </c>
      <c r="U68" s="45">
        <v>855</v>
      </c>
      <c r="V68" s="16"/>
      <c r="W68" s="56">
        <f t="shared" si="95"/>
        <v>855</v>
      </c>
      <c r="X68" s="331">
        <f>W68/$L68*100</f>
        <v>100</v>
      </c>
      <c r="Y68" s="45">
        <v>838.3</v>
      </c>
      <c r="Z68" s="391"/>
      <c r="AA68" s="401">
        <f t="shared" si="89"/>
        <v>838.3</v>
      </c>
      <c r="AB68" s="331">
        <f t="shared" si="92"/>
        <v>98.046783625730995</v>
      </c>
      <c r="AC68" s="487">
        <f t="shared" si="90"/>
        <v>16.700000000000045</v>
      </c>
      <c r="AD68" s="16">
        <f>290+400+190</f>
        <v>880</v>
      </c>
      <c r="AE68" s="16"/>
      <c r="AF68" s="494">
        <f t="shared" si="91"/>
        <v>880</v>
      </c>
      <c r="AG68" s="56">
        <f t="shared" si="81"/>
        <v>102.92397660818713</v>
      </c>
      <c r="AH68" s="578" t="s">
        <v>458</v>
      </c>
      <c r="AI68" s="240" t="s">
        <v>321</v>
      </c>
      <c r="AJ68" s="229" t="s">
        <v>467</v>
      </c>
    </row>
    <row r="69" spans="1:36" x14ac:dyDescent="0.2">
      <c r="A69" s="133">
        <v>35</v>
      </c>
      <c r="B69" s="24">
        <v>3500</v>
      </c>
      <c r="C69" s="24"/>
      <c r="D69" s="296" t="s">
        <v>113</v>
      </c>
      <c r="E69" s="57">
        <f t="shared" ref="E69:G69" si="96">SUM(E70:E70)</f>
        <v>130</v>
      </c>
      <c r="F69" s="58">
        <f t="shared" si="96"/>
        <v>792</v>
      </c>
      <c r="G69" s="59">
        <f t="shared" si="96"/>
        <v>922</v>
      </c>
      <c r="H69" s="619">
        <f t="shared" ref="H69:AA69" si="97">SUM(H70:H70)</f>
        <v>0</v>
      </c>
      <c r="I69" s="620">
        <f t="shared" si="97"/>
        <v>12554.75171</v>
      </c>
      <c r="J69" s="57">
        <f t="shared" si="97"/>
        <v>130</v>
      </c>
      <c r="K69" s="58">
        <f t="shared" si="97"/>
        <v>13346.75171</v>
      </c>
      <c r="L69" s="59">
        <f t="shared" si="97"/>
        <v>13476.75171</v>
      </c>
      <c r="M69" s="57">
        <f t="shared" si="97"/>
        <v>0</v>
      </c>
      <c r="N69" s="58">
        <f t="shared" si="97"/>
        <v>0</v>
      </c>
      <c r="O69" s="59">
        <f t="shared" si="97"/>
        <v>0</v>
      </c>
      <c r="P69" s="59"/>
      <c r="Q69" s="57">
        <f t="shared" si="97"/>
        <v>0</v>
      </c>
      <c r="R69" s="58">
        <f t="shared" si="97"/>
        <v>0</v>
      </c>
      <c r="S69" s="59">
        <f t="shared" si="97"/>
        <v>0</v>
      </c>
      <c r="T69" s="59"/>
      <c r="U69" s="57">
        <f t="shared" si="97"/>
        <v>0</v>
      </c>
      <c r="V69" s="58">
        <f t="shared" si="97"/>
        <v>0</v>
      </c>
      <c r="W69" s="59">
        <f t="shared" si="97"/>
        <v>0</v>
      </c>
      <c r="X69" s="350">
        <f t="shared" ref="X69" si="98">W69/$L69*100</f>
        <v>0</v>
      </c>
      <c r="Y69" s="57">
        <f t="shared" si="97"/>
        <v>31.157499999999999</v>
      </c>
      <c r="Z69" s="392">
        <f t="shared" si="97"/>
        <v>13308.03681</v>
      </c>
      <c r="AA69" s="402">
        <f t="shared" si="97"/>
        <v>13339.194309999999</v>
      </c>
      <c r="AB69" s="56">
        <f t="shared" si="92"/>
        <v>98.979298550867185</v>
      </c>
      <c r="AC69" s="488">
        <f>SUM(AC70:AC70)</f>
        <v>137.55740000000151</v>
      </c>
      <c r="AD69" s="57">
        <f t="shared" ref="AD69:AF69" si="99">SUM(AD70:AD70)</f>
        <v>0</v>
      </c>
      <c r="AE69" s="58">
        <f t="shared" si="99"/>
        <v>13309</v>
      </c>
      <c r="AF69" s="495">
        <f t="shared" si="99"/>
        <v>13309</v>
      </c>
      <c r="AG69" s="59"/>
      <c r="AH69" s="579"/>
      <c r="AI69" s="57"/>
      <c r="AJ69" s="374"/>
    </row>
    <row r="70" spans="1:36" s="349" customFormat="1" x14ac:dyDescent="0.2">
      <c r="A70" s="88"/>
      <c r="B70" s="31">
        <v>3522</v>
      </c>
      <c r="C70" s="31">
        <v>233</v>
      </c>
      <c r="D70" s="170" t="s">
        <v>291</v>
      </c>
      <c r="E70" s="45">
        <v>130</v>
      </c>
      <c r="F70" s="16">
        <v>792</v>
      </c>
      <c r="G70" s="56">
        <f>E70+F70</f>
        <v>922</v>
      </c>
      <c r="H70" s="624"/>
      <c r="I70" s="624">
        <v>12554.75171</v>
      </c>
      <c r="J70" s="45">
        <f>E70+H70</f>
        <v>130</v>
      </c>
      <c r="K70" s="16">
        <f>F70+I70</f>
        <v>13346.75171</v>
      </c>
      <c r="L70" s="56">
        <f>SUM(J70:K70)</f>
        <v>13476.75171</v>
      </c>
      <c r="M70" s="45"/>
      <c r="N70" s="16">
        <v>0</v>
      </c>
      <c r="O70" s="56">
        <f>M70+N70</f>
        <v>0</v>
      </c>
      <c r="P70" s="55"/>
      <c r="Q70" s="45"/>
      <c r="R70" s="16">
        <v>0</v>
      </c>
      <c r="S70" s="56">
        <f>Q70+R70</f>
        <v>0</v>
      </c>
      <c r="T70" s="55"/>
      <c r="U70" s="45">
        <v>0</v>
      </c>
      <c r="V70" s="16">
        <v>0</v>
      </c>
      <c r="W70" s="56">
        <f>U70+V70</f>
        <v>0</v>
      </c>
      <c r="X70" s="56">
        <f t="shared" ref="X70" si="100">W70/$L70*100</f>
        <v>0</v>
      </c>
      <c r="Y70" s="16">
        <v>31.157499999999999</v>
      </c>
      <c r="Z70" s="418">
        <v>13308.03681</v>
      </c>
      <c r="AA70" s="401">
        <f>Y70+Z70</f>
        <v>13339.194309999999</v>
      </c>
      <c r="AB70" s="56">
        <f t="shared" si="92"/>
        <v>98.979298550867185</v>
      </c>
      <c r="AC70" s="487">
        <f>L70-AA70</f>
        <v>137.55740000000151</v>
      </c>
      <c r="AD70" s="45"/>
      <c r="AE70" s="16">
        <v>13309</v>
      </c>
      <c r="AF70" s="494">
        <f>AD70+AE70</f>
        <v>13309</v>
      </c>
      <c r="AG70" s="55"/>
      <c r="AH70" s="578"/>
      <c r="AI70" s="240" t="s">
        <v>193</v>
      </c>
      <c r="AJ70" s="229" t="s">
        <v>467</v>
      </c>
    </row>
    <row r="71" spans="1:36" x14ac:dyDescent="0.2">
      <c r="A71" s="133">
        <v>36</v>
      </c>
      <c r="B71" s="24">
        <v>3600</v>
      </c>
      <c r="C71" s="24"/>
      <c r="D71" s="296" t="s">
        <v>74</v>
      </c>
      <c r="E71" s="57">
        <f t="shared" ref="E71:O71" si="101">SUM(E72:E91)</f>
        <v>13512</v>
      </c>
      <c r="F71" s="58">
        <f t="shared" si="101"/>
        <v>12897</v>
      </c>
      <c r="G71" s="59">
        <f t="shared" si="101"/>
        <v>26409</v>
      </c>
      <c r="H71" s="619">
        <f t="shared" si="101"/>
        <v>277.92824999999999</v>
      </c>
      <c r="I71" s="620">
        <f t="shared" si="101"/>
        <v>980</v>
      </c>
      <c r="J71" s="57">
        <f t="shared" si="101"/>
        <v>13789.928250000001</v>
      </c>
      <c r="K71" s="58">
        <f t="shared" si="101"/>
        <v>13877</v>
      </c>
      <c r="L71" s="59">
        <f t="shared" si="101"/>
        <v>27666.928249999997</v>
      </c>
      <c r="M71" s="57">
        <f t="shared" si="101"/>
        <v>2434.21839</v>
      </c>
      <c r="N71" s="58">
        <f t="shared" si="101"/>
        <v>2183.0314200000003</v>
      </c>
      <c r="O71" s="59">
        <f t="shared" si="101"/>
        <v>4617.2498099999993</v>
      </c>
      <c r="P71" s="59">
        <f>O71/$L71*100</f>
        <v>16.688696946326161</v>
      </c>
      <c r="Q71" s="57">
        <f>SUM(Q72:Q91)</f>
        <v>5069.0023399999991</v>
      </c>
      <c r="R71" s="58">
        <f>SUM(R72:R91)</f>
        <v>4115.3704099999995</v>
      </c>
      <c r="S71" s="59">
        <f>SUM(S72:S91)</f>
        <v>9184.3727499999986</v>
      </c>
      <c r="T71" s="59">
        <f>S71/$L71*100</f>
        <v>33.196214147842738</v>
      </c>
      <c r="U71" s="57">
        <f>SUM(U72:U91)</f>
        <v>7014.5148900000004</v>
      </c>
      <c r="V71" s="58">
        <f>SUM(V72:V91)</f>
        <v>6478.5277900000001</v>
      </c>
      <c r="W71" s="59">
        <f>SUM(W72:W91)</f>
        <v>13493.04268</v>
      </c>
      <c r="X71" s="59">
        <f t="shared" ref="X71:X73" si="102">W71/$L71*100</f>
        <v>48.769572675636667</v>
      </c>
      <c r="Y71" s="57">
        <f>SUM(Y72:Y91)</f>
        <v>9549.7700100000002</v>
      </c>
      <c r="Z71" s="392">
        <f>SUM(Z72:Z91)</f>
        <v>12124.85779</v>
      </c>
      <c r="AA71" s="402">
        <f>SUM(AA72:AA91)</f>
        <v>21674.627799999998</v>
      </c>
      <c r="AB71" s="59">
        <f t="shared" ref="AB71:AB78" si="103">AA71/$L71*100</f>
        <v>78.341287490055933</v>
      </c>
      <c r="AC71" s="488">
        <f>SUM(AC72:AC91)</f>
        <v>5992.3004499999988</v>
      </c>
      <c r="AD71" s="57">
        <f>SUM(AD72:AD91)</f>
        <v>15278</v>
      </c>
      <c r="AE71" s="58">
        <f>SUM(AE72:AE91)</f>
        <v>9650</v>
      </c>
      <c r="AF71" s="495">
        <f>SUM(AF72:AF91)</f>
        <v>24928</v>
      </c>
      <c r="AG71" s="59">
        <f t="shared" ref="AG71:AG77" si="104">AF71/$G71*100</f>
        <v>94.39206331174978</v>
      </c>
      <c r="AH71" s="579"/>
      <c r="AI71" s="57"/>
      <c r="AJ71" s="374"/>
    </row>
    <row r="72" spans="1:36" ht="12" customHeight="1" x14ac:dyDescent="0.2">
      <c r="A72" s="132"/>
      <c r="B72" s="28">
        <v>3612</v>
      </c>
      <c r="C72" s="28" t="s">
        <v>277</v>
      </c>
      <c r="D72" s="170" t="s">
        <v>122</v>
      </c>
      <c r="E72" s="45">
        <v>6559</v>
      </c>
      <c r="F72" s="16"/>
      <c r="G72" s="56">
        <f t="shared" ref="G72:G91" si="105">E72+F72</f>
        <v>6559</v>
      </c>
      <c r="H72" s="617"/>
      <c r="I72" s="628"/>
      <c r="J72" s="45">
        <f t="shared" ref="J72:J91" si="106">E72+H72</f>
        <v>6559</v>
      </c>
      <c r="K72" s="16"/>
      <c r="L72" s="56">
        <f t="shared" ref="L72:L91" si="107">SUM(J72:K72)</f>
        <v>6559</v>
      </c>
      <c r="M72" s="45">
        <v>753.56524999999999</v>
      </c>
      <c r="N72" s="16"/>
      <c r="O72" s="56">
        <f t="shared" ref="O72:O91" si="108">M72+N72</f>
        <v>753.56524999999999</v>
      </c>
      <c r="P72" s="56">
        <f>O72/$L72*100</f>
        <v>11.489026528434213</v>
      </c>
      <c r="Q72" s="45">
        <v>1580.4276500000001</v>
      </c>
      <c r="R72" s="16"/>
      <c r="S72" s="56">
        <f t="shared" ref="S72:S91" si="109">Q72+R72</f>
        <v>1580.4276500000001</v>
      </c>
      <c r="T72" s="56">
        <f>S72/$L72*100</f>
        <v>24.095558011892056</v>
      </c>
      <c r="U72" s="45">
        <v>2103.0099799999998</v>
      </c>
      <c r="V72" s="16"/>
      <c r="W72" s="56">
        <f t="shared" ref="W72:W91" si="110">U72+V72</f>
        <v>2103.0099799999998</v>
      </c>
      <c r="X72" s="56">
        <f t="shared" si="102"/>
        <v>32.06296661076383</v>
      </c>
      <c r="Y72" s="45">
        <v>3148.1773899999998</v>
      </c>
      <c r="Z72" s="391"/>
      <c r="AA72" s="401">
        <f t="shared" ref="AA72:AA91" si="111">Y72+Z72</f>
        <v>3148.1773899999998</v>
      </c>
      <c r="AB72" s="56">
        <f t="shared" si="103"/>
        <v>47.997825735630428</v>
      </c>
      <c r="AC72" s="487">
        <f t="shared" ref="AC72:AC91" si="112">L72-AA72</f>
        <v>3410.8226100000002</v>
      </c>
      <c r="AD72" s="45">
        <f>7175</f>
        <v>7175</v>
      </c>
      <c r="AE72" s="16"/>
      <c r="AF72" s="494">
        <f t="shared" ref="AF72:AF91" si="113">AD72+AE72</f>
        <v>7175</v>
      </c>
      <c r="AG72" s="56">
        <f t="shared" si="104"/>
        <v>109.39167556029884</v>
      </c>
      <c r="AH72" s="578" t="s">
        <v>498</v>
      </c>
      <c r="AI72" s="237" t="s">
        <v>309</v>
      </c>
      <c r="AJ72" s="235" t="s">
        <v>276</v>
      </c>
    </row>
    <row r="73" spans="1:36" x14ac:dyDescent="0.2">
      <c r="A73" s="132"/>
      <c r="B73" s="28">
        <v>3612</v>
      </c>
      <c r="C73" s="28" t="s">
        <v>277</v>
      </c>
      <c r="D73" s="170" t="s">
        <v>123</v>
      </c>
      <c r="E73" s="45">
        <v>1960</v>
      </c>
      <c r="F73" s="16"/>
      <c r="G73" s="56">
        <f t="shared" si="105"/>
        <v>1960</v>
      </c>
      <c r="H73" s="621"/>
      <c r="I73" s="618"/>
      <c r="J73" s="45">
        <f t="shared" si="106"/>
        <v>1960</v>
      </c>
      <c r="K73" s="16"/>
      <c r="L73" s="56">
        <f t="shared" si="107"/>
        <v>1960</v>
      </c>
      <c r="M73" s="45">
        <v>638.28276000000005</v>
      </c>
      <c r="N73" s="16"/>
      <c r="O73" s="56">
        <f t="shared" si="108"/>
        <v>638.28276000000005</v>
      </c>
      <c r="P73" s="56">
        <f t="shared" ref="P73:P77" si="114">O73/$L73*100</f>
        <v>32.565446938775509</v>
      </c>
      <c r="Q73" s="45">
        <v>1247.6203599999999</v>
      </c>
      <c r="R73" s="16"/>
      <c r="S73" s="56">
        <f t="shared" si="109"/>
        <v>1247.6203599999999</v>
      </c>
      <c r="T73" s="56">
        <f t="shared" ref="T73:T76" si="115">S73/$L73*100</f>
        <v>63.654099999999993</v>
      </c>
      <c r="U73" s="45">
        <v>1644.96947</v>
      </c>
      <c r="V73" s="16"/>
      <c r="W73" s="56">
        <f t="shared" si="110"/>
        <v>1644.96947</v>
      </c>
      <c r="X73" s="56">
        <f t="shared" si="102"/>
        <v>83.927013775510204</v>
      </c>
      <c r="Y73" s="45">
        <v>1963.22325</v>
      </c>
      <c r="Z73" s="391"/>
      <c r="AA73" s="401">
        <f t="shared" si="111"/>
        <v>1963.22325</v>
      </c>
      <c r="AB73" s="56">
        <f t="shared" si="103"/>
        <v>100.16445153061224</v>
      </c>
      <c r="AC73" s="487">
        <f t="shared" si="112"/>
        <v>-3.2232500000000073</v>
      </c>
      <c r="AD73" s="45">
        <v>1950</v>
      </c>
      <c r="AE73" s="16"/>
      <c r="AF73" s="494">
        <f t="shared" si="113"/>
        <v>1950</v>
      </c>
      <c r="AG73" s="56">
        <f t="shared" si="104"/>
        <v>99.489795918367349</v>
      </c>
      <c r="AH73" s="578" t="s">
        <v>282</v>
      </c>
      <c r="AI73" s="237" t="s">
        <v>309</v>
      </c>
      <c r="AJ73" s="235" t="s">
        <v>276</v>
      </c>
    </row>
    <row r="74" spans="1:36" x14ac:dyDescent="0.2">
      <c r="A74" s="132"/>
      <c r="B74" s="28">
        <v>3612</v>
      </c>
      <c r="C74" s="422">
        <v>324</v>
      </c>
      <c r="D74" s="170" t="s">
        <v>317</v>
      </c>
      <c r="E74" s="45"/>
      <c r="F74" s="16">
        <v>927</v>
      </c>
      <c r="G74" s="56">
        <f t="shared" si="105"/>
        <v>927</v>
      </c>
      <c r="H74" s="621"/>
      <c r="I74" s="618"/>
      <c r="J74" s="45">
        <f t="shared" ref="J74:J90" si="116">E74+H74</f>
        <v>0</v>
      </c>
      <c r="K74" s="16">
        <f>F74+I74</f>
        <v>927</v>
      </c>
      <c r="L74" s="56">
        <f t="shared" ref="L74:L90" si="117">SUM(J74:K74)</f>
        <v>927</v>
      </c>
      <c r="M74" s="45"/>
      <c r="N74" s="16">
        <v>927.30361000000005</v>
      </c>
      <c r="O74" s="56">
        <f t="shared" si="108"/>
        <v>927.30361000000005</v>
      </c>
      <c r="P74" s="56">
        <f t="shared" si="114"/>
        <v>100.03275188781015</v>
      </c>
      <c r="Q74" s="45"/>
      <c r="R74" s="16">
        <v>952.30361000000005</v>
      </c>
      <c r="S74" s="56">
        <f t="shared" si="109"/>
        <v>952.30361000000005</v>
      </c>
      <c r="T74" s="56">
        <f t="shared" si="115"/>
        <v>102.72962351672061</v>
      </c>
      <c r="U74" s="45"/>
      <c r="V74" s="16">
        <v>952.30361000000005</v>
      </c>
      <c r="W74" s="56">
        <f t="shared" si="110"/>
        <v>952.30361000000005</v>
      </c>
      <c r="X74" s="56">
        <f>W74/$L74*100</f>
        <v>102.72962351672061</v>
      </c>
      <c r="Y74" s="45"/>
      <c r="Z74" s="418">
        <v>952.30361000000005</v>
      </c>
      <c r="AA74" s="401">
        <f t="shared" ref="AA74:AA90" si="118">Y74+Z74</f>
        <v>952.30361000000005</v>
      </c>
      <c r="AB74" s="56">
        <f t="shared" si="103"/>
        <v>102.72962351672061</v>
      </c>
      <c r="AC74" s="487">
        <f t="shared" si="112"/>
        <v>-25.303610000000049</v>
      </c>
      <c r="AD74" s="45"/>
      <c r="AE74" s="16"/>
      <c r="AF74" s="494">
        <f t="shared" si="113"/>
        <v>0</v>
      </c>
      <c r="AG74" s="56">
        <f t="shared" si="104"/>
        <v>0</v>
      </c>
      <c r="AH74" s="582" t="s">
        <v>455</v>
      </c>
      <c r="AI74" s="241" t="s">
        <v>353</v>
      </c>
      <c r="AJ74" s="230" t="s">
        <v>116</v>
      </c>
    </row>
    <row r="75" spans="1:36" x14ac:dyDescent="0.2">
      <c r="A75" s="132"/>
      <c r="B75" s="28">
        <v>3612</v>
      </c>
      <c r="C75" s="422">
        <v>326</v>
      </c>
      <c r="D75" s="170" t="s">
        <v>322</v>
      </c>
      <c r="E75" s="45"/>
      <c r="F75" s="16">
        <f>11150-750</f>
        <v>10400</v>
      </c>
      <c r="G75" s="56">
        <f t="shared" si="105"/>
        <v>10400</v>
      </c>
      <c r="H75" s="621"/>
      <c r="I75" s="618"/>
      <c r="J75" s="45">
        <f t="shared" si="116"/>
        <v>0</v>
      </c>
      <c r="K75" s="16">
        <f>F75+I75</f>
        <v>10400</v>
      </c>
      <c r="L75" s="56">
        <f t="shared" si="117"/>
        <v>10400</v>
      </c>
      <c r="M75" s="45"/>
      <c r="N75" s="16">
        <v>530.99780999999996</v>
      </c>
      <c r="O75" s="56">
        <f t="shared" si="108"/>
        <v>530.99780999999996</v>
      </c>
      <c r="P75" s="56">
        <f t="shared" si="114"/>
        <v>5.1057481730769227</v>
      </c>
      <c r="Q75" s="45"/>
      <c r="R75" s="16">
        <v>1803.0868</v>
      </c>
      <c r="S75" s="56">
        <f t="shared" si="109"/>
        <v>1803.0868</v>
      </c>
      <c r="T75" s="56">
        <f t="shared" si="115"/>
        <v>17.337373076923075</v>
      </c>
      <c r="U75" s="45"/>
      <c r="V75" s="16">
        <f>4096.89418</f>
        <v>4096.8941800000002</v>
      </c>
      <c r="W75" s="56">
        <f t="shared" si="110"/>
        <v>4096.8941800000002</v>
      </c>
      <c r="X75" s="56">
        <f>W75/$L75*100</f>
        <v>39.39321326923077</v>
      </c>
      <c r="Y75" s="45"/>
      <c r="Z75" s="391">
        <v>9228.2741800000003</v>
      </c>
      <c r="AA75" s="401">
        <f t="shared" si="118"/>
        <v>9228.2741800000003</v>
      </c>
      <c r="AB75" s="56">
        <f t="shared" si="103"/>
        <v>88.73340557692309</v>
      </c>
      <c r="AC75" s="487">
        <f t="shared" si="112"/>
        <v>1171.7258199999997</v>
      </c>
      <c r="AD75" s="45"/>
      <c r="AE75" s="16">
        <v>4000</v>
      </c>
      <c r="AF75" s="494">
        <f t="shared" si="113"/>
        <v>4000</v>
      </c>
      <c r="AG75" s="56">
        <f t="shared" si="104"/>
        <v>38.461538461538467</v>
      </c>
      <c r="AH75" s="578" t="s">
        <v>410</v>
      </c>
      <c r="AI75" s="241" t="s">
        <v>353</v>
      </c>
      <c r="AJ75" s="230" t="s">
        <v>116</v>
      </c>
    </row>
    <row r="76" spans="1:36" x14ac:dyDescent="0.2">
      <c r="A76" s="132"/>
      <c r="B76" s="28">
        <v>3612</v>
      </c>
      <c r="C76" s="422">
        <v>327</v>
      </c>
      <c r="D76" s="170" t="s">
        <v>350</v>
      </c>
      <c r="E76" s="45"/>
      <c r="F76" s="16">
        <v>600</v>
      </c>
      <c r="G76" s="56">
        <f t="shared" si="105"/>
        <v>600</v>
      </c>
      <c r="H76" s="621"/>
      <c r="I76" s="618">
        <v>600</v>
      </c>
      <c r="J76" s="45">
        <f t="shared" si="116"/>
        <v>0</v>
      </c>
      <c r="K76" s="16">
        <f>F76+I76</f>
        <v>1200</v>
      </c>
      <c r="L76" s="56">
        <f t="shared" si="117"/>
        <v>1200</v>
      </c>
      <c r="M76" s="45"/>
      <c r="N76" s="16">
        <f>239.27+435</f>
        <v>674.27</v>
      </c>
      <c r="O76" s="56">
        <f t="shared" si="108"/>
        <v>674.27</v>
      </c>
      <c r="P76" s="56">
        <f t="shared" si="114"/>
        <v>56.189166666666665</v>
      </c>
      <c r="Q76" s="45"/>
      <c r="R76" s="16">
        <v>674.27</v>
      </c>
      <c r="S76" s="56">
        <f t="shared" si="109"/>
        <v>674.27</v>
      </c>
      <c r="T76" s="56">
        <f t="shared" si="115"/>
        <v>56.189166666666665</v>
      </c>
      <c r="U76" s="45"/>
      <c r="V76" s="16">
        <v>734.77</v>
      </c>
      <c r="W76" s="56">
        <f t="shared" si="110"/>
        <v>734.77</v>
      </c>
      <c r="X76" s="56">
        <f>W76/$L76*100</f>
        <v>61.230833333333337</v>
      </c>
      <c r="Y76" s="45"/>
      <c r="Z76" s="391">
        <v>849.72</v>
      </c>
      <c r="AA76" s="401">
        <f t="shared" si="118"/>
        <v>849.72</v>
      </c>
      <c r="AB76" s="56">
        <f t="shared" si="103"/>
        <v>70.81</v>
      </c>
      <c r="AC76" s="487">
        <f t="shared" si="112"/>
        <v>350.28</v>
      </c>
      <c r="AD76" s="45"/>
      <c r="AE76" s="16">
        <v>350</v>
      </c>
      <c r="AF76" s="494">
        <f t="shared" si="113"/>
        <v>350</v>
      </c>
      <c r="AG76" s="56">
        <f t="shared" si="104"/>
        <v>58.333333333333336</v>
      </c>
      <c r="AH76" s="578"/>
      <c r="AI76" s="241" t="s">
        <v>353</v>
      </c>
      <c r="AJ76" s="230" t="s">
        <v>116</v>
      </c>
    </row>
    <row r="77" spans="1:36" x14ac:dyDescent="0.2">
      <c r="A77" s="132"/>
      <c r="B77" s="28">
        <v>3613</v>
      </c>
      <c r="C77" s="422">
        <v>305</v>
      </c>
      <c r="D77" s="170" t="s">
        <v>382</v>
      </c>
      <c r="E77" s="45">
        <f>207+146+62</f>
        <v>415</v>
      </c>
      <c r="F77" s="16"/>
      <c r="G77" s="56">
        <f t="shared" si="105"/>
        <v>415</v>
      </c>
      <c r="H77" s="621">
        <v>55</v>
      </c>
      <c r="I77" s="618"/>
      <c r="J77" s="45">
        <f t="shared" si="116"/>
        <v>470</v>
      </c>
      <c r="K77" s="16"/>
      <c r="L77" s="56">
        <f t="shared" si="117"/>
        <v>470</v>
      </c>
      <c r="M77" s="45">
        <v>141.352</v>
      </c>
      <c r="N77" s="16"/>
      <c r="O77" s="56">
        <f t="shared" si="108"/>
        <v>141.352</v>
      </c>
      <c r="P77" s="56">
        <f t="shared" si="114"/>
        <v>30.074893617021274</v>
      </c>
      <c r="Q77" s="45">
        <v>230.489</v>
      </c>
      <c r="R77" s="16"/>
      <c r="S77" s="56">
        <f t="shared" si="109"/>
        <v>230.489</v>
      </c>
      <c r="T77" s="56">
        <f t="shared" ref="T77:T83" si="119">S77/$L77*100</f>
        <v>49.040212765957449</v>
      </c>
      <c r="U77" s="45">
        <v>317.39999999999998</v>
      </c>
      <c r="V77" s="16"/>
      <c r="W77" s="56">
        <f t="shared" si="110"/>
        <v>317.39999999999998</v>
      </c>
      <c r="X77" s="56">
        <f t="shared" ref="X77:X83" si="120">W77/$L77*100</f>
        <v>67.531914893617014</v>
      </c>
      <c r="Y77" s="45">
        <f>206.876+249.65</f>
        <v>456.52600000000001</v>
      </c>
      <c r="Z77" s="391"/>
      <c r="AA77" s="401">
        <f t="shared" si="118"/>
        <v>456.52600000000001</v>
      </c>
      <c r="AB77" s="56">
        <f t="shared" si="103"/>
        <v>97.133191489361707</v>
      </c>
      <c r="AC77" s="487">
        <f t="shared" si="112"/>
        <v>13.47399999999999</v>
      </c>
      <c r="AD77" s="376">
        <f>171+146+54+250</f>
        <v>621</v>
      </c>
      <c r="AE77" s="16"/>
      <c r="AF77" s="494">
        <f t="shared" si="113"/>
        <v>621</v>
      </c>
      <c r="AG77" s="56">
        <f t="shared" si="104"/>
        <v>149.63855421686748</v>
      </c>
      <c r="AH77" s="578" t="s">
        <v>589</v>
      </c>
      <c r="AI77" s="241" t="s">
        <v>293</v>
      </c>
      <c r="AJ77" s="230" t="s">
        <v>116</v>
      </c>
    </row>
    <row r="78" spans="1:36" x14ac:dyDescent="0.2">
      <c r="A78" s="132"/>
      <c r="B78" s="28">
        <v>3613</v>
      </c>
      <c r="C78" s="422">
        <v>316</v>
      </c>
      <c r="D78" s="170" t="s">
        <v>481</v>
      </c>
      <c r="E78" s="45">
        <v>287</v>
      </c>
      <c r="F78" s="16"/>
      <c r="G78" s="56">
        <f t="shared" si="105"/>
        <v>287</v>
      </c>
      <c r="H78" s="621"/>
      <c r="I78" s="618"/>
      <c r="J78" s="45">
        <f t="shared" si="116"/>
        <v>287</v>
      </c>
      <c r="K78" s="16">
        <f>F78+I78</f>
        <v>0</v>
      </c>
      <c r="L78" s="56">
        <f t="shared" si="117"/>
        <v>287</v>
      </c>
      <c r="M78" s="45">
        <v>20.716660000000001</v>
      </c>
      <c r="N78" s="16"/>
      <c r="O78" s="56">
        <f t="shared" si="108"/>
        <v>20.716660000000001</v>
      </c>
      <c r="P78" s="56">
        <f t="shared" ref="P78:P83" si="121">O78/$L78*100</f>
        <v>7.2183484320557492</v>
      </c>
      <c r="Q78" s="45">
        <v>73.151570000000007</v>
      </c>
      <c r="R78" s="16"/>
      <c r="S78" s="56">
        <f t="shared" si="109"/>
        <v>73.151570000000007</v>
      </c>
      <c r="T78" s="56">
        <f t="shared" si="119"/>
        <v>25.488351916376313</v>
      </c>
      <c r="U78" s="45">
        <v>128.43626</v>
      </c>
      <c r="V78" s="16"/>
      <c r="W78" s="56">
        <f t="shared" si="110"/>
        <v>128.43626</v>
      </c>
      <c r="X78" s="56">
        <f t="shared" si="120"/>
        <v>44.751310104529615</v>
      </c>
      <c r="Y78" s="45">
        <v>188.42268999999999</v>
      </c>
      <c r="Z78" s="391"/>
      <c r="AA78" s="401">
        <f t="shared" si="118"/>
        <v>188.42268999999999</v>
      </c>
      <c r="AB78" s="56">
        <f t="shared" si="103"/>
        <v>65.652505226480827</v>
      </c>
      <c r="AC78" s="487">
        <f t="shared" si="112"/>
        <v>98.577310000000011</v>
      </c>
      <c r="AD78" s="45">
        <f>291+200</f>
        <v>491</v>
      </c>
      <c r="AE78" s="16"/>
      <c r="AF78" s="494">
        <f t="shared" si="113"/>
        <v>491</v>
      </c>
      <c r="AG78" s="56">
        <f t="shared" ref="AG78:AG82" si="122">AF78/$G78*100</f>
        <v>171.08013937282229</v>
      </c>
      <c r="AH78" s="578"/>
      <c r="AI78" s="241" t="s">
        <v>437</v>
      </c>
      <c r="AJ78" s="230" t="s">
        <v>68</v>
      </c>
    </row>
    <row r="79" spans="1:36" x14ac:dyDescent="0.2">
      <c r="A79" s="132"/>
      <c r="B79" s="28">
        <v>3613</v>
      </c>
      <c r="C79" s="422">
        <v>317</v>
      </c>
      <c r="D79" s="170" t="s">
        <v>195</v>
      </c>
      <c r="E79" s="45">
        <v>150</v>
      </c>
      <c r="F79" s="16"/>
      <c r="G79" s="56">
        <f t="shared" si="105"/>
        <v>150</v>
      </c>
      <c r="H79" s="621"/>
      <c r="I79" s="628"/>
      <c r="J79" s="45">
        <f t="shared" si="116"/>
        <v>150</v>
      </c>
      <c r="K79" s="16"/>
      <c r="L79" s="56">
        <f t="shared" si="117"/>
        <v>150</v>
      </c>
      <c r="M79" s="45">
        <v>52.661999999999999</v>
      </c>
      <c r="N79" s="16"/>
      <c r="O79" s="56">
        <f t="shared" si="108"/>
        <v>52.661999999999999</v>
      </c>
      <c r="P79" s="56">
        <f t="shared" si="121"/>
        <v>35.107999999999997</v>
      </c>
      <c r="Q79" s="45">
        <v>73.298000000000002</v>
      </c>
      <c r="R79" s="16"/>
      <c r="S79" s="56">
        <f t="shared" si="109"/>
        <v>73.298000000000002</v>
      </c>
      <c r="T79" s="56">
        <f t="shared" si="119"/>
        <v>48.865333333333332</v>
      </c>
      <c r="U79" s="45">
        <v>123.925</v>
      </c>
      <c r="V79" s="16"/>
      <c r="W79" s="56">
        <f t="shared" si="110"/>
        <v>123.925</v>
      </c>
      <c r="X79" s="56">
        <f t="shared" si="120"/>
        <v>82.61666666666666</v>
      </c>
      <c r="Y79" s="45">
        <v>148.78</v>
      </c>
      <c r="Z79" s="391"/>
      <c r="AA79" s="401">
        <f t="shared" si="118"/>
        <v>148.78</v>
      </c>
      <c r="AB79" s="56">
        <f t="shared" ref="AB79" si="123">AA79/$L79*100</f>
        <v>99.186666666666667</v>
      </c>
      <c r="AC79" s="487">
        <f t="shared" si="112"/>
        <v>1.2199999999999989</v>
      </c>
      <c r="AD79" s="45">
        <f>102</f>
        <v>102</v>
      </c>
      <c r="AE79" s="16"/>
      <c r="AF79" s="494">
        <f t="shared" si="113"/>
        <v>102</v>
      </c>
      <c r="AG79" s="56">
        <f t="shared" si="122"/>
        <v>68</v>
      </c>
      <c r="AH79" s="578"/>
      <c r="AI79" s="241" t="s">
        <v>437</v>
      </c>
      <c r="AJ79" s="230" t="s">
        <v>68</v>
      </c>
    </row>
    <row r="80" spans="1:36" ht="13.5" customHeight="1" x14ac:dyDescent="0.2">
      <c r="A80" s="132"/>
      <c r="B80" s="28">
        <v>3613</v>
      </c>
      <c r="C80" s="422">
        <v>703</v>
      </c>
      <c r="D80" s="170" t="s">
        <v>124</v>
      </c>
      <c r="E80" s="45">
        <v>309</v>
      </c>
      <c r="F80" s="16"/>
      <c r="G80" s="56">
        <f t="shared" si="105"/>
        <v>309</v>
      </c>
      <c r="H80" s="621"/>
      <c r="I80" s="618"/>
      <c r="J80" s="45">
        <f t="shared" si="116"/>
        <v>309</v>
      </c>
      <c r="K80" s="16"/>
      <c r="L80" s="56">
        <f t="shared" si="117"/>
        <v>309</v>
      </c>
      <c r="M80" s="45">
        <v>70.072550000000007</v>
      </c>
      <c r="N80" s="16"/>
      <c r="O80" s="56">
        <f t="shared" si="108"/>
        <v>70.072550000000007</v>
      </c>
      <c r="P80" s="56">
        <f t="shared" si="121"/>
        <v>22.677200647249194</v>
      </c>
      <c r="Q80" s="45">
        <v>138.15764999999999</v>
      </c>
      <c r="R80" s="16"/>
      <c r="S80" s="56">
        <f t="shared" si="109"/>
        <v>138.15764999999999</v>
      </c>
      <c r="T80" s="56">
        <f t="shared" si="119"/>
        <v>44.711213592233008</v>
      </c>
      <c r="U80" s="45">
        <v>165.26118</v>
      </c>
      <c r="V80" s="16"/>
      <c r="W80" s="56">
        <f t="shared" si="110"/>
        <v>165.26118</v>
      </c>
      <c r="X80" s="56">
        <f t="shared" si="120"/>
        <v>53.482582524271848</v>
      </c>
      <c r="Y80" s="45">
        <v>185.63453000000001</v>
      </c>
      <c r="Z80" s="391"/>
      <c r="AA80" s="401">
        <f t="shared" si="118"/>
        <v>185.63453000000001</v>
      </c>
      <c r="AB80" s="56">
        <f t="shared" ref="AB80:AB84" si="124">AA80/$L80*100</f>
        <v>60.075899676375414</v>
      </c>
      <c r="AC80" s="487">
        <f t="shared" si="112"/>
        <v>123.36546999999999</v>
      </c>
      <c r="AD80" s="45">
        <v>380</v>
      </c>
      <c r="AE80" s="16"/>
      <c r="AF80" s="494">
        <f t="shared" si="113"/>
        <v>380</v>
      </c>
      <c r="AG80" s="56">
        <f t="shared" si="122"/>
        <v>122.97734627831716</v>
      </c>
      <c r="AH80" s="578" t="s">
        <v>499</v>
      </c>
      <c r="AI80" s="237" t="s">
        <v>309</v>
      </c>
      <c r="AJ80" s="235" t="s">
        <v>276</v>
      </c>
    </row>
    <row r="81" spans="1:39" x14ac:dyDescent="0.2">
      <c r="A81" s="132"/>
      <c r="B81" s="28">
        <v>3613</v>
      </c>
      <c r="C81" s="422">
        <v>703</v>
      </c>
      <c r="D81" s="170" t="s">
        <v>125</v>
      </c>
      <c r="E81" s="45">
        <v>300</v>
      </c>
      <c r="F81" s="16"/>
      <c r="G81" s="56">
        <f t="shared" si="105"/>
        <v>300</v>
      </c>
      <c r="H81" s="621"/>
      <c r="I81" s="618"/>
      <c r="J81" s="45">
        <f t="shared" si="116"/>
        <v>300</v>
      </c>
      <c r="K81" s="16"/>
      <c r="L81" s="56">
        <f t="shared" si="117"/>
        <v>300</v>
      </c>
      <c r="M81" s="45">
        <v>39.814210000000003</v>
      </c>
      <c r="N81" s="16"/>
      <c r="O81" s="56">
        <f t="shared" si="108"/>
        <v>39.814210000000003</v>
      </c>
      <c r="P81" s="56">
        <f t="shared" si="121"/>
        <v>13.271403333333334</v>
      </c>
      <c r="Q81" s="45">
        <v>67.610429999999994</v>
      </c>
      <c r="R81" s="16"/>
      <c r="S81" s="56">
        <f t="shared" si="109"/>
        <v>67.610429999999994</v>
      </c>
      <c r="T81" s="56">
        <f t="shared" si="119"/>
        <v>22.536809999999999</v>
      </c>
      <c r="U81" s="45">
        <v>87.537009999999995</v>
      </c>
      <c r="V81" s="16"/>
      <c r="W81" s="56">
        <f t="shared" si="110"/>
        <v>87.537009999999995</v>
      </c>
      <c r="X81" s="56">
        <f t="shared" si="120"/>
        <v>29.179003333333331</v>
      </c>
      <c r="Y81" s="45">
        <v>111.35469000000001</v>
      </c>
      <c r="Z81" s="391"/>
      <c r="AA81" s="401">
        <f t="shared" si="118"/>
        <v>111.35469000000001</v>
      </c>
      <c r="AB81" s="56">
        <f t="shared" si="124"/>
        <v>37.118230000000004</v>
      </c>
      <c r="AC81" s="487">
        <f t="shared" si="112"/>
        <v>188.64530999999999</v>
      </c>
      <c r="AD81" s="45">
        <v>200</v>
      </c>
      <c r="AE81" s="16"/>
      <c r="AF81" s="494">
        <f t="shared" si="113"/>
        <v>200</v>
      </c>
      <c r="AG81" s="56">
        <f t="shared" si="122"/>
        <v>66.666666666666657</v>
      </c>
      <c r="AH81" s="578" t="s">
        <v>282</v>
      </c>
      <c r="AI81" s="237" t="s">
        <v>309</v>
      </c>
      <c r="AJ81" s="235" t="s">
        <v>276</v>
      </c>
    </row>
    <row r="82" spans="1:39" x14ac:dyDescent="0.2">
      <c r="A82" s="132"/>
      <c r="B82" s="28">
        <v>3631</v>
      </c>
      <c r="C82" s="422">
        <v>107</v>
      </c>
      <c r="D82" s="170" t="s">
        <v>76</v>
      </c>
      <c r="E82" s="45">
        <v>1520</v>
      </c>
      <c r="F82" s="16"/>
      <c r="G82" s="56">
        <f t="shared" si="105"/>
        <v>1520</v>
      </c>
      <c r="H82" s="621"/>
      <c r="I82" s="618"/>
      <c r="J82" s="45">
        <f t="shared" si="116"/>
        <v>1520</v>
      </c>
      <c r="K82" s="16">
        <f>F82+I82</f>
        <v>0</v>
      </c>
      <c r="L82" s="56">
        <f t="shared" si="117"/>
        <v>1520</v>
      </c>
      <c r="M82" s="45">
        <v>121.182</v>
      </c>
      <c r="N82" s="16"/>
      <c r="O82" s="56">
        <f t="shared" si="108"/>
        <v>121.182</v>
      </c>
      <c r="P82" s="56">
        <f t="shared" si="121"/>
        <v>7.9725000000000001</v>
      </c>
      <c r="Q82" s="45">
        <v>727.09199999999998</v>
      </c>
      <c r="R82" s="16"/>
      <c r="S82" s="56">
        <f t="shared" si="109"/>
        <v>727.09199999999998</v>
      </c>
      <c r="T82" s="56">
        <f t="shared" si="119"/>
        <v>47.835000000000001</v>
      </c>
      <c r="U82" s="45">
        <v>1090.6379999999999</v>
      </c>
      <c r="V82" s="16"/>
      <c r="W82" s="56">
        <f t="shared" si="110"/>
        <v>1090.6379999999999</v>
      </c>
      <c r="X82" s="56">
        <f t="shared" si="120"/>
        <v>71.752499999999998</v>
      </c>
      <c r="Y82" s="45">
        <v>1454.184</v>
      </c>
      <c r="Z82" s="391"/>
      <c r="AA82" s="401">
        <f t="shared" si="118"/>
        <v>1454.184</v>
      </c>
      <c r="AB82" s="56">
        <f t="shared" si="124"/>
        <v>95.67</v>
      </c>
      <c r="AC82" s="487">
        <f t="shared" si="112"/>
        <v>65.816000000000031</v>
      </c>
      <c r="AD82" s="16">
        <f>1760+340</f>
        <v>2100</v>
      </c>
      <c r="AE82" s="16"/>
      <c r="AF82" s="494">
        <f t="shared" si="113"/>
        <v>2100</v>
      </c>
      <c r="AG82" s="56">
        <f t="shared" si="122"/>
        <v>138.15789473684211</v>
      </c>
      <c r="AH82" s="578" t="s">
        <v>496</v>
      </c>
      <c r="AI82" s="241" t="s">
        <v>191</v>
      </c>
      <c r="AJ82" s="230" t="s">
        <v>116</v>
      </c>
      <c r="AM82" s="379"/>
    </row>
    <row r="83" spans="1:39" x14ac:dyDescent="0.2">
      <c r="A83" s="132"/>
      <c r="B83" s="28">
        <v>3632</v>
      </c>
      <c r="C83" s="422">
        <v>232</v>
      </c>
      <c r="D83" s="170" t="s">
        <v>349</v>
      </c>
      <c r="E83" s="45"/>
      <c r="F83" s="16">
        <v>950</v>
      </c>
      <c r="G83" s="56">
        <f t="shared" si="105"/>
        <v>950</v>
      </c>
      <c r="H83" s="621"/>
      <c r="I83" s="618"/>
      <c r="J83" s="45">
        <f t="shared" si="116"/>
        <v>0</v>
      </c>
      <c r="K83" s="16">
        <f>F83+I83</f>
        <v>950</v>
      </c>
      <c r="L83" s="56">
        <f t="shared" si="117"/>
        <v>950</v>
      </c>
      <c r="M83" s="45"/>
      <c r="N83" s="16">
        <v>50.46</v>
      </c>
      <c r="O83" s="56">
        <f t="shared" si="108"/>
        <v>50.46</v>
      </c>
      <c r="P83" s="56">
        <f t="shared" si="121"/>
        <v>5.311578947368421</v>
      </c>
      <c r="Q83" s="45"/>
      <c r="R83" s="16">
        <v>685.71</v>
      </c>
      <c r="S83" s="56">
        <f t="shared" si="109"/>
        <v>685.71</v>
      </c>
      <c r="T83" s="56">
        <f t="shared" si="119"/>
        <v>72.180000000000007</v>
      </c>
      <c r="U83" s="45"/>
      <c r="V83" s="16">
        <v>694.56</v>
      </c>
      <c r="W83" s="56">
        <f t="shared" si="110"/>
        <v>694.56</v>
      </c>
      <c r="X83" s="56">
        <f t="shared" si="120"/>
        <v>73.111578947368415</v>
      </c>
      <c r="Y83" s="45"/>
      <c r="Z83" s="391">
        <v>694.56</v>
      </c>
      <c r="AA83" s="401">
        <f t="shared" si="118"/>
        <v>694.56</v>
      </c>
      <c r="AB83" s="56">
        <f t="shared" si="124"/>
        <v>73.111578947368415</v>
      </c>
      <c r="AC83" s="487">
        <f t="shared" si="112"/>
        <v>255.44000000000005</v>
      </c>
      <c r="AD83" s="45">
        <v>80</v>
      </c>
      <c r="AE83" s="16">
        <v>5300</v>
      </c>
      <c r="AF83" s="494">
        <f t="shared" si="113"/>
        <v>5380</v>
      </c>
      <c r="AG83" s="56"/>
      <c r="AH83" s="578"/>
      <c r="AI83" s="241" t="s">
        <v>353</v>
      </c>
      <c r="AJ83" s="230" t="s">
        <v>116</v>
      </c>
    </row>
    <row r="84" spans="1:39" x14ac:dyDescent="0.2">
      <c r="A84" s="132"/>
      <c r="B84" s="28">
        <v>3632</v>
      </c>
      <c r="C84" s="422">
        <v>238</v>
      </c>
      <c r="D84" s="170" t="s">
        <v>38</v>
      </c>
      <c r="E84" s="45">
        <v>351</v>
      </c>
      <c r="F84" s="16">
        <v>20</v>
      </c>
      <c r="G84" s="56">
        <f t="shared" si="105"/>
        <v>371</v>
      </c>
      <c r="H84" s="621">
        <v>20</v>
      </c>
      <c r="I84" s="618">
        <v>-20</v>
      </c>
      <c r="J84" s="45">
        <f t="shared" si="116"/>
        <v>371</v>
      </c>
      <c r="K84" s="16">
        <f>F84+I84</f>
        <v>0</v>
      </c>
      <c r="L84" s="56">
        <f t="shared" si="117"/>
        <v>371</v>
      </c>
      <c r="M84" s="45">
        <v>77.093000000000004</v>
      </c>
      <c r="N84" s="16"/>
      <c r="O84" s="56">
        <f t="shared" si="108"/>
        <v>77.093000000000004</v>
      </c>
      <c r="P84" s="56">
        <f t="shared" ref="P84:P90" si="125">O84/$L84*100</f>
        <v>20.77978436657682</v>
      </c>
      <c r="Q84" s="45">
        <v>166.446</v>
      </c>
      <c r="R84" s="16"/>
      <c r="S84" s="56">
        <f t="shared" si="109"/>
        <v>166.446</v>
      </c>
      <c r="T84" s="56">
        <f t="shared" ref="T84:T90" si="126">S84/$L84*100</f>
        <v>44.864150943396226</v>
      </c>
      <c r="U84" s="45">
        <v>243.27600000000001</v>
      </c>
      <c r="V84" s="16"/>
      <c r="W84" s="56">
        <f t="shared" si="110"/>
        <v>243.27600000000001</v>
      </c>
      <c r="X84" s="56">
        <f t="shared" ref="X84:X90" si="127">W84/$L84*100</f>
        <v>65.573045822102429</v>
      </c>
      <c r="Y84" s="45">
        <f>327.2074+42.4946</f>
        <v>369.702</v>
      </c>
      <c r="Z84" s="391"/>
      <c r="AA84" s="401">
        <f t="shared" si="118"/>
        <v>369.702</v>
      </c>
      <c r="AB84" s="56">
        <f t="shared" si="124"/>
        <v>99.65013477088948</v>
      </c>
      <c r="AC84" s="487">
        <f t="shared" si="112"/>
        <v>1.2980000000000018</v>
      </c>
      <c r="AD84" s="45">
        <v>359</v>
      </c>
      <c r="AE84" s="16"/>
      <c r="AF84" s="494">
        <f t="shared" si="113"/>
        <v>359</v>
      </c>
      <c r="AG84" s="56">
        <f t="shared" ref="AG84:AG90" si="128">AF84/$G84*100</f>
        <v>96.7654986522911</v>
      </c>
      <c r="AH84" s="578"/>
      <c r="AI84" s="241" t="s">
        <v>437</v>
      </c>
      <c r="AJ84" s="230" t="s">
        <v>68</v>
      </c>
    </row>
    <row r="85" spans="1:39" x14ac:dyDescent="0.2">
      <c r="A85" s="132"/>
      <c r="B85" s="28">
        <v>3635</v>
      </c>
      <c r="C85" s="422">
        <v>248</v>
      </c>
      <c r="D85" s="170" t="s">
        <v>198</v>
      </c>
      <c r="E85" s="45">
        <v>90</v>
      </c>
      <c r="F85" s="16"/>
      <c r="G85" s="56">
        <f t="shared" si="105"/>
        <v>90</v>
      </c>
      <c r="H85" s="621"/>
      <c r="I85" s="618"/>
      <c r="J85" s="45">
        <f t="shared" si="116"/>
        <v>90</v>
      </c>
      <c r="K85" s="16"/>
      <c r="L85" s="56">
        <f t="shared" si="117"/>
        <v>90</v>
      </c>
      <c r="M85" s="45"/>
      <c r="N85" s="16"/>
      <c r="O85" s="56">
        <f t="shared" si="108"/>
        <v>0</v>
      </c>
      <c r="P85" s="56">
        <f t="shared" si="125"/>
        <v>0</v>
      </c>
      <c r="Q85" s="45">
        <v>0</v>
      </c>
      <c r="R85" s="16"/>
      <c r="S85" s="56">
        <f t="shared" si="109"/>
        <v>0</v>
      </c>
      <c r="T85" s="56">
        <f t="shared" si="126"/>
        <v>0</v>
      </c>
      <c r="U85" s="45">
        <v>0</v>
      </c>
      <c r="V85" s="16"/>
      <c r="W85" s="56">
        <f t="shared" si="110"/>
        <v>0</v>
      </c>
      <c r="X85" s="56">
        <f t="shared" si="127"/>
        <v>0</v>
      </c>
      <c r="Y85" s="45"/>
      <c r="Z85" s="391"/>
      <c r="AA85" s="401">
        <f t="shared" si="118"/>
        <v>0</v>
      </c>
      <c r="AB85" s="56">
        <f t="shared" ref="AB85:AB90" si="129">AA85/$L85*100</f>
        <v>0</v>
      </c>
      <c r="AC85" s="487">
        <f t="shared" si="112"/>
        <v>90</v>
      </c>
      <c r="AD85" s="45">
        <v>90</v>
      </c>
      <c r="AE85" s="16"/>
      <c r="AF85" s="494">
        <f t="shared" si="113"/>
        <v>90</v>
      </c>
      <c r="AG85" s="56">
        <f t="shared" si="128"/>
        <v>100</v>
      </c>
      <c r="AH85" s="578" t="s">
        <v>411</v>
      </c>
      <c r="AI85" s="244" t="s">
        <v>197</v>
      </c>
      <c r="AJ85" s="236" t="s">
        <v>196</v>
      </c>
    </row>
    <row r="86" spans="1:39" x14ac:dyDescent="0.2">
      <c r="A86" s="132"/>
      <c r="B86" s="28">
        <v>3636</v>
      </c>
      <c r="C86" s="422">
        <v>249</v>
      </c>
      <c r="D86" s="170" t="s">
        <v>247</v>
      </c>
      <c r="E86" s="45">
        <v>82</v>
      </c>
      <c r="F86" s="16"/>
      <c r="G86" s="56">
        <f t="shared" si="105"/>
        <v>82</v>
      </c>
      <c r="H86" s="617">
        <v>36.169249999999998</v>
      </c>
      <c r="I86" s="618"/>
      <c r="J86" s="45">
        <f t="shared" si="116"/>
        <v>118.16925000000001</v>
      </c>
      <c r="K86" s="16"/>
      <c r="L86" s="56">
        <f t="shared" si="117"/>
        <v>118.16925000000001</v>
      </c>
      <c r="M86" s="45"/>
      <c r="N86" s="16"/>
      <c r="O86" s="56">
        <f t="shared" si="108"/>
        <v>0</v>
      </c>
      <c r="P86" s="56">
        <f t="shared" si="125"/>
        <v>0</v>
      </c>
      <c r="Q86" s="45">
        <v>0</v>
      </c>
      <c r="R86" s="16"/>
      <c r="S86" s="56">
        <f t="shared" si="109"/>
        <v>0</v>
      </c>
      <c r="T86" s="56">
        <f t="shared" si="126"/>
        <v>0</v>
      </c>
      <c r="U86" s="45">
        <v>22.814409999999999</v>
      </c>
      <c r="V86" s="16"/>
      <c r="W86" s="56">
        <f t="shared" si="110"/>
        <v>22.814409999999999</v>
      </c>
      <c r="X86" s="56">
        <f t="shared" si="127"/>
        <v>19.306553946987055</v>
      </c>
      <c r="Y86" s="45">
        <v>58.525370000000002</v>
      </c>
      <c r="Z86" s="391"/>
      <c r="AA86" s="401">
        <f t="shared" si="118"/>
        <v>58.525370000000002</v>
      </c>
      <c r="AB86" s="56">
        <f t="shared" si="129"/>
        <v>49.526733900739828</v>
      </c>
      <c r="AC86" s="487">
        <f t="shared" si="112"/>
        <v>59.643880000000003</v>
      </c>
      <c r="AD86" s="45">
        <v>100</v>
      </c>
      <c r="AE86" s="16"/>
      <c r="AF86" s="494">
        <f t="shared" si="113"/>
        <v>100</v>
      </c>
      <c r="AG86" s="56">
        <f t="shared" si="128"/>
        <v>121.95121951219512</v>
      </c>
      <c r="AH86" s="583"/>
      <c r="AI86" s="347" t="s">
        <v>468</v>
      </c>
      <c r="AJ86" s="230" t="s">
        <v>116</v>
      </c>
    </row>
    <row r="87" spans="1:39" x14ac:dyDescent="0.2">
      <c r="A87" s="132"/>
      <c r="B87" s="28">
        <v>3639</v>
      </c>
      <c r="C87" s="422">
        <v>108</v>
      </c>
      <c r="D87" s="170" t="s">
        <v>94</v>
      </c>
      <c r="E87" s="45">
        <v>330</v>
      </c>
      <c r="F87" s="16"/>
      <c r="G87" s="56">
        <f t="shared" si="105"/>
        <v>330</v>
      </c>
      <c r="H87" s="627">
        <v>166.75899999999999</v>
      </c>
      <c r="I87" s="618">
        <v>400</v>
      </c>
      <c r="J87" s="45">
        <f t="shared" si="116"/>
        <v>496.75900000000001</v>
      </c>
      <c r="K87" s="16">
        <f>F87+I87</f>
        <v>400</v>
      </c>
      <c r="L87" s="56">
        <f t="shared" si="117"/>
        <v>896.75900000000001</v>
      </c>
      <c r="M87" s="45">
        <v>316.904</v>
      </c>
      <c r="N87" s="16"/>
      <c r="O87" s="56">
        <f t="shared" si="108"/>
        <v>316.904</v>
      </c>
      <c r="P87" s="56">
        <f t="shared" si="125"/>
        <v>35.338814553296928</v>
      </c>
      <c r="Q87" s="45">
        <v>359.38339999999999</v>
      </c>
      <c r="R87" s="16"/>
      <c r="S87" s="56">
        <f t="shared" si="109"/>
        <v>359.38339999999999</v>
      </c>
      <c r="T87" s="56">
        <f t="shared" si="126"/>
        <v>40.075806320315714</v>
      </c>
      <c r="U87" s="45">
        <v>404.62529999999998</v>
      </c>
      <c r="V87" s="16"/>
      <c r="W87" s="56">
        <f t="shared" si="110"/>
        <v>404.62529999999998</v>
      </c>
      <c r="X87" s="56">
        <f t="shared" si="127"/>
        <v>45.120851867670133</v>
      </c>
      <c r="Y87" s="45">
        <f>36.61725+426.48551</f>
        <v>463.10275999999999</v>
      </c>
      <c r="Z87" s="391">
        <v>400</v>
      </c>
      <c r="AA87" s="401">
        <f t="shared" si="118"/>
        <v>863.10275999999999</v>
      </c>
      <c r="AB87" s="56">
        <f t="shared" si="129"/>
        <v>96.246902456512842</v>
      </c>
      <c r="AC87" s="487">
        <f t="shared" si="112"/>
        <v>33.656240000000025</v>
      </c>
      <c r="AD87" s="45">
        <v>341</v>
      </c>
      <c r="AE87" s="16"/>
      <c r="AF87" s="494">
        <f t="shared" si="113"/>
        <v>341</v>
      </c>
      <c r="AG87" s="56">
        <f t="shared" si="128"/>
        <v>103.33333333333334</v>
      </c>
      <c r="AH87" s="578"/>
      <c r="AI87" s="241" t="s">
        <v>153</v>
      </c>
      <c r="AJ87" s="230" t="s">
        <v>68</v>
      </c>
    </row>
    <row r="88" spans="1:39" x14ac:dyDescent="0.2">
      <c r="A88" s="132"/>
      <c r="B88" s="28">
        <v>3639</v>
      </c>
      <c r="C88" s="422">
        <v>239</v>
      </c>
      <c r="D88" s="170" t="s">
        <v>180</v>
      </c>
      <c r="E88" s="45">
        <v>436</v>
      </c>
      <c r="F88" s="16"/>
      <c r="G88" s="56">
        <f t="shared" si="105"/>
        <v>436</v>
      </c>
      <c r="H88" s="621"/>
      <c r="I88" s="618"/>
      <c r="J88" s="45">
        <f t="shared" si="116"/>
        <v>436</v>
      </c>
      <c r="K88" s="16"/>
      <c r="L88" s="56">
        <f t="shared" si="117"/>
        <v>436</v>
      </c>
      <c r="M88" s="45">
        <v>43.811720000000001</v>
      </c>
      <c r="N88" s="16"/>
      <c r="O88" s="56">
        <f t="shared" si="108"/>
        <v>43.811720000000001</v>
      </c>
      <c r="P88" s="56">
        <f t="shared" si="125"/>
        <v>10.048559633027523</v>
      </c>
      <c r="Q88" s="45">
        <v>94.340389999999999</v>
      </c>
      <c r="R88" s="16"/>
      <c r="S88" s="56">
        <f t="shared" si="109"/>
        <v>94.340389999999999</v>
      </c>
      <c r="T88" s="56">
        <f t="shared" si="126"/>
        <v>21.637704128440365</v>
      </c>
      <c r="U88" s="45">
        <v>175.60374999999999</v>
      </c>
      <c r="V88" s="16"/>
      <c r="W88" s="56">
        <f t="shared" si="110"/>
        <v>175.60374999999999</v>
      </c>
      <c r="X88" s="56">
        <f t="shared" si="127"/>
        <v>40.276089449541281</v>
      </c>
      <c r="Y88" s="45">
        <v>277.99034</v>
      </c>
      <c r="Z88" s="391"/>
      <c r="AA88" s="401">
        <f t="shared" si="118"/>
        <v>277.99034</v>
      </c>
      <c r="AB88" s="56">
        <f t="shared" si="129"/>
        <v>63.759252293577987</v>
      </c>
      <c r="AC88" s="487">
        <f t="shared" si="112"/>
        <v>158.00966</v>
      </c>
      <c r="AD88" s="45">
        <v>441</v>
      </c>
      <c r="AE88" s="16"/>
      <c r="AF88" s="494">
        <f t="shared" si="113"/>
        <v>441</v>
      </c>
      <c r="AG88" s="56">
        <f t="shared" si="128"/>
        <v>101.1467889908257</v>
      </c>
      <c r="AH88" s="578"/>
      <c r="AI88" s="241" t="s">
        <v>191</v>
      </c>
      <c r="AJ88" s="230" t="s">
        <v>116</v>
      </c>
    </row>
    <row r="89" spans="1:39" x14ac:dyDescent="0.2">
      <c r="A89" s="132"/>
      <c r="B89" s="28">
        <v>3639</v>
      </c>
      <c r="C89" s="422">
        <v>243</v>
      </c>
      <c r="D89" s="170" t="s">
        <v>149</v>
      </c>
      <c r="E89" s="45">
        <f>61+308</f>
        <v>369</v>
      </c>
      <c r="F89" s="16"/>
      <c r="G89" s="56">
        <f t="shared" si="105"/>
        <v>369</v>
      </c>
      <c r="H89" s="621">
        <v>36</v>
      </c>
      <c r="I89" s="618"/>
      <c r="J89" s="45">
        <f t="shared" si="116"/>
        <v>405</v>
      </c>
      <c r="K89" s="16"/>
      <c r="L89" s="56">
        <f t="shared" si="117"/>
        <v>405</v>
      </c>
      <c r="M89" s="45">
        <v>81.067239999999998</v>
      </c>
      <c r="N89" s="16"/>
      <c r="O89" s="56">
        <f t="shared" si="108"/>
        <v>81.067239999999998</v>
      </c>
      <c r="P89" s="56">
        <f t="shared" si="125"/>
        <v>20.016602469135801</v>
      </c>
      <c r="Q89" s="45">
        <v>163.60088999999999</v>
      </c>
      <c r="R89" s="16"/>
      <c r="S89" s="56">
        <f t="shared" si="109"/>
        <v>163.60088999999999</v>
      </c>
      <c r="T89" s="56">
        <f t="shared" si="126"/>
        <v>40.395281481481483</v>
      </c>
      <c r="U89" s="45">
        <v>285.83353</v>
      </c>
      <c r="V89" s="16"/>
      <c r="W89" s="56">
        <f t="shared" si="110"/>
        <v>285.83353</v>
      </c>
      <c r="X89" s="56">
        <f t="shared" si="127"/>
        <v>70.57618024691358</v>
      </c>
      <c r="Y89" s="45">
        <v>412.64098999999999</v>
      </c>
      <c r="Z89" s="391"/>
      <c r="AA89" s="401">
        <f t="shared" si="118"/>
        <v>412.64098999999999</v>
      </c>
      <c r="AB89" s="56">
        <f t="shared" si="129"/>
        <v>101.88666419753085</v>
      </c>
      <c r="AC89" s="487">
        <f t="shared" si="112"/>
        <v>-7.640989999999988</v>
      </c>
      <c r="AD89" s="45">
        <f>73+442</f>
        <v>515</v>
      </c>
      <c r="AE89" s="16"/>
      <c r="AF89" s="494">
        <f t="shared" si="113"/>
        <v>515</v>
      </c>
      <c r="AG89" s="56">
        <f t="shared" si="128"/>
        <v>139.56639566395663</v>
      </c>
      <c r="AH89" s="578"/>
      <c r="AI89" s="243" t="s">
        <v>68</v>
      </c>
      <c r="AJ89" s="230" t="s">
        <v>287</v>
      </c>
    </row>
    <row r="90" spans="1:39" x14ac:dyDescent="0.2">
      <c r="A90" s="132"/>
      <c r="B90" s="28">
        <v>3639</v>
      </c>
      <c r="C90" s="422">
        <v>319</v>
      </c>
      <c r="D90" s="170" t="s">
        <v>257</v>
      </c>
      <c r="E90" s="45">
        <v>227</v>
      </c>
      <c r="F90" s="16"/>
      <c r="G90" s="56">
        <f t="shared" si="105"/>
        <v>227</v>
      </c>
      <c r="H90" s="627"/>
      <c r="I90" s="618"/>
      <c r="J90" s="45">
        <f t="shared" si="116"/>
        <v>227</v>
      </c>
      <c r="K90" s="16"/>
      <c r="L90" s="56">
        <f t="shared" si="117"/>
        <v>227</v>
      </c>
      <c r="M90" s="45">
        <v>56.7</v>
      </c>
      <c r="N90" s="16"/>
      <c r="O90" s="56">
        <f t="shared" si="108"/>
        <v>56.7</v>
      </c>
      <c r="P90" s="56">
        <f t="shared" si="125"/>
        <v>24.977973568281939</v>
      </c>
      <c r="Q90" s="45">
        <v>113.4</v>
      </c>
      <c r="R90" s="16"/>
      <c r="S90" s="56">
        <f t="shared" si="109"/>
        <v>113.4</v>
      </c>
      <c r="T90" s="56">
        <f t="shared" si="126"/>
        <v>49.955947136563879</v>
      </c>
      <c r="U90" s="45">
        <v>170.1</v>
      </c>
      <c r="V90" s="16"/>
      <c r="W90" s="56">
        <f t="shared" si="110"/>
        <v>170.1</v>
      </c>
      <c r="X90" s="56">
        <f t="shared" si="127"/>
        <v>74.933920704845818</v>
      </c>
      <c r="Y90" s="45">
        <f>226.8</f>
        <v>226.8</v>
      </c>
      <c r="Z90" s="391"/>
      <c r="AA90" s="401">
        <f t="shared" si="118"/>
        <v>226.8</v>
      </c>
      <c r="AB90" s="56">
        <f t="shared" si="129"/>
        <v>99.911894273127757</v>
      </c>
      <c r="AC90" s="487">
        <f t="shared" si="112"/>
        <v>0.19999999999998863</v>
      </c>
      <c r="AD90" s="45">
        <v>227</v>
      </c>
      <c r="AE90" s="16"/>
      <c r="AF90" s="494">
        <f t="shared" si="113"/>
        <v>227</v>
      </c>
      <c r="AG90" s="56">
        <f t="shared" si="128"/>
        <v>100</v>
      </c>
      <c r="AH90" s="578" t="s">
        <v>497</v>
      </c>
      <c r="AI90" s="241" t="s">
        <v>437</v>
      </c>
      <c r="AJ90" s="230" t="s">
        <v>68</v>
      </c>
    </row>
    <row r="91" spans="1:39" x14ac:dyDescent="0.2">
      <c r="A91" s="134"/>
      <c r="B91" s="34">
        <v>3639</v>
      </c>
      <c r="C91" s="34">
        <v>319.20999999999998</v>
      </c>
      <c r="D91" s="297" t="s">
        <v>255</v>
      </c>
      <c r="E91" s="67">
        <f>36+91</f>
        <v>127</v>
      </c>
      <c r="F91" s="16"/>
      <c r="G91" s="56">
        <f t="shared" si="105"/>
        <v>127</v>
      </c>
      <c r="H91" s="630">
        <v>-36</v>
      </c>
      <c r="I91" s="623"/>
      <c r="J91" s="60">
        <f t="shared" si="106"/>
        <v>91</v>
      </c>
      <c r="K91" s="63"/>
      <c r="L91" s="62">
        <f t="shared" si="107"/>
        <v>91</v>
      </c>
      <c r="M91" s="67">
        <v>20.995000000000001</v>
      </c>
      <c r="N91" s="16"/>
      <c r="O91" s="56">
        <f t="shared" si="108"/>
        <v>20.995000000000001</v>
      </c>
      <c r="P91" s="62">
        <f t="shared" ref="P91" si="130">O91/$L91*100</f>
        <v>23.071428571428573</v>
      </c>
      <c r="Q91" s="67">
        <v>33.984999999999999</v>
      </c>
      <c r="R91" s="16"/>
      <c r="S91" s="56">
        <f t="shared" si="109"/>
        <v>33.984999999999999</v>
      </c>
      <c r="T91" s="62">
        <f t="shared" ref="T91:T98" si="131">S91/$L91*100</f>
        <v>37.346153846153847</v>
      </c>
      <c r="U91" s="67">
        <v>51.085000000000001</v>
      </c>
      <c r="V91" s="16"/>
      <c r="W91" s="56">
        <f t="shared" si="110"/>
        <v>51.085000000000001</v>
      </c>
      <c r="X91" s="62">
        <f t="shared" ref="X91:X98" si="132">W91/$L91*100</f>
        <v>56.137362637362642</v>
      </c>
      <c r="Y91" s="424">
        <v>84.706000000000003</v>
      </c>
      <c r="Z91" s="391"/>
      <c r="AA91" s="401">
        <f t="shared" si="111"/>
        <v>84.706000000000003</v>
      </c>
      <c r="AB91" s="62">
        <f t="shared" ref="AB91:AB99" si="133">AA91/$L91*100</f>
        <v>93.083516483516476</v>
      </c>
      <c r="AC91" s="487">
        <f t="shared" si="112"/>
        <v>6.2939999999999969</v>
      </c>
      <c r="AD91" s="424">
        <f>10+96</f>
        <v>106</v>
      </c>
      <c r="AE91" s="16"/>
      <c r="AF91" s="494">
        <f t="shared" si="113"/>
        <v>106</v>
      </c>
      <c r="AG91" s="62">
        <f t="shared" ref="AG91" si="134">AF91/$G91*100</f>
        <v>83.464566929133852</v>
      </c>
      <c r="AH91" s="580" t="s">
        <v>333</v>
      </c>
      <c r="AI91" s="241" t="s">
        <v>437</v>
      </c>
      <c r="AJ91" s="232" t="s">
        <v>68</v>
      </c>
    </row>
    <row r="92" spans="1:39" x14ac:dyDescent="0.2">
      <c r="A92" s="133">
        <v>37</v>
      </c>
      <c r="B92" s="24"/>
      <c r="C92" s="24"/>
      <c r="D92" s="296" t="s">
        <v>114</v>
      </c>
      <c r="E92" s="57">
        <f>SUM(E93:E102)</f>
        <v>14441</v>
      </c>
      <c r="F92" s="58">
        <f>SUM(F93:F102)</f>
        <v>2307</v>
      </c>
      <c r="G92" s="59">
        <f>SUM(G93:G102)</f>
        <v>16748</v>
      </c>
      <c r="H92" s="619">
        <f t="shared" ref="H92:L92" si="135">SUM(H93:H102)</f>
        <v>114</v>
      </c>
      <c r="I92" s="620">
        <f t="shared" si="135"/>
        <v>96</v>
      </c>
      <c r="J92" s="57">
        <f t="shared" si="135"/>
        <v>14555</v>
      </c>
      <c r="K92" s="58">
        <f t="shared" si="135"/>
        <v>2403</v>
      </c>
      <c r="L92" s="59">
        <f t="shared" si="135"/>
        <v>16958</v>
      </c>
      <c r="M92" s="57">
        <f>SUM(M93:M102)</f>
        <v>2480.8162699999998</v>
      </c>
      <c r="N92" s="58">
        <f>SUM(N93:N102)</f>
        <v>914.92749000000003</v>
      </c>
      <c r="O92" s="59">
        <f>SUM(O93:O102)</f>
        <v>3395.7437599999998</v>
      </c>
      <c r="P92" s="59">
        <f t="shared" ref="P92:P131" si="136">O92/$L92*100</f>
        <v>20.024435428706212</v>
      </c>
      <c r="Q92" s="57">
        <f>SUM(Q93:Q102)</f>
        <v>6521.9913699999997</v>
      </c>
      <c r="R92" s="58">
        <f>SUM(R93:R102)</f>
        <v>1092.1786999999999</v>
      </c>
      <c r="S92" s="59">
        <f>SUM(S93:S102)</f>
        <v>7614.1700700000001</v>
      </c>
      <c r="T92" s="59">
        <f t="shared" si="131"/>
        <v>44.900165526595117</v>
      </c>
      <c r="U92" s="57">
        <f>SUM(U93:U102)</f>
        <v>9983.6772700000001</v>
      </c>
      <c r="V92" s="58">
        <f>SUM(V93:V102)</f>
        <v>2007.10619</v>
      </c>
      <c r="W92" s="59">
        <f>SUM(W93:W102)</f>
        <v>11990.783460000001</v>
      </c>
      <c r="X92" s="59">
        <f t="shared" si="132"/>
        <v>70.708712466092706</v>
      </c>
      <c r="Y92" s="57">
        <f>SUM(Y93:Y102)</f>
        <v>13988.130290000001</v>
      </c>
      <c r="Z92" s="392">
        <f>SUM(Z93:Z102)</f>
        <v>2397.7769199999998</v>
      </c>
      <c r="AA92" s="408">
        <f>SUM(AA93:AA102)</f>
        <v>16385.907210000005</v>
      </c>
      <c r="AB92" s="59">
        <f t="shared" si="133"/>
        <v>96.626413551126348</v>
      </c>
      <c r="AC92" s="488">
        <f>SUM(AC93:AC102)</f>
        <v>572.09278999999958</v>
      </c>
      <c r="AD92" s="57">
        <f>SUM(AD93:AD102)</f>
        <v>13890</v>
      </c>
      <c r="AE92" s="58">
        <f>SUM(AE93:AE102)</f>
        <v>1830</v>
      </c>
      <c r="AF92" s="495">
        <f>SUM(AF93:AF102)</f>
        <v>15720</v>
      </c>
      <c r="AG92" s="59">
        <f t="shared" ref="AG92:AG101" si="137">AF92/$G92*100</f>
        <v>93.861953666109386</v>
      </c>
      <c r="AH92" s="579"/>
      <c r="AI92" s="54"/>
      <c r="AJ92" s="83"/>
    </row>
    <row r="93" spans="1:39" x14ac:dyDescent="0.2">
      <c r="A93" s="132"/>
      <c r="B93" s="28">
        <v>3722</v>
      </c>
      <c r="C93" s="422">
        <v>240</v>
      </c>
      <c r="D93" s="170" t="s">
        <v>77</v>
      </c>
      <c r="E93" s="45">
        <f>6786+455</f>
        <v>7241</v>
      </c>
      <c r="F93" s="16"/>
      <c r="G93" s="56">
        <f>E93+F93</f>
        <v>7241</v>
      </c>
      <c r="H93" s="617">
        <v>200</v>
      </c>
      <c r="I93" s="618"/>
      <c r="J93" s="45">
        <f t="shared" ref="J93:J102" si="138">E93+H93</f>
        <v>7441</v>
      </c>
      <c r="K93" s="16"/>
      <c r="L93" s="56">
        <f t="shared" ref="L93:L102" si="139">SUM(J93:K93)</f>
        <v>7441</v>
      </c>
      <c r="M93" s="45">
        <v>1678.89509</v>
      </c>
      <c r="N93" s="16"/>
      <c r="O93" s="56">
        <f>M93+N93</f>
        <v>1678.89509</v>
      </c>
      <c r="P93" s="56">
        <f t="shared" si="136"/>
        <v>22.562761591183982</v>
      </c>
      <c r="Q93" s="45">
        <v>3674.6432500000001</v>
      </c>
      <c r="R93" s="16"/>
      <c r="S93" s="56">
        <f>Q93+R93</f>
        <v>3674.6432500000001</v>
      </c>
      <c r="T93" s="56">
        <f t="shared" si="131"/>
        <v>49.383728665501955</v>
      </c>
      <c r="U93" s="45">
        <v>5645.3951800000004</v>
      </c>
      <c r="V93" s="16"/>
      <c r="W93" s="56">
        <f>U93+V93</f>
        <v>5645.3951800000004</v>
      </c>
      <c r="X93" s="56">
        <f t="shared" si="132"/>
        <v>75.868770057787941</v>
      </c>
      <c r="Y93" s="45">
        <f>7388.16762+46.827+31.0105</f>
        <v>7466.0051200000007</v>
      </c>
      <c r="Z93" s="391"/>
      <c r="AA93" s="401">
        <f>Y93+Z93</f>
        <v>7466.0051200000007</v>
      </c>
      <c r="AB93" s="56">
        <f t="shared" si="133"/>
        <v>100.33604515522107</v>
      </c>
      <c r="AC93" s="487">
        <f t="shared" ref="AC93:AC102" si="140">L93-AA93</f>
        <v>-25.005120000000716</v>
      </c>
      <c r="AD93" s="16">
        <f>7459</f>
        <v>7459</v>
      </c>
      <c r="AE93" s="16"/>
      <c r="AF93" s="494">
        <f>AD93+AE93</f>
        <v>7459</v>
      </c>
      <c r="AG93" s="56">
        <f t="shared" si="137"/>
        <v>103.01063389034664</v>
      </c>
      <c r="AH93" s="578" t="s">
        <v>500</v>
      </c>
      <c r="AI93" s="241" t="s">
        <v>293</v>
      </c>
      <c r="AJ93" s="230" t="s">
        <v>191</v>
      </c>
    </row>
    <row r="94" spans="1:39" x14ac:dyDescent="0.2">
      <c r="A94" s="132"/>
      <c r="B94" s="28">
        <v>3722</v>
      </c>
      <c r="C94" s="422">
        <v>5110</v>
      </c>
      <c r="D94" s="170" t="s">
        <v>266</v>
      </c>
      <c r="E94" s="45">
        <f>259+135+541</f>
        <v>935</v>
      </c>
      <c r="F94" s="16">
        <v>177</v>
      </c>
      <c r="G94" s="56">
        <f t="shared" ref="G94:G99" si="141">E94+F94</f>
        <v>1112</v>
      </c>
      <c r="H94" s="617"/>
      <c r="I94" s="618"/>
      <c r="J94" s="45">
        <f t="shared" si="138"/>
        <v>935</v>
      </c>
      <c r="K94" s="16">
        <f>F94+I94</f>
        <v>177</v>
      </c>
      <c r="L94" s="56">
        <f t="shared" si="139"/>
        <v>1112</v>
      </c>
      <c r="M94" s="45">
        <v>258.88659999999999</v>
      </c>
      <c r="N94" s="16"/>
      <c r="O94" s="56">
        <f t="shared" ref="O94:O99" si="142">M94+N94</f>
        <v>258.88659999999999</v>
      </c>
      <c r="P94" s="56">
        <f t="shared" si="136"/>
        <v>23.281169064748202</v>
      </c>
      <c r="Q94" s="45">
        <v>596.88660000000004</v>
      </c>
      <c r="R94" s="16">
        <v>175.25120999999999</v>
      </c>
      <c r="S94" s="56">
        <f t="shared" ref="S94:S99" si="143">Q94+R94</f>
        <v>772.13781000000006</v>
      </c>
      <c r="T94" s="56">
        <f t="shared" si="131"/>
        <v>69.436853417266192</v>
      </c>
      <c r="U94" s="45">
        <v>934.88660000000004</v>
      </c>
      <c r="V94" s="16">
        <v>175.25120999999999</v>
      </c>
      <c r="W94" s="56">
        <f t="shared" ref="W94:W99" si="144">U94+V94</f>
        <v>1110.1378099999999</v>
      </c>
      <c r="X94" s="56">
        <f t="shared" si="132"/>
        <v>99.832536870503603</v>
      </c>
      <c r="Y94" s="45">
        <v>934.88689999999997</v>
      </c>
      <c r="Z94" s="447">
        <v>175.25120999999999</v>
      </c>
      <c r="AA94" s="401">
        <f t="shared" ref="AA94:AA99" si="145">Y94+Z94</f>
        <v>1110.1381099999999</v>
      </c>
      <c r="AB94" s="56">
        <f t="shared" si="133"/>
        <v>99.832563848920856</v>
      </c>
      <c r="AC94" s="487">
        <f t="shared" si="140"/>
        <v>1.8618900000001304</v>
      </c>
      <c r="AD94" s="45">
        <v>361</v>
      </c>
      <c r="AE94" s="16"/>
      <c r="AF94" s="494">
        <f t="shared" ref="AF94:AF100" si="146">AD94+AE94</f>
        <v>361</v>
      </c>
      <c r="AG94" s="56">
        <f t="shared" si="137"/>
        <v>32.464028776978417</v>
      </c>
      <c r="AH94" s="578"/>
      <c r="AI94" s="241" t="s">
        <v>293</v>
      </c>
      <c r="AJ94" s="230" t="s">
        <v>191</v>
      </c>
    </row>
    <row r="95" spans="1:39" s="349" customFormat="1" x14ac:dyDescent="0.2">
      <c r="A95" s="132"/>
      <c r="B95" s="28">
        <v>3722</v>
      </c>
      <c r="C95" s="422" t="s">
        <v>414</v>
      </c>
      <c r="D95" s="170" t="s">
        <v>378</v>
      </c>
      <c r="E95" s="45"/>
      <c r="F95" s="16">
        <v>1830</v>
      </c>
      <c r="G95" s="56">
        <f t="shared" si="141"/>
        <v>1830</v>
      </c>
      <c r="H95" s="617"/>
      <c r="I95" s="618"/>
      <c r="J95" s="45">
        <f t="shared" ref="J95:J98" si="147">E95+H95</f>
        <v>0</v>
      </c>
      <c r="K95" s="16">
        <f t="shared" ref="K95:K98" si="148">F95+I95</f>
        <v>1830</v>
      </c>
      <c r="L95" s="56">
        <f t="shared" ref="L95:L98" si="149">SUM(J95:K95)</f>
        <v>1830</v>
      </c>
      <c r="M95" s="45"/>
      <c r="N95" s="16">
        <v>914.92749000000003</v>
      </c>
      <c r="O95" s="56">
        <f t="shared" si="142"/>
        <v>914.92749000000003</v>
      </c>
      <c r="P95" s="56">
        <f t="shared" si="136"/>
        <v>49.996037704918031</v>
      </c>
      <c r="Q95" s="45"/>
      <c r="R95" s="16">
        <v>914.92749000000003</v>
      </c>
      <c r="S95" s="56">
        <f t="shared" si="143"/>
        <v>914.92749000000003</v>
      </c>
      <c r="T95" s="56">
        <f t="shared" si="131"/>
        <v>49.996037704918031</v>
      </c>
      <c r="U95" s="45"/>
      <c r="V95" s="16">
        <v>1829.8549800000001</v>
      </c>
      <c r="W95" s="56">
        <f t="shared" si="144"/>
        <v>1829.8549800000001</v>
      </c>
      <c r="X95" s="56">
        <f t="shared" si="132"/>
        <v>99.992075409836062</v>
      </c>
      <c r="Y95" s="45"/>
      <c r="Z95" s="391">
        <v>1829.8549800000001</v>
      </c>
      <c r="AA95" s="407">
        <f t="shared" si="145"/>
        <v>1829.8549800000001</v>
      </c>
      <c r="AB95" s="56">
        <f t="shared" si="133"/>
        <v>99.992075409836062</v>
      </c>
      <c r="AC95" s="487">
        <f t="shared" si="140"/>
        <v>0.14501999999993131</v>
      </c>
      <c r="AD95" s="16"/>
      <c r="AE95" s="16">
        <f>915+915</f>
        <v>1830</v>
      </c>
      <c r="AF95" s="494">
        <f t="shared" si="146"/>
        <v>1830</v>
      </c>
      <c r="AG95" s="56">
        <f t="shared" si="137"/>
        <v>100</v>
      </c>
      <c r="AH95" s="578" t="s">
        <v>590</v>
      </c>
      <c r="AI95" s="241" t="s">
        <v>293</v>
      </c>
      <c r="AJ95" s="230" t="s">
        <v>116</v>
      </c>
    </row>
    <row r="96" spans="1:39" s="349" customFormat="1" x14ac:dyDescent="0.2">
      <c r="A96" s="132"/>
      <c r="B96" s="28">
        <v>3722</v>
      </c>
      <c r="C96" s="422" t="s">
        <v>415</v>
      </c>
      <c r="D96" s="170" t="s">
        <v>387</v>
      </c>
      <c r="E96" s="45">
        <v>994</v>
      </c>
      <c r="F96" s="16"/>
      <c r="G96" s="56">
        <f t="shared" si="141"/>
        <v>994</v>
      </c>
      <c r="H96" s="617"/>
      <c r="I96" s="618"/>
      <c r="J96" s="45">
        <f t="shared" si="147"/>
        <v>994</v>
      </c>
      <c r="K96" s="16">
        <f t="shared" si="148"/>
        <v>0</v>
      </c>
      <c r="L96" s="56">
        <f t="shared" si="149"/>
        <v>994</v>
      </c>
      <c r="M96" s="45"/>
      <c r="N96" s="16"/>
      <c r="O96" s="56">
        <f t="shared" si="142"/>
        <v>0</v>
      </c>
      <c r="P96" s="56">
        <f t="shared" si="136"/>
        <v>0</v>
      </c>
      <c r="Q96" s="45">
        <v>993.09020999999996</v>
      </c>
      <c r="R96" s="16"/>
      <c r="S96" s="56">
        <f t="shared" si="143"/>
        <v>993.09020999999996</v>
      </c>
      <c r="T96" s="56">
        <f t="shared" si="131"/>
        <v>99.908471830985917</v>
      </c>
      <c r="U96" s="45">
        <v>993.09020999999996</v>
      </c>
      <c r="V96" s="16"/>
      <c r="W96" s="56">
        <f t="shared" si="144"/>
        <v>993.09020999999996</v>
      </c>
      <c r="X96" s="56">
        <f t="shared" si="132"/>
        <v>99.908471830985917</v>
      </c>
      <c r="Y96" s="45">
        <v>993.09020999999996</v>
      </c>
      <c r="Z96" s="391"/>
      <c r="AA96" s="401">
        <f t="shared" si="145"/>
        <v>993.09020999999996</v>
      </c>
      <c r="AB96" s="56">
        <f t="shared" si="133"/>
        <v>99.908471830985917</v>
      </c>
      <c r="AC96" s="487">
        <f t="shared" si="140"/>
        <v>0.90979000000004362</v>
      </c>
      <c r="AD96" s="45"/>
      <c r="AE96" s="16"/>
      <c r="AF96" s="494">
        <f t="shared" si="146"/>
        <v>0</v>
      </c>
      <c r="AG96" s="56"/>
      <c r="AH96" s="578" t="s">
        <v>501</v>
      </c>
      <c r="AI96" s="240" t="s">
        <v>193</v>
      </c>
      <c r="AJ96" s="229" t="s">
        <v>467</v>
      </c>
    </row>
    <row r="97" spans="1:36" s="349" customFormat="1" x14ac:dyDescent="0.2">
      <c r="A97" s="132"/>
      <c r="B97" s="28">
        <v>3722</v>
      </c>
      <c r="C97" s="422">
        <v>250</v>
      </c>
      <c r="D97" s="170" t="s">
        <v>369</v>
      </c>
      <c r="E97" s="45">
        <v>515</v>
      </c>
      <c r="F97" s="16">
        <f>239+61</f>
        <v>300</v>
      </c>
      <c r="G97" s="56">
        <f t="shared" si="141"/>
        <v>815</v>
      </c>
      <c r="H97" s="617">
        <f>40-6</f>
        <v>34</v>
      </c>
      <c r="I97" s="618">
        <f>90+6</f>
        <v>96</v>
      </c>
      <c r="J97" s="45">
        <f t="shared" si="147"/>
        <v>549</v>
      </c>
      <c r="K97" s="16">
        <f t="shared" si="148"/>
        <v>396</v>
      </c>
      <c r="L97" s="56">
        <f t="shared" si="149"/>
        <v>945</v>
      </c>
      <c r="M97" s="45"/>
      <c r="N97" s="16"/>
      <c r="O97" s="56">
        <f t="shared" si="142"/>
        <v>0</v>
      </c>
      <c r="P97" s="56">
        <f t="shared" si="136"/>
        <v>0</v>
      </c>
      <c r="Q97" s="45">
        <v>0.16300000000000001</v>
      </c>
      <c r="R97" s="16">
        <v>2</v>
      </c>
      <c r="S97" s="56">
        <f t="shared" si="143"/>
        <v>2.1629999999999998</v>
      </c>
      <c r="T97" s="56">
        <f t="shared" si="131"/>
        <v>0.22888888888888884</v>
      </c>
      <c r="U97" s="45">
        <f>5.415-V97</f>
        <v>3.415</v>
      </c>
      <c r="V97" s="16">
        <v>2</v>
      </c>
      <c r="W97" s="56">
        <f t="shared" si="144"/>
        <v>5.415</v>
      </c>
      <c r="X97" s="56">
        <f t="shared" si="132"/>
        <v>0.57301587301587298</v>
      </c>
      <c r="Y97" s="45">
        <f>541.886+0.163</f>
        <v>542.04899999999998</v>
      </c>
      <c r="Z97" s="391">
        <f>295.87073+96.8</f>
        <v>392.67072999999999</v>
      </c>
      <c r="AA97" s="401">
        <f t="shared" si="145"/>
        <v>934.71973000000003</v>
      </c>
      <c r="AB97" s="56">
        <f t="shared" si="133"/>
        <v>98.912140740740739</v>
      </c>
      <c r="AC97" s="487">
        <f t="shared" si="140"/>
        <v>10.280269999999973</v>
      </c>
      <c r="AD97" s="45"/>
      <c r="AE97" s="16"/>
      <c r="AF97" s="494">
        <f t="shared" si="146"/>
        <v>0</v>
      </c>
      <c r="AG97" s="56"/>
      <c r="AH97" s="578" t="s">
        <v>455</v>
      </c>
      <c r="AI97" s="241" t="s">
        <v>293</v>
      </c>
      <c r="AJ97" s="241" t="s">
        <v>353</v>
      </c>
    </row>
    <row r="98" spans="1:36" x14ac:dyDescent="0.2">
      <c r="A98" s="132"/>
      <c r="B98" s="28">
        <v>3745</v>
      </c>
      <c r="C98" s="422">
        <v>241</v>
      </c>
      <c r="D98" s="170" t="s">
        <v>78</v>
      </c>
      <c r="E98" s="45">
        <f>1885+2316-200</f>
        <v>4001</v>
      </c>
      <c r="F98" s="16"/>
      <c r="G98" s="56">
        <f t="shared" si="141"/>
        <v>4001</v>
      </c>
      <c r="H98" s="617">
        <v>-120</v>
      </c>
      <c r="I98" s="618"/>
      <c r="J98" s="45">
        <f t="shared" si="147"/>
        <v>3881</v>
      </c>
      <c r="K98" s="16">
        <f t="shared" si="148"/>
        <v>0</v>
      </c>
      <c r="L98" s="56">
        <f t="shared" si="149"/>
        <v>3881</v>
      </c>
      <c r="M98" s="45">
        <v>454.66800000000001</v>
      </c>
      <c r="N98" s="16"/>
      <c r="O98" s="56">
        <f t="shared" si="142"/>
        <v>454.66800000000001</v>
      </c>
      <c r="P98" s="56">
        <f>O98/$L98*100</f>
        <v>11.715228034011853</v>
      </c>
      <c r="Q98" s="45">
        <v>1015.99078</v>
      </c>
      <c r="R98" s="16"/>
      <c r="S98" s="56">
        <f t="shared" si="143"/>
        <v>1015.99078</v>
      </c>
      <c r="T98" s="56">
        <f t="shared" si="131"/>
        <v>26.178582324143264</v>
      </c>
      <c r="U98" s="45">
        <v>2044.42175</v>
      </c>
      <c r="V98" s="16"/>
      <c r="W98" s="56">
        <f t="shared" si="144"/>
        <v>2044.42175</v>
      </c>
      <c r="X98" s="56">
        <f t="shared" si="132"/>
        <v>52.677705488276217</v>
      </c>
      <c r="Y98" s="45">
        <f>3512.50179</f>
        <v>3512.5017899999998</v>
      </c>
      <c r="Z98" s="391"/>
      <c r="AA98" s="401">
        <f t="shared" si="145"/>
        <v>3512.5017899999998</v>
      </c>
      <c r="AB98" s="56">
        <f t="shared" si="133"/>
        <v>90.505070600360725</v>
      </c>
      <c r="AC98" s="487">
        <f t="shared" si="140"/>
        <v>368.4982100000002</v>
      </c>
      <c r="AD98" s="45">
        <f>1736+2317+300+300</f>
        <v>4653</v>
      </c>
      <c r="AE98" s="16"/>
      <c r="AF98" s="494">
        <f t="shared" si="146"/>
        <v>4653</v>
      </c>
      <c r="AG98" s="56">
        <f t="shared" si="137"/>
        <v>116.29592601849536</v>
      </c>
      <c r="AH98" s="578"/>
      <c r="AI98" s="241" t="s">
        <v>268</v>
      </c>
      <c r="AJ98" s="230" t="s">
        <v>191</v>
      </c>
    </row>
    <row r="99" spans="1:36" x14ac:dyDescent="0.2">
      <c r="A99" s="132"/>
      <c r="B99" s="28">
        <v>3745</v>
      </c>
      <c r="C99" s="422">
        <v>242</v>
      </c>
      <c r="D99" s="170" t="s">
        <v>234</v>
      </c>
      <c r="E99" s="45">
        <v>405</v>
      </c>
      <c r="F99" s="16"/>
      <c r="G99" s="56">
        <f t="shared" si="141"/>
        <v>405</v>
      </c>
      <c r="H99" s="627"/>
      <c r="I99" s="618"/>
      <c r="J99" s="45">
        <f t="shared" si="138"/>
        <v>405</v>
      </c>
      <c r="K99" s="16"/>
      <c r="L99" s="56">
        <f t="shared" si="139"/>
        <v>405</v>
      </c>
      <c r="M99" s="45">
        <v>88.33</v>
      </c>
      <c r="N99" s="16"/>
      <c r="O99" s="56">
        <f t="shared" si="142"/>
        <v>88.33</v>
      </c>
      <c r="P99" s="56">
        <f>O99/$L99*100</f>
        <v>21.809876543209878</v>
      </c>
      <c r="Q99" s="45">
        <v>241.08850000000001</v>
      </c>
      <c r="R99" s="16"/>
      <c r="S99" s="56">
        <f t="shared" si="143"/>
        <v>241.08850000000001</v>
      </c>
      <c r="T99" s="56">
        <f>S99/$L99*100</f>
        <v>59.528024691358027</v>
      </c>
      <c r="U99" s="45">
        <v>362.33550000000002</v>
      </c>
      <c r="V99" s="16"/>
      <c r="W99" s="56">
        <f t="shared" si="144"/>
        <v>362.33550000000002</v>
      </c>
      <c r="X99" s="56">
        <f>W99/$L99*100</f>
        <v>89.465555555555568</v>
      </c>
      <c r="Y99" s="45">
        <v>404.39449999999999</v>
      </c>
      <c r="Z99" s="391"/>
      <c r="AA99" s="401">
        <f t="shared" si="145"/>
        <v>404.39449999999999</v>
      </c>
      <c r="AB99" s="56">
        <f t="shared" si="133"/>
        <v>99.850493827160491</v>
      </c>
      <c r="AC99" s="487">
        <f t="shared" si="140"/>
        <v>0.60550000000000637</v>
      </c>
      <c r="AD99" s="45">
        <f>417</f>
        <v>417</v>
      </c>
      <c r="AE99" s="16"/>
      <c r="AF99" s="494">
        <f t="shared" si="146"/>
        <v>417</v>
      </c>
      <c r="AG99" s="56">
        <f t="shared" si="137"/>
        <v>102.96296296296296</v>
      </c>
      <c r="AH99" s="578"/>
      <c r="AI99" s="241" t="s">
        <v>268</v>
      </c>
      <c r="AJ99" s="230" t="s">
        <v>191</v>
      </c>
    </row>
    <row r="100" spans="1:36" s="426" customFormat="1" x14ac:dyDescent="0.2">
      <c r="A100" s="132"/>
      <c r="B100" s="422">
        <v>3745</v>
      </c>
      <c r="C100" s="422">
        <v>212</v>
      </c>
      <c r="D100" s="170" t="s">
        <v>559</v>
      </c>
      <c r="E100" s="45"/>
      <c r="F100" s="16"/>
      <c r="G100" s="56"/>
      <c r="H100" s="627"/>
      <c r="I100" s="618"/>
      <c r="J100" s="45"/>
      <c r="K100" s="16"/>
      <c r="L100" s="56"/>
      <c r="M100" s="45"/>
      <c r="N100" s="16"/>
      <c r="O100" s="56"/>
      <c r="P100" s="56"/>
      <c r="Q100" s="45"/>
      <c r="R100" s="16"/>
      <c r="S100" s="56"/>
      <c r="T100" s="56"/>
      <c r="U100" s="45"/>
      <c r="V100" s="16"/>
      <c r="W100" s="56"/>
      <c r="X100" s="56"/>
      <c r="Y100" s="45"/>
      <c r="Z100" s="391"/>
      <c r="AA100" s="401"/>
      <c r="AB100" s="56"/>
      <c r="AC100" s="487"/>
      <c r="AD100" s="45">
        <v>800</v>
      </c>
      <c r="AE100" s="16"/>
      <c r="AF100" s="494">
        <f t="shared" si="146"/>
        <v>800</v>
      </c>
      <c r="AG100" s="56"/>
      <c r="AH100" s="578"/>
      <c r="AI100" s="241" t="s">
        <v>353</v>
      </c>
      <c r="AJ100" s="230" t="s">
        <v>116</v>
      </c>
    </row>
    <row r="101" spans="1:36" x14ac:dyDescent="0.2">
      <c r="A101" s="132"/>
      <c r="B101" s="28">
        <v>3745</v>
      </c>
      <c r="C101" s="422">
        <v>246</v>
      </c>
      <c r="D101" s="170" t="s">
        <v>469</v>
      </c>
      <c r="E101" s="45">
        <f>36+100+14+200</f>
        <v>350</v>
      </c>
      <c r="F101" s="16"/>
      <c r="G101" s="56">
        <f>E101+F101</f>
        <v>350</v>
      </c>
      <c r="H101" s="617"/>
      <c r="I101" s="618"/>
      <c r="J101" s="45">
        <f t="shared" si="138"/>
        <v>350</v>
      </c>
      <c r="K101" s="16">
        <f>F101+I101</f>
        <v>0</v>
      </c>
      <c r="L101" s="56">
        <f t="shared" si="139"/>
        <v>350</v>
      </c>
      <c r="M101" s="45"/>
      <c r="N101" s="16"/>
      <c r="O101" s="56">
        <f>M101+N101</f>
        <v>0</v>
      </c>
      <c r="P101" s="56">
        <f>O101/$L101*100</f>
        <v>0</v>
      </c>
      <c r="Q101" s="45">
        <v>0</v>
      </c>
      <c r="R101" s="16"/>
      <c r="S101" s="56">
        <f>Q101+R101</f>
        <v>0</v>
      </c>
      <c r="T101" s="56">
        <f>S101/$L101*100</f>
        <v>0</v>
      </c>
      <c r="U101" s="45">
        <v>0</v>
      </c>
      <c r="V101" s="16"/>
      <c r="W101" s="56">
        <f>U101+V101</f>
        <v>0</v>
      </c>
      <c r="X101" s="56">
        <f>W101/$L101*100</f>
        <v>0</v>
      </c>
      <c r="Y101" s="45">
        <v>134.96</v>
      </c>
      <c r="Z101" s="391"/>
      <c r="AA101" s="401">
        <f>Y101+Z101</f>
        <v>134.96</v>
      </c>
      <c r="AB101" s="56">
        <f>AA101/$L101*100</f>
        <v>38.56</v>
      </c>
      <c r="AC101" s="487">
        <f t="shared" si="140"/>
        <v>215.04</v>
      </c>
      <c r="AD101" s="45">
        <v>200</v>
      </c>
      <c r="AE101" s="16"/>
      <c r="AF101" s="494">
        <f>AD101+AE101</f>
        <v>200</v>
      </c>
      <c r="AG101" s="56">
        <f t="shared" si="137"/>
        <v>57.142857142857139</v>
      </c>
      <c r="AH101" s="578"/>
      <c r="AI101" s="243" t="s">
        <v>308</v>
      </c>
      <c r="AJ101" s="230" t="s">
        <v>116</v>
      </c>
    </row>
    <row r="102" spans="1:36" x14ac:dyDescent="0.2">
      <c r="A102" s="134"/>
      <c r="B102" s="34">
        <v>3745</v>
      </c>
      <c r="C102" s="34">
        <v>1544</v>
      </c>
      <c r="D102" s="297" t="s">
        <v>271</v>
      </c>
      <c r="E102" s="60"/>
      <c r="F102" s="63"/>
      <c r="G102" s="62">
        <f>E102+F102</f>
        <v>0</v>
      </c>
      <c r="H102" s="631"/>
      <c r="I102" s="623"/>
      <c r="J102" s="60">
        <f t="shared" si="138"/>
        <v>0</v>
      </c>
      <c r="K102" s="63"/>
      <c r="L102" s="62">
        <f t="shared" si="139"/>
        <v>0</v>
      </c>
      <c r="M102" s="60">
        <v>3.6580000000000001E-2</v>
      </c>
      <c r="N102" s="63"/>
      <c r="O102" s="62">
        <f>M102+N102</f>
        <v>3.6580000000000001E-2</v>
      </c>
      <c r="P102" s="331"/>
      <c r="Q102" s="60">
        <v>0.12903000000000001</v>
      </c>
      <c r="R102" s="63"/>
      <c r="S102" s="62">
        <f>Q102+R102</f>
        <v>0.12903000000000001</v>
      </c>
      <c r="T102" s="331"/>
      <c r="U102" s="60">
        <v>0.13303000000000001</v>
      </c>
      <c r="V102" s="63"/>
      <c r="W102" s="62">
        <f>U102+V102</f>
        <v>0.13303000000000001</v>
      </c>
      <c r="X102" s="62"/>
      <c r="Y102" s="60">
        <v>0.24277000000000001</v>
      </c>
      <c r="Z102" s="393"/>
      <c r="AA102" s="403">
        <f>Y102+Z102</f>
        <v>0.24277000000000001</v>
      </c>
      <c r="AB102" s="62"/>
      <c r="AC102" s="487">
        <f t="shared" si="140"/>
        <v>-0.24277000000000001</v>
      </c>
      <c r="AD102" s="60"/>
      <c r="AE102" s="63"/>
      <c r="AF102" s="497">
        <f>AD102+AE102</f>
        <v>0</v>
      </c>
      <c r="AG102" s="62"/>
      <c r="AH102" s="584"/>
      <c r="AI102" s="61"/>
      <c r="AJ102" s="56"/>
    </row>
    <row r="103" spans="1:36" x14ac:dyDescent="0.2">
      <c r="A103" s="88">
        <v>43</v>
      </c>
      <c r="B103" s="31">
        <v>4300</v>
      </c>
      <c r="C103" s="31"/>
      <c r="D103" s="288" t="s">
        <v>79</v>
      </c>
      <c r="E103" s="54">
        <f t="shared" ref="E103:O103" si="150">SUM(E104:E108)</f>
        <v>9465</v>
      </c>
      <c r="F103" s="18">
        <f t="shared" si="150"/>
        <v>0</v>
      </c>
      <c r="G103" s="55">
        <f t="shared" si="150"/>
        <v>9465</v>
      </c>
      <c r="H103" s="624">
        <f t="shared" si="150"/>
        <v>10129.383000000002</v>
      </c>
      <c r="I103" s="625">
        <f t="shared" si="150"/>
        <v>0</v>
      </c>
      <c r="J103" s="54">
        <f t="shared" si="150"/>
        <v>19594.383000000002</v>
      </c>
      <c r="K103" s="18">
        <f t="shared" si="150"/>
        <v>0</v>
      </c>
      <c r="L103" s="55">
        <f t="shared" si="150"/>
        <v>19594.383000000002</v>
      </c>
      <c r="M103" s="54">
        <f t="shared" si="150"/>
        <v>3077.7478099999998</v>
      </c>
      <c r="N103" s="18">
        <f t="shared" si="150"/>
        <v>0</v>
      </c>
      <c r="O103" s="55">
        <f t="shared" si="150"/>
        <v>3077.7478099999998</v>
      </c>
      <c r="P103" s="55">
        <f t="shared" si="136"/>
        <v>15.707296371618334</v>
      </c>
      <c r="Q103" s="54">
        <f>SUM(Q104:Q108)</f>
        <v>10646.81724</v>
      </c>
      <c r="R103" s="18">
        <f>SUM(R104:R108)</f>
        <v>0</v>
      </c>
      <c r="S103" s="55">
        <f>SUM(S104:S108)</f>
        <v>10646.81724</v>
      </c>
      <c r="T103" s="55">
        <f t="shared" ref="T103:T114" si="151">S103/$L103*100</f>
        <v>54.336067841482937</v>
      </c>
      <c r="U103" s="54">
        <f>SUM(U104:U108)</f>
        <v>16567.43708</v>
      </c>
      <c r="V103" s="18">
        <f>SUM(V104:V108)</f>
        <v>0</v>
      </c>
      <c r="W103" s="55">
        <f>SUM(W104:W108)</f>
        <v>16567.43708</v>
      </c>
      <c r="X103" s="55">
        <f t="shared" ref="X103:X111" si="152">W103/$L103*100</f>
        <v>84.551971246045355</v>
      </c>
      <c r="Y103" s="54">
        <f>SUM(Y104:Y108)</f>
        <v>18454.9601</v>
      </c>
      <c r="Z103" s="394">
        <f>SUM(Z104:Z108)</f>
        <v>0</v>
      </c>
      <c r="AA103" s="404">
        <f>SUM(AA104:AA108)</f>
        <v>18454.9601</v>
      </c>
      <c r="AB103" s="55">
        <f t="shared" ref="AB103:AB111" si="153">AA103/$L103*100</f>
        <v>94.184951371012801</v>
      </c>
      <c r="AC103" s="488">
        <f>SUM(AC104:AC108)</f>
        <v>1139.4229000000005</v>
      </c>
      <c r="AD103" s="54">
        <f>SUM(AD104:AD108)</f>
        <v>9745</v>
      </c>
      <c r="AE103" s="18">
        <f>SUM(AE104:AE108)</f>
        <v>710</v>
      </c>
      <c r="AF103" s="496">
        <f>SUM(AF104:AF108)</f>
        <v>10455</v>
      </c>
      <c r="AG103" s="55">
        <f t="shared" ref="AG103:AG110" si="154">AF103/$G103*100</f>
        <v>110.45958795562598</v>
      </c>
      <c r="AH103" s="581"/>
      <c r="AI103" s="57"/>
      <c r="AJ103" s="374"/>
    </row>
    <row r="104" spans="1:36" x14ac:dyDescent="0.2">
      <c r="A104" s="132"/>
      <c r="B104" s="28">
        <v>4349</v>
      </c>
      <c r="C104" s="422">
        <v>225</v>
      </c>
      <c r="D104" s="170" t="s">
        <v>329</v>
      </c>
      <c r="E104" s="45">
        <v>1970</v>
      </c>
      <c r="F104" s="16"/>
      <c r="G104" s="56">
        <f t="shared" ref="G104:G107" si="155">E104+F104</f>
        <v>1970</v>
      </c>
      <c r="H104" s="632"/>
      <c r="I104" s="618"/>
      <c r="J104" s="45">
        <f>E104+H104</f>
        <v>1970</v>
      </c>
      <c r="K104" s="16"/>
      <c r="L104" s="56">
        <f>SUM(J104:K104)</f>
        <v>1970</v>
      </c>
      <c r="M104" s="45"/>
      <c r="N104" s="16"/>
      <c r="O104" s="56">
        <f t="shared" ref="O104:O108" si="156">M104+N104</f>
        <v>0</v>
      </c>
      <c r="P104" s="56"/>
      <c r="Q104" s="45">
        <v>210.077</v>
      </c>
      <c r="R104" s="16"/>
      <c r="S104" s="56">
        <f t="shared" ref="S104:S108" si="157">Q104+R104</f>
        <v>210.077</v>
      </c>
      <c r="T104" s="56">
        <f t="shared" si="151"/>
        <v>10.663807106598986</v>
      </c>
      <c r="U104" s="45">
        <v>945.29100000000005</v>
      </c>
      <c r="V104" s="16"/>
      <c r="W104" s="56">
        <f t="shared" ref="W104:W108" si="158">U104+V104</f>
        <v>945.29100000000005</v>
      </c>
      <c r="X104" s="56">
        <f t="shared" si="152"/>
        <v>47.984314720812186</v>
      </c>
      <c r="Y104" s="45">
        <v>945.29100000000005</v>
      </c>
      <c r="Z104" s="391"/>
      <c r="AA104" s="401">
        <f t="shared" ref="AA104:AA108" si="159">Y104+Z104</f>
        <v>945.29100000000005</v>
      </c>
      <c r="AB104" s="56">
        <f t="shared" si="153"/>
        <v>47.984314720812186</v>
      </c>
      <c r="AC104" s="487">
        <f t="shared" ref="AC104:AC108" si="160">L104-AA104</f>
        <v>1024.7089999999998</v>
      </c>
      <c r="AD104" s="45">
        <v>1967</v>
      </c>
      <c r="AE104" s="16"/>
      <c r="AF104" s="494">
        <f t="shared" ref="AF104:AF108" si="161">AD104+AE104</f>
        <v>1967</v>
      </c>
      <c r="AG104" s="56">
        <f t="shared" si="154"/>
        <v>99.847715736040612</v>
      </c>
      <c r="AH104" s="578" t="s">
        <v>412</v>
      </c>
      <c r="AI104" s="61" t="s">
        <v>267</v>
      </c>
      <c r="AJ104" s="56" t="s">
        <v>279</v>
      </c>
    </row>
    <row r="105" spans="1:36" x14ac:dyDescent="0.2">
      <c r="A105" s="132"/>
      <c r="B105" s="28">
        <v>4349</v>
      </c>
      <c r="C105" s="422">
        <v>228</v>
      </c>
      <c r="D105" s="170" t="s">
        <v>199</v>
      </c>
      <c r="E105" s="45">
        <v>44</v>
      </c>
      <c r="F105" s="16"/>
      <c r="G105" s="56">
        <f t="shared" si="155"/>
        <v>44</v>
      </c>
      <c r="H105" s="632"/>
      <c r="I105" s="618"/>
      <c r="J105" s="45">
        <f>E105+H105</f>
        <v>44</v>
      </c>
      <c r="K105" s="16"/>
      <c r="L105" s="56">
        <f>SUM(J105:K105)</f>
        <v>44</v>
      </c>
      <c r="M105" s="45"/>
      <c r="N105" s="16"/>
      <c r="O105" s="56">
        <f t="shared" si="156"/>
        <v>0</v>
      </c>
      <c r="P105" s="56">
        <f>O105/$L105*100</f>
        <v>0</v>
      </c>
      <c r="Q105" s="45">
        <v>3.7330000000000001</v>
      </c>
      <c r="R105" s="16"/>
      <c r="S105" s="56">
        <f t="shared" si="157"/>
        <v>3.7330000000000001</v>
      </c>
      <c r="T105" s="56">
        <f t="shared" si="151"/>
        <v>8.4840909090909093</v>
      </c>
      <c r="U105" s="45">
        <v>3.7330000000000001</v>
      </c>
      <c r="V105" s="16"/>
      <c r="W105" s="56">
        <f t="shared" si="158"/>
        <v>3.7330000000000001</v>
      </c>
      <c r="X105" s="56">
        <f t="shared" si="152"/>
        <v>8.4840909090909093</v>
      </c>
      <c r="Y105" s="45">
        <v>12.701000000000001</v>
      </c>
      <c r="Z105" s="391"/>
      <c r="AA105" s="401">
        <f t="shared" si="159"/>
        <v>12.701000000000001</v>
      </c>
      <c r="AB105" s="56">
        <f t="shared" si="153"/>
        <v>28.865909090909092</v>
      </c>
      <c r="AC105" s="487">
        <f t="shared" si="160"/>
        <v>31.298999999999999</v>
      </c>
      <c r="AD105" s="45">
        <v>44</v>
      </c>
      <c r="AE105" s="16"/>
      <c r="AF105" s="494">
        <f t="shared" si="161"/>
        <v>44</v>
      </c>
      <c r="AG105" s="56">
        <f t="shared" si="154"/>
        <v>100</v>
      </c>
      <c r="AH105" s="578"/>
      <c r="AI105" s="61" t="s">
        <v>267</v>
      </c>
      <c r="AJ105" s="56" t="s">
        <v>279</v>
      </c>
    </row>
    <row r="106" spans="1:36" x14ac:dyDescent="0.2">
      <c r="A106" s="132"/>
      <c r="B106" s="28">
        <v>4349</v>
      </c>
      <c r="C106" s="422">
        <v>254</v>
      </c>
      <c r="D106" s="170" t="s">
        <v>342</v>
      </c>
      <c r="E106" s="45">
        <v>100</v>
      </c>
      <c r="F106" s="16"/>
      <c r="G106" s="56">
        <f t="shared" si="155"/>
        <v>100</v>
      </c>
      <c r="H106" s="632"/>
      <c r="I106" s="618"/>
      <c r="J106" s="45">
        <f>E106+H106</f>
        <v>100</v>
      </c>
      <c r="K106" s="16"/>
      <c r="L106" s="56">
        <f>SUM(J106:K106)</f>
        <v>100</v>
      </c>
      <c r="M106" s="45"/>
      <c r="N106" s="16"/>
      <c r="O106" s="56">
        <f t="shared" si="156"/>
        <v>0</v>
      </c>
      <c r="P106" s="56"/>
      <c r="Q106" s="45">
        <v>100</v>
      </c>
      <c r="R106" s="16"/>
      <c r="S106" s="56">
        <f t="shared" si="157"/>
        <v>100</v>
      </c>
      <c r="T106" s="56">
        <f t="shared" si="151"/>
        <v>100</v>
      </c>
      <c r="U106" s="45">
        <v>100</v>
      </c>
      <c r="V106" s="16"/>
      <c r="W106" s="56">
        <f t="shared" si="158"/>
        <v>100</v>
      </c>
      <c r="X106" s="56">
        <f t="shared" si="152"/>
        <v>100</v>
      </c>
      <c r="Y106" s="45">
        <v>100</v>
      </c>
      <c r="Z106" s="391"/>
      <c r="AA106" s="401">
        <f t="shared" si="159"/>
        <v>100</v>
      </c>
      <c r="AB106" s="56">
        <f t="shared" si="153"/>
        <v>100</v>
      </c>
      <c r="AC106" s="487">
        <f t="shared" si="160"/>
        <v>0</v>
      </c>
      <c r="AD106" s="45">
        <v>100</v>
      </c>
      <c r="AE106" s="16"/>
      <c r="AF106" s="494">
        <f t="shared" si="161"/>
        <v>100</v>
      </c>
      <c r="AG106" s="56">
        <f t="shared" si="154"/>
        <v>100</v>
      </c>
      <c r="AH106" s="578" t="s">
        <v>354</v>
      </c>
      <c r="AI106" s="61" t="s">
        <v>267</v>
      </c>
      <c r="AJ106" s="56" t="s">
        <v>279</v>
      </c>
    </row>
    <row r="107" spans="1:36" x14ac:dyDescent="0.2">
      <c r="A107" s="132"/>
      <c r="B107" s="28">
        <v>4351</v>
      </c>
      <c r="C107" s="422" t="s">
        <v>474</v>
      </c>
      <c r="D107" s="170" t="s">
        <v>39</v>
      </c>
      <c r="E107" s="45">
        <f>594+5447</f>
        <v>6041</v>
      </c>
      <c r="F107" s="16"/>
      <c r="G107" s="56">
        <f t="shared" si="155"/>
        <v>6041</v>
      </c>
      <c r="H107" s="632">
        <f>-380+729.21+47.221+90+120</f>
        <v>606.43100000000004</v>
      </c>
      <c r="I107" s="618"/>
      <c r="J107" s="45">
        <f t="shared" ref="J107" si="162">E107+H107</f>
        <v>6647.4310000000005</v>
      </c>
      <c r="K107" s="16">
        <f t="shared" ref="J107:K108" si="163">F107+I107</f>
        <v>0</v>
      </c>
      <c r="L107" s="56">
        <f t="shared" ref="L107:L108" si="164">SUM(J107:K107)</f>
        <v>6647.4310000000005</v>
      </c>
      <c r="M107" s="45">
        <v>1106.3498099999999</v>
      </c>
      <c r="N107" s="16"/>
      <c r="O107" s="56">
        <f t="shared" si="156"/>
        <v>1106.3498099999999</v>
      </c>
      <c r="P107" s="56">
        <f>O107/$L107*100</f>
        <v>16.643268805648376</v>
      </c>
      <c r="Q107" s="45">
        <v>2897.9552399999998</v>
      </c>
      <c r="R107" s="16"/>
      <c r="S107" s="56">
        <f t="shared" si="157"/>
        <v>2897.9552399999998</v>
      </c>
      <c r="T107" s="56">
        <f t="shared" si="151"/>
        <v>43.595115767279111</v>
      </c>
      <c r="U107" s="45">
        <v>4861.71108</v>
      </c>
      <c r="V107" s="16"/>
      <c r="W107" s="56">
        <f t="shared" si="158"/>
        <v>4861.71108</v>
      </c>
      <c r="X107" s="56">
        <f t="shared" si="152"/>
        <v>73.136691151814887</v>
      </c>
      <c r="Y107" s="45">
        <v>6564.0160999999998</v>
      </c>
      <c r="Z107" s="391"/>
      <c r="AA107" s="401">
        <f t="shared" si="159"/>
        <v>6564.0160999999998</v>
      </c>
      <c r="AB107" s="56">
        <f t="shared" si="153"/>
        <v>98.745155835389625</v>
      </c>
      <c r="AC107" s="487">
        <f t="shared" si="160"/>
        <v>83.414900000000671</v>
      </c>
      <c r="AD107" s="16">
        <f>5733+591</f>
        <v>6324</v>
      </c>
      <c r="AE107" s="16">
        <v>710</v>
      </c>
      <c r="AF107" s="494">
        <f t="shared" si="161"/>
        <v>7034</v>
      </c>
      <c r="AG107" s="56">
        <f t="shared" si="154"/>
        <v>116.43767588147658</v>
      </c>
      <c r="AH107" s="578"/>
      <c r="AI107" s="245" t="s">
        <v>475</v>
      </c>
      <c r="AJ107" s="163" t="s">
        <v>355</v>
      </c>
    </row>
    <row r="108" spans="1:36" x14ac:dyDescent="0.2">
      <c r="A108" s="132"/>
      <c r="B108" s="28">
        <v>4355</v>
      </c>
      <c r="C108" s="422">
        <v>307</v>
      </c>
      <c r="D108" s="170" t="s">
        <v>235</v>
      </c>
      <c r="E108" s="45">
        <f>377+933</f>
        <v>1310</v>
      </c>
      <c r="F108" s="16"/>
      <c r="G108" s="56">
        <f>E108+F108</f>
        <v>1310</v>
      </c>
      <c r="H108" s="632">
        <f>1877.148+3036.6+1081.372+2024.4+1251.432+170+82</f>
        <v>9522.9520000000011</v>
      </c>
      <c r="I108" s="618"/>
      <c r="J108" s="45">
        <f t="shared" si="163"/>
        <v>10832.952000000001</v>
      </c>
      <c r="K108" s="16">
        <f t="shared" si="163"/>
        <v>0</v>
      </c>
      <c r="L108" s="56">
        <f t="shared" si="164"/>
        <v>10832.952000000001</v>
      </c>
      <c r="M108" s="45">
        <f>94.25+1877.148</f>
        <v>1971.3979999999999</v>
      </c>
      <c r="N108" s="16"/>
      <c r="O108" s="56">
        <f t="shared" si="156"/>
        <v>1971.3979999999999</v>
      </c>
      <c r="P108" s="56">
        <f>O108/$L108*100</f>
        <v>18.198160575252246</v>
      </c>
      <c r="Q108" s="45">
        <v>7435.0519999999997</v>
      </c>
      <c r="R108" s="16"/>
      <c r="S108" s="56">
        <f t="shared" si="157"/>
        <v>7435.0519999999997</v>
      </c>
      <c r="T108" s="56">
        <f t="shared" si="151"/>
        <v>68.633665135781996</v>
      </c>
      <c r="U108" s="45">
        <v>10656.701999999999</v>
      </c>
      <c r="V108" s="16"/>
      <c r="W108" s="56">
        <f t="shared" si="158"/>
        <v>10656.701999999999</v>
      </c>
      <c r="X108" s="56">
        <f t="shared" si="152"/>
        <v>98.373019653368715</v>
      </c>
      <c r="Y108" s="45">
        <f>1310+9522.952</f>
        <v>10832.951999999999</v>
      </c>
      <c r="Z108" s="391"/>
      <c r="AA108" s="401">
        <f t="shared" si="159"/>
        <v>10832.951999999999</v>
      </c>
      <c r="AB108" s="56">
        <f t="shared" si="153"/>
        <v>99.999999999999972</v>
      </c>
      <c r="AC108" s="487">
        <f t="shared" si="160"/>
        <v>0</v>
      </c>
      <c r="AD108" s="45">
        <f>933+377</f>
        <v>1310</v>
      </c>
      <c r="AE108" s="16"/>
      <c r="AF108" s="494">
        <f t="shared" si="161"/>
        <v>1310</v>
      </c>
      <c r="AG108" s="56">
        <f t="shared" si="154"/>
        <v>100</v>
      </c>
      <c r="AH108" s="578" t="s">
        <v>341</v>
      </c>
      <c r="AI108" s="240" t="s">
        <v>193</v>
      </c>
      <c r="AJ108" s="229" t="s">
        <v>467</v>
      </c>
    </row>
    <row r="109" spans="1:36" x14ac:dyDescent="0.2">
      <c r="A109" s="133">
        <v>53</v>
      </c>
      <c r="B109" s="24">
        <v>5300</v>
      </c>
      <c r="C109" s="24"/>
      <c r="D109" s="296" t="s">
        <v>103</v>
      </c>
      <c r="E109" s="57">
        <f t="shared" ref="E109:O109" si="165">SUM(E110:E114)</f>
        <v>4687</v>
      </c>
      <c r="F109" s="58">
        <f t="shared" si="165"/>
        <v>0</v>
      </c>
      <c r="G109" s="59">
        <f t="shared" si="165"/>
        <v>4687</v>
      </c>
      <c r="H109" s="633">
        <f t="shared" si="165"/>
        <v>1074.836</v>
      </c>
      <c r="I109" s="620">
        <f t="shared" si="165"/>
        <v>5000</v>
      </c>
      <c r="J109" s="57">
        <f t="shared" si="165"/>
        <v>5761.8359999999993</v>
      </c>
      <c r="K109" s="58">
        <f t="shared" si="165"/>
        <v>5000</v>
      </c>
      <c r="L109" s="59">
        <f t="shared" si="165"/>
        <v>10761.835999999999</v>
      </c>
      <c r="M109" s="57">
        <f t="shared" si="165"/>
        <v>1143.0442599999999</v>
      </c>
      <c r="N109" s="58">
        <f t="shared" si="165"/>
        <v>0</v>
      </c>
      <c r="O109" s="59">
        <f t="shared" si="165"/>
        <v>1143.0442599999999</v>
      </c>
      <c r="P109" s="59">
        <f t="shared" si="136"/>
        <v>10.62127558903518</v>
      </c>
      <c r="Q109" s="57">
        <f>SUM(Q110:Q114)</f>
        <v>2681.0987999999998</v>
      </c>
      <c r="R109" s="58">
        <f>SUM(R110:R114)</f>
        <v>5000</v>
      </c>
      <c r="S109" s="59">
        <f>SUM(S110:S114)</f>
        <v>7681.0987999999998</v>
      </c>
      <c r="T109" s="59">
        <f t="shared" si="151"/>
        <v>71.373497979341067</v>
      </c>
      <c r="U109" s="57">
        <f>SUM(U110:U114)</f>
        <v>3832.5361499999999</v>
      </c>
      <c r="V109" s="58">
        <f>SUM(V110:V114)</f>
        <v>5000</v>
      </c>
      <c r="W109" s="59">
        <f>SUM(W110:W114)</f>
        <v>8832.5361499999999</v>
      </c>
      <c r="X109" s="59">
        <f t="shared" si="152"/>
        <v>82.072762956060657</v>
      </c>
      <c r="Y109" s="57">
        <f>SUM(Y110:Y114)</f>
        <v>4644.7134299999998</v>
      </c>
      <c r="Z109" s="392">
        <f>SUM(Z110:Z114)</f>
        <v>5000</v>
      </c>
      <c r="AA109" s="402">
        <f>SUM(AA110:AA114)</f>
        <v>9644.7134299999998</v>
      </c>
      <c r="AB109" s="59">
        <f t="shared" si="153"/>
        <v>89.619591211016413</v>
      </c>
      <c r="AC109" s="488">
        <f>SUM(AC110:AC114)</f>
        <v>1117.12257</v>
      </c>
      <c r="AD109" s="57">
        <f>SUM(AD110:AD114)</f>
        <v>3300</v>
      </c>
      <c r="AE109" s="58">
        <f>SUM(AE110:AE114)</f>
        <v>0</v>
      </c>
      <c r="AF109" s="495">
        <f>SUM(AF110:AF114)</f>
        <v>3300</v>
      </c>
      <c r="AG109" s="59">
        <f t="shared" si="154"/>
        <v>70.407510134414338</v>
      </c>
      <c r="AH109" s="579"/>
      <c r="AI109" s="57"/>
      <c r="AJ109" s="83"/>
    </row>
    <row r="110" spans="1:36" x14ac:dyDescent="0.2">
      <c r="A110" s="88"/>
      <c r="B110" s="28" t="s">
        <v>453</v>
      </c>
      <c r="C110" s="32">
        <v>320</v>
      </c>
      <c r="D110" s="170" t="s">
        <v>137</v>
      </c>
      <c r="E110" s="45">
        <f>138+100+688</f>
        <v>926</v>
      </c>
      <c r="F110" s="16"/>
      <c r="G110" s="56">
        <f>E110+F110</f>
        <v>926</v>
      </c>
      <c r="H110" s="627">
        <f>42.06-550</f>
        <v>-507.94</v>
      </c>
      <c r="I110" s="625"/>
      <c r="J110" s="45">
        <f t="shared" ref="J110:K114" si="166">E110+H110</f>
        <v>418.06</v>
      </c>
      <c r="K110" s="16">
        <f t="shared" si="166"/>
        <v>0</v>
      </c>
      <c r="L110" s="56">
        <f>SUM(J110:K110)</f>
        <v>418.06</v>
      </c>
      <c r="M110" s="45">
        <f>173.3235+13.51403</f>
        <v>186.83752999999999</v>
      </c>
      <c r="N110" s="16"/>
      <c r="O110" s="56">
        <f>M110+N110</f>
        <v>186.83752999999999</v>
      </c>
      <c r="P110" s="56">
        <f>O110/$L110*100</f>
        <v>44.691558627948133</v>
      </c>
      <c r="Q110" s="45">
        <f>175.4425+54.89603</f>
        <v>230.33852999999999</v>
      </c>
      <c r="R110" s="16"/>
      <c r="S110" s="56">
        <f>Q110+R110</f>
        <v>230.33852999999999</v>
      </c>
      <c r="T110" s="56">
        <f t="shared" si="151"/>
        <v>55.09700282256135</v>
      </c>
      <c r="U110" s="45">
        <f>176.25466+147.81564+5</f>
        <v>329.07029999999997</v>
      </c>
      <c r="V110" s="16"/>
      <c r="W110" s="56">
        <f>U110+V110</f>
        <v>329.07029999999997</v>
      </c>
      <c r="X110" s="56">
        <f t="shared" si="152"/>
        <v>78.713653542553701</v>
      </c>
      <c r="Y110" s="45">
        <f>176.25466+155.78364</f>
        <v>332.03829999999999</v>
      </c>
      <c r="Z110" s="391"/>
      <c r="AA110" s="401">
        <f>Y110+Z110</f>
        <v>332.03829999999999</v>
      </c>
      <c r="AB110" s="56">
        <f t="shared" si="153"/>
        <v>79.423599483327749</v>
      </c>
      <c r="AC110" s="487">
        <f t="shared" ref="AC110:AC114" si="167">L110-AA110</f>
        <v>86.02170000000001</v>
      </c>
      <c r="AD110" s="16">
        <f>250+203</f>
        <v>453</v>
      </c>
      <c r="AE110" s="16"/>
      <c r="AF110" s="494">
        <f>AD110+AE110</f>
        <v>453</v>
      </c>
      <c r="AG110" s="56">
        <f t="shared" si="154"/>
        <v>48.920086393088553</v>
      </c>
      <c r="AI110" s="347" t="s">
        <v>468</v>
      </c>
      <c r="AJ110" s="231" t="s">
        <v>413</v>
      </c>
    </row>
    <row r="111" spans="1:36" s="349" customFormat="1" x14ac:dyDescent="0.2">
      <c r="A111" s="88"/>
      <c r="B111" s="28">
        <v>5269</v>
      </c>
      <c r="C111" s="32">
        <v>2020</v>
      </c>
      <c r="D111" s="170" t="s">
        <v>416</v>
      </c>
      <c r="E111" s="45">
        <v>1000</v>
      </c>
      <c r="F111" s="16"/>
      <c r="G111" s="56">
        <f>E111+F111</f>
        <v>1000</v>
      </c>
      <c r="H111" s="627">
        <v>1000</v>
      </c>
      <c r="I111" s="625"/>
      <c r="J111" s="45">
        <f t="shared" ref="J111" si="168">E111+H111</f>
        <v>2000</v>
      </c>
      <c r="K111" s="16">
        <f t="shared" ref="K111" si="169">F111+I111</f>
        <v>0</v>
      </c>
      <c r="L111" s="56">
        <f>SUM(J111:K111)</f>
        <v>2000</v>
      </c>
      <c r="M111" s="45">
        <v>359.19135</v>
      </c>
      <c r="N111" s="16"/>
      <c r="O111" s="56">
        <f>M111+N111</f>
        <v>359.19135</v>
      </c>
      <c r="P111" s="56"/>
      <c r="Q111" s="45">
        <v>1384.94075</v>
      </c>
      <c r="R111" s="16"/>
      <c r="S111" s="56">
        <f>Q111+R111</f>
        <v>1384.94075</v>
      </c>
      <c r="T111" s="56">
        <f t="shared" si="151"/>
        <v>69.24703749999999</v>
      </c>
      <c r="U111" s="45">
        <v>1738.41975</v>
      </c>
      <c r="V111" s="16"/>
      <c r="W111" s="56">
        <f>U111+V111</f>
        <v>1738.41975</v>
      </c>
      <c r="X111" s="56">
        <f t="shared" si="152"/>
        <v>86.920987499999995</v>
      </c>
      <c r="Y111" s="45">
        <v>1668.89175</v>
      </c>
      <c r="Z111" s="391"/>
      <c r="AA111" s="401">
        <f>Y111+Z111</f>
        <v>1668.89175</v>
      </c>
      <c r="AB111" s="56">
        <f t="shared" si="153"/>
        <v>83.444587499999997</v>
      </c>
      <c r="AC111" s="487">
        <f t="shared" si="167"/>
        <v>331.10825</v>
      </c>
      <c r="AD111" s="45"/>
      <c r="AE111" s="16"/>
      <c r="AF111" s="494">
        <f>AD111+AE111</f>
        <v>0</v>
      </c>
      <c r="AG111" s="56"/>
      <c r="AH111" s="578"/>
      <c r="AI111" s="347" t="s">
        <v>327</v>
      </c>
      <c r="AJ111" s="231" t="s">
        <v>413</v>
      </c>
    </row>
    <row r="112" spans="1:36" ht="13.5" customHeight="1" x14ac:dyDescent="0.2">
      <c r="A112" s="132"/>
      <c r="B112" s="28">
        <v>5311</v>
      </c>
      <c r="C112" s="422">
        <v>321</v>
      </c>
      <c r="D112" s="170" t="s">
        <v>80</v>
      </c>
      <c r="E112" s="45">
        <f>353+1970</f>
        <v>2323</v>
      </c>
      <c r="F112" s="16"/>
      <c r="G112" s="56">
        <f>E112+F112</f>
        <v>2323</v>
      </c>
      <c r="H112" s="617"/>
      <c r="I112" s="618"/>
      <c r="J112" s="45">
        <f t="shared" si="166"/>
        <v>2323</v>
      </c>
      <c r="K112" s="16">
        <f t="shared" si="166"/>
        <v>0</v>
      </c>
      <c r="L112" s="56">
        <f>SUM(J112:K112)</f>
        <v>2323</v>
      </c>
      <c r="M112" s="45">
        <v>477.40244999999999</v>
      </c>
      <c r="N112" s="16"/>
      <c r="O112" s="56">
        <f>M112+N112</f>
        <v>477.40244999999999</v>
      </c>
      <c r="P112" s="56">
        <f t="shared" si="136"/>
        <v>20.551117089969868</v>
      </c>
      <c r="Q112" s="45">
        <v>854.73833000000002</v>
      </c>
      <c r="R112" s="16"/>
      <c r="S112" s="56">
        <f>Q112+R112</f>
        <v>854.73833000000002</v>
      </c>
      <c r="T112" s="56">
        <f t="shared" si="151"/>
        <v>36.79459018510547</v>
      </c>
      <c r="U112" s="45">
        <v>1197.55296</v>
      </c>
      <c r="V112" s="16"/>
      <c r="W112" s="56">
        <f>U112+V112</f>
        <v>1197.55296</v>
      </c>
      <c r="X112" s="56">
        <f t="shared" ref="X112:X131" si="170">W112/$L112*100</f>
        <v>51.552</v>
      </c>
      <c r="Y112" s="45">
        <v>1619.14121</v>
      </c>
      <c r="Z112" s="391"/>
      <c r="AA112" s="401">
        <f>Y112+Z112</f>
        <v>1619.14121</v>
      </c>
      <c r="AB112" s="56">
        <f t="shared" ref="AB112:AB131" si="171">AA112/$L112*100</f>
        <v>69.700439517864837</v>
      </c>
      <c r="AC112" s="487">
        <f t="shared" si="167"/>
        <v>703.85879</v>
      </c>
      <c r="AD112" s="45">
        <f>448+1979</f>
        <v>2427</v>
      </c>
      <c r="AE112" s="16"/>
      <c r="AF112" s="494">
        <f>AD112+AE112</f>
        <v>2427</v>
      </c>
      <c r="AG112" s="56">
        <f t="shared" ref="AG112:AG120" si="172">AF112/$G112*100</f>
        <v>104.47696943607406</v>
      </c>
      <c r="AH112" s="578"/>
      <c r="AI112" s="246" t="s">
        <v>152</v>
      </c>
      <c r="AJ112" s="231" t="s">
        <v>273</v>
      </c>
    </row>
    <row r="113" spans="1:36" s="349" customFormat="1" ht="13.5" customHeight="1" x14ac:dyDescent="0.2">
      <c r="A113" s="132"/>
      <c r="B113" s="422">
        <v>5599</v>
      </c>
      <c r="C113" s="422"/>
      <c r="D113" s="170" t="s">
        <v>426</v>
      </c>
      <c r="E113" s="45"/>
      <c r="F113" s="16"/>
      <c r="G113" s="56"/>
      <c r="H113" s="617"/>
      <c r="I113" s="618">
        <v>5000</v>
      </c>
      <c r="J113" s="45"/>
      <c r="K113" s="16">
        <f t="shared" si="166"/>
        <v>5000</v>
      </c>
      <c r="L113" s="56">
        <f>SUM(J113:K113)</f>
        <v>5000</v>
      </c>
      <c r="M113" s="45"/>
      <c r="N113" s="16"/>
      <c r="O113" s="56">
        <f>M113+N113</f>
        <v>0</v>
      </c>
      <c r="P113" s="56"/>
      <c r="Q113" s="45"/>
      <c r="R113" s="16">
        <v>5000</v>
      </c>
      <c r="S113" s="56">
        <f>Q113+R113</f>
        <v>5000</v>
      </c>
      <c r="T113" s="56">
        <f t="shared" ref="T113" si="173">S113/$L113*100</f>
        <v>100</v>
      </c>
      <c r="U113" s="45"/>
      <c r="V113" s="16">
        <v>5000</v>
      </c>
      <c r="W113" s="56">
        <f>U113+V113</f>
        <v>5000</v>
      </c>
      <c r="X113" s="56">
        <f t="shared" ref="X113" si="174">W113/$L113*100</f>
        <v>100</v>
      </c>
      <c r="Y113" s="45"/>
      <c r="Z113" s="391">
        <v>5000</v>
      </c>
      <c r="AA113" s="401">
        <f>Y113+Z113</f>
        <v>5000</v>
      </c>
      <c r="AB113" s="56"/>
      <c r="AC113" s="487">
        <f t="shared" si="167"/>
        <v>0</v>
      </c>
      <c r="AD113" s="45"/>
      <c r="AE113" s="16"/>
      <c r="AF113" s="494"/>
      <c r="AG113" s="56"/>
      <c r="AH113" s="578"/>
      <c r="AI113" s="246"/>
      <c r="AJ113" s="231"/>
    </row>
    <row r="114" spans="1:36" x14ac:dyDescent="0.2">
      <c r="A114" s="132"/>
      <c r="B114" s="28">
        <v>5512</v>
      </c>
      <c r="C114" s="422">
        <v>223</v>
      </c>
      <c r="D114" s="170" t="s">
        <v>185</v>
      </c>
      <c r="E114" s="45">
        <f>338+50+50</f>
        <v>438</v>
      </c>
      <c r="F114" s="16"/>
      <c r="G114" s="56">
        <f>E114+F114</f>
        <v>438</v>
      </c>
      <c r="H114" s="617">
        <f>150+170+41+143.376+78.4</f>
        <v>582.77599999999995</v>
      </c>
      <c r="I114" s="618"/>
      <c r="J114" s="45">
        <f t="shared" si="166"/>
        <v>1020.776</v>
      </c>
      <c r="K114" s="16">
        <f t="shared" si="166"/>
        <v>0</v>
      </c>
      <c r="L114" s="56">
        <f>SUM(J114:K114)</f>
        <v>1020.776</v>
      </c>
      <c r="M114" s="45">
        <v>119.61293000000001</v>
      </c>
      <c r="N114" s="16"/>
      <c r="O114" s="56">
        <f>M114+N114</f>
        <v>119.61293000000001</v>
      </c>
      <c r="P114" s="56">
        <f t="shared" si="136"/>
        <v>11.717843091922225</v>
      </c>
      <c r="Q114" s="45">
        <v>211.08118999999999</v>
      </c>
      <c r="R114" s="16"/>
      <c r="S114" s="56">
        <f>Q114+R114</f>
        <v>211.08118999999999</v>
      </c>
      <c r="T114" s="56">
        <f t="shared" si="151"/>
        <v>20.678502433442791</v>
      </c>
      <c r="U114" s="45">
        <v>567.49314000000004</v>
      </c>
      <c r="V114" s="16"/>
      <c r="W114" s="56">
        <f>U114+V114</f>
        <v>567.49314000000004</v>
      </c>
      <c r="X114" s="56">
        <f t="shared" si="170"/>
        <v>55.594287091389305</v>
      </c>
      <c r="Y114" s="45">
        <v>1024.6421700000001</v>
      </c>
      <c r="Z114" s="391"/>
      <c r="AA114" s="401">
        <f>Y114+Z114</f>
        <v>1024.6421700000001</v>
      </c>
      <c r="AB114" s="56">
        <f t="shared" si="171"/>
        <v>100.37874812887451</v>
      </c>
      <c r="AC114" s="487">
        <f t="shared" si="167"/>
        <v>-3.8661700000001247</v>
      </c>
      <c r="AD114" s="45">
        <f>402+18</f>
        <v>420</v>
      </c>
      <c r="AE114" s="16"/>
      <c r="AF114" s="494">
        <f>AD114+AE114</f>
        <v>420</v>
      </c>
      <c r="AG114" s="56">
        <f t="shared" si="172"/>
        <v>95.890410958904098</v>
      </c>
      <c r="AH114" s="578"/>
      <c r="AI114" s="64" t="s">
        <v>154</v>
      </c>
      <c r="AJ114" s="299" t="s">
        <v>273</v>
      </c>
    </row>
    <row r="115" spans="1:36" x14ac:dyDescent="0.2">
      <c r="A115" s="133">
        <v>61</v>
      </c>
      <c r="B115" s="24">
        <v>6100</v>
      </c>
      <c r="C115" s="24"/>
      <c r="D115" s="296" t="s">
        <v>81</v>
      </c>
      <c r="E115" s="57">
        <f t="shared" ref="E115:O115" si="175">SUM(E116:E121)</f>
        <v>60995</v>
      </c>
      <c r="F115" s="58">
        <f t="shared" si="175"/>
        <v>100</v>
      </c>
      <c r="G115" s="59">
        <f t="shared" si="175"/>
        <v>61095</v>
      </c>
      <c r="H115" s="619">
        <f t="shared" si="175"/>
        <v>1522.884</v>
      </c>
      <c r="I115" s="620">
        <f t="shared" si="175"/>
        <v>0</v>
      </c>
      <c r="J115" s="57">
        <f t="shared" si="175"/>
        <v>62517.883999999998</v>
      </c>
      <c r="K115" s="58">
        <f t="shared" si="175"/>
        <v>100</v>
      </c>
      <c r="L115" s="59">
        <f t="shared" si="175"/>
        <v>62617.883999999998</v>
      </c>
      <c r="M115" s="57">
        <f t="shared" si="175"/>
        <v>13625.44436</v>
      </c>
      <c r="N115" s="58">
        <f t="shared" si="175"/>
        <v>0</v>
      </c>
      <c r="O115" s="59">
        <f t="shared" si="175"/>
        <v>13625.44436</v>
      </c>
      <c r="P115" s="59">
        <f t="shared" si="136"/>
        <v>21.759669106672462</v>
      </c>
      <c r="Q115" s="57">
        <f>SUM(Q116:Q121)</f>
        <v>28228.414219999995</v>
      </c>
      <c r="R115" s="58">
        <f>SUM(R116:R121)</f>
        <v>0</v>
      </c>
      <c r="S115" s="59">
        <f>SUM(S116:S121)</f>
        <v>28228.414219999995</v>
      </c>
      <c r="T115" s="59">
        <f t="shared" ref="T115:T131" si="176">S115/$L115*100</f>
        <v>45.080434560835684</v>
      </c>
      <c r="U115" s="57">
        <f>SUM(U116:U121)</f>
        <v>42287.697560000001</v>
      </c>
      <c r="V115" s="58">
        <f>SUM(V116:V121)</f>
        <v>0</v>
      </c>
      <c r="W115" s="59">
        <f>SUM(W116:W121)</f>
        <v>42287.697560000001</v>
      </c>
      <c r="X115" s="59">
        <f t="shared" si="170"/>
        <v>67.53293924783533</v>
      </c>
      <c r="Y115" s="57">
        <f>SUM(Y116:Y121)</f>
        <v>60987.457180000005</v>
      </c>
      <c r="Z115" s="392">
        <f>SUM(Z116:Z121)</f>
        <v>96.679000000000002</v>
      </c>
      <c r="AA115" s="402">
        <f>SUM(AA116:AA121)</f>
        <v>61084.136180000001</v>
      </c>
      <c r="AB115" s="59">
        <f t="shared" si="171"/>
        <v>97.550623365043762</v>
      </c>
      <c r="AC115" s="488">
        <f>SUM(AC116:AC121)</f>
        <v>1533.7478199999962</v>
      </c>
      <c r="AD115" s="57">
        <f>SUM(AD116:AD121)</f>
        <v>63814</v>
      </c>
      <c r="AE115" s="58">
        <f>SUM(AE116:AE121)</f>
        <v>645</v>
      </c>
      <c r="AF115" s="495">
        <f>SUM(AF116:AF121)</f>
        <v>64459</v>
      </c>
      <c r="AG115" s="59">
        <f t="shared" si="172"/>
        <v>105.50617890171046</v>
      </c>
      <c r="AH115" s="579"/>
      <c r="AI115" s="242"/>
      <c r="AJ115" s="83"/>
    </row>
    <row r="116" spans="1:36" x14ac:dyDescent="0.2">
      <c r="A116" s="132"/>
      <c r="B116" s="28">
        <v>6112</v>
      </c>
      <c r="C116" s="422">
        <v>314</v>
      </c>
      <c r="D116" s="170" t="s">
        <v>82</v>
      </c>
      <c r="E116" s="45">
        <f>3225+60</f>
        <v>3285</v>
      </c>
      <c r="F116" s="16"/>
      <c r="G116" s="56">
        <f>E116+F116</f>
        <v>3285</v>
      </c>
      <c r="H116" s="617"/>
      <c r="I116" s="618"/>
      <c r="J116" s="45">
        <f>E116+H116</f>
        <v>3285</v>
      </c>
      <c r="K116" s="16"/>
      <c r="L116" s="56">
        <f t="shared" ref="L116:L121" si="177">SUM(J116:K116)</f>
        <v>3285</v>
      </c>
      <c r="M116" s="45">
        <v>700.78499999999997</v>
      </c>
      <c r="N116" s="16"/>
      <c r="O116" s="56">
        <f>M116+N116</f>
        <v>700.78499999999997</v>
      </c>
      <c r="P116" s="56">
        <f t="shared" si="136"/>
        <v>21.332876712328765</v>
      </c>
      <c r="Q116" s="45">
        <v>1483.9290000000001</v>
      </c>
      <c r="R116" s="16"/>
      <c r="S116" s="56">
        <f>Q116+R116</f>
        <v>1483.9290000000001</v>
      </c>
      <c r="T116" s="56">
        <f t="shared" si="176"/>
        <v>45.172876712328772</v>
      </c>
      <c r="U116" s="45">
        <v>2270.623</v>
      </c>
      <c r="V116" s="16"/>
      <c r="W116" s="56">
        <f>U116+V116</f>
        <v>2270.623</v>
      </c>
      <c r="X116" s="56">
        <f t="shared" si="170"/>
        <v>69.120943683409436</v>
      </c>
      <c r="Y116" s="45">
        <v>3055.8060099999998</v>
      </c>
      <c r="Z116" s="391"/>
      <c r="AA116" s="401">
        <f>Y116+Z116</f>
        <v>3055.8060099999998</v>
      </c>
      <c r="AB116" s="56">
        <f t="shared" si="171"/>
        <v>93.023014003044139</v>
      </c>
      <c r="AC116" s="487">
        <f t="shared" ref="AC116:AC121" si="178">L116-AA116</f>
        <v>229.19399000000021</v>
      </c>
      <c r="AD116" s="45">
        <f>3233+60</f>
        <v>3293</v>
      </c>
      <c r="AE116" s="16"/>
      <c r="AF116" s="494">
        <f>AD116+AE116</f>
        <v>3293</v>
      </c>
      <c r="AG116" s="56">
        <f t="shared" si="172"/>
        <v>100.24353120243532</v>
      </c>
      <c r="AH116" s="578"/>
      <c r="AI116" s="238" t="s">
        <v>273</v>
      </c>
      <c r="AJ116" s="231" t="s">
        <v>413</v>
      </c>
    </row>
    <row r="117" spans="1:36" s="349" customFormat="1" x14ac:dyDescent="0.2">
      <c r="A117" s="132"/>
      <c r="B117" s="28">
        <v>6114</v>
      </c>
      <c r="C117" s="422">
        <v>110</v>
      </c>
      <c r="D117" s="170" t="s">
        <v>443</v>
      </c>
      <c r="E117" s="45"/>
      <c r="F117" s="16"/>
      <c r="G117" s="56"/>
      <c r="H117" s="617">
        <v>175</v>
      </c>
      <c r="I117" s="618"/>
      <c r="J117" s="45">
        <f>E117+H117</f>
        <v>175</v>
      </c>
      <c r="K117" s="16"/>
      <c r="L117" s="56">
        <f t="shared" ref="L117" si="179">SUM(J117:K117)</f>
        <v>175</v>
      </c>
      <c r="M117" s="45"/>
      <c r="N117" s="16"/>
      <c r="O117" s="56"/>
      <c r="P117" s="56"/>
      <c r="Q117" s="45"/>
      <c r="R117" s="16"/>
      <c r="S117" s="56"/>
      <c r="T117" s="56"/>
      <c r="U117" s="45"/>
      <c r="V117" s="16"/>
      <c r="W117" s="56">
        <f t="shared" ref="W117:W119" si="180">U117+V117</f>
        <v>0</v>
      </c>
      <c r="X117" s="56">
        <f t="shared" ref="X117:X119" si="181">W117/$L117*100</f>
        <v>0</v>
      </c>
      <c r="Y117" s="45">
        <v>175</v>
      </c>
      <c r="Z117" s="391"/>
      <c r="AA117" s="401">
        <f t="shared" ref="AA117:AA119" si="182">Y117+Z117</f>
        <v>175</v>
      </c>
      <c r="AB117" s="56">
        <f t="shared" si="171"/>
        <v>100</v>
      </c>
      <c r="AC117" s="487">
        <f t="shared" si="178"/>
        <v>0</v>
      </c>
      <c r="AD117" s="45"/>
      <c r="AE117" s="16"/>
      <c r="AF117" s="494">
        <f t="shared" ref="AF117:AF118" si="183">AD117+AE117</f>
        <v>0</v>
      </c>
      <c r="AG117" s="56"/>
      <c r="AH117" s="578"/>
      <c r="AI117" s="238"/>
      <c r="AJ117" s="231"/>
    </row>
    <row r="118" spans="1:36" x14ac:dyDescent="0.2">
      <c r="A118" s="132"/>
      <c r="B118" s="28">
        <v>6171</v>
      </c>
      <c r="C118" s="422">
        <v>314</v>
      </c>
      <c r="D118" s="170" t="s">
        <v>96</v>
      </c>
      <c r="E118" s="45">
        <v>56828</v>
      </c>
      <c r="F118" s="16">
        <v>100</v>
      </c>
      <c r="G118" s="56">
        <f t="shared" ref="G118:G120" si="184">E118+F118</f>
        <v>56928</v>
      </c>
      <c r="H118" s="627">
        <v>1347.884</v>
      </c>
      <c r="I118" s="628">
        <v>0</v>
      </c>
      <c r="J118" s="45">
        <v>58175.883999999998</v>
      </c>
      <c r="K118" s="16">
        <v>100</v>
      </c>
      <c r="L118" s="56">
        <f t="shared" si="177"/>
        <v>58275.883999999998</v>
      </c>
      <c r="M118" s="45">
        <f>24.29561+12733.14514-0.75</f>
        <v>12756.69075</v>
      </c>
      <c r="N118" s="16"/>
      <c r="O118" s="56">
        <f t="shared" ref="O118:O120" si="185">M118+N118</f>
        <v>12756.69075</v>
      </c>
      <c r="P118" s="56">
        <f>O118/$L118*100</f>
        <v>21.890171155533224</v>
      </c>
      <c r="Q118" s="45">
        <f>414.31918+25956.99023+0.0095</f>
        <v>26371.318909999998</v>
      </c>
      <c r="R118" s="16"/>
      <c r="S118" s="56">
        <f t="shared" ref="S118:S120" si="186">Q118+R118</f>
        <v>26371.318909999998</v>
      </c>
      <c r="T118" s="56">
        <f t="shared" si="176"/>
        <v>45.252542046380626</v>
      </c>
      <c r="U118" s="45">
        <f>527.27131+38994.04162</f>
        <v>39521.31293</v>
      </c>
      <c r="V118" s="16"/>
      <c r="W118" s="56">
        <f t="shared" si="180"/>
        <v>39521.31293</v>
      </c>
      <c r="X118" s="56">
        <f t="shared" si="181"/>
        <v>67.817612050295111</v>
      </c>
      <c r="Y118" s="45">
        <v>57007.939860000006</v>
      </c>
      <c r="Z118" s="391">
        <v>96.679000000000002</v>
      </c>
      <c r="AA118" s="401">
        <f t="shared" si="182"/>
        <v>57104.618860000002</v>
      </c>
      <c r="AB118" s="56">
        <f t="shared" si="171"/>
        <v>97.990137498386133</v>
      </c>
      <c r="AC118" s="487">
        <f t="shared" si="178"/>
        <v>1171.2651399999959</v>
      </c>
      <c r="AD118" s="45">
        <v>59217</v>
      </c>
      <c r="AE118" s="16">
        <v>645</v>
      </c>
      <c r="AF118" s="494">
        <f t="shared" si="183"/>
        <v>59862</v>
      </c>
      <c r="AG118" s="56">
        <f t="shared" si="172"/>
        <v>105.15387858347387</v>
      </c>
      <c r="AH118" s="578" t="s">
        <v>502</v>
      </c>
      <c r="AI118" s="247" t="s">
        <v>176</v>
      </c>
      <c r="AJ118" s="83"/>
    </row>
    <row r="119" spans="1:36" s="349" customFormat="1" x14ac:dyDescent="0.2">
      <c r="A119" s="132"/>
      <c r="B119" s="28">
        <v>6171</v>
      </c>
      <c r="C119" s="422">
        <v>230</v>
      </c>
      <c r="D119" s="170" t="s">
        <v>381</v>
      </c>
      <c r="E119" s="45">
        <v>82</v>
      </c>
      <c r="F119" s="16"/>
      <c r="G119" s="56">
        <f t="shared" si="184"/>
        <v>82</v>
      </c>
      <c r="H119" s="627"/>
      <c r="I119" s="628"/>
      <c r="J119" s="45">
        <f t="shared" ref="J119" si="187">E119+H119</f>
        <v>82</v>
      </c>
      <c r="K119" s="16"/>
      <c r="L119" s="56">
        <f t="shared" ref="L119" si="188">SUM(J119:K119)</f>
        <v>82</v>
      </c>
      <c r="M119" s="45">
        <v>28.212</v>
      </c>
      <c r="N119" s="16"/>
      <c r="O119" s="56">
        <f t="shared" si="185"/>
        <v>28.212</v>
      </c>
      <c r="P119" s="56"/>
      <c r="Q119" s="45">
        <v>70.036000000000001</v>
      </c>
      <c r="R119" s="16"/>
      <c r="S119" s="56">
        <f t="shared" si="186"/>
        <v>70.036000000000001</v>
      </c>
      <c r="T119" s="56">
        <f t="shared" si="176"/>
        <v>85.409756097560972</v>
      </c>
      <c r="U119" s="45">
        <v>82</v>
      </c>
      <c r="V119" s="16"/>
      <c r="W119" s="56">
        <f t="shared" si="180"/>
        <v>82</v>
      </c>
      <c r="X119" s="56">
        <f t="shared" si="181"/>
        <v>100</v>
      </c>
      <c r="Y119" s="45">
        <v>82</v>
      </c>
      <c r="Z119" s="391"/>
      <c r="AA119" s="401">
        <f t="shared" si="182"/>
        <v>82</v>
      </c>
      <c r="AB119" s="56">
        <f t="shared" si="171"/>
        <v>100</v>
      </c>
      <c r="AC119" s="487">
        <f t="shared" si="178"/>
        <v>0</v>
      </c>
      <c r="AD119" s="45">
        <v>0</v>
      </c>
      <c r="AE119" s="16"/>
      <c r="AF119" s="494">
        <f t="shared" ref="AF119:AF120" si="189">AD119+AE119</f>
        <v>0</v>
      </c>
      <c r="AG119" s="56">
        <f t="shared" si="172"/>
        <v>0</v>
      </c>
      <c r="AH119" s="578"/>
      <c r="AI119" s="61" t="s">
        <v>267</v>
      </c>
      <c r="AJ119" s="56" t="s">
        <v>279</v>
      </c>
    </row>
    <row r="120" spans="1:36" x14ac:dyDescent="0.2">
      <c r="A120" s="132"/>
      <c r="B120" s="28">
        <v>6171</v>
      </c>
      <c r="C120" s="422">
        <v>15479</v>
      </c>
      <c r="D120" s="170" t="s">
        <v>330</v>
      </c>
      <c r="E120" s="45">
        <v>400</v>
      </c>
      <c r="F120" s="16"/>
      <c r="G120" s="56">
        <f t="shared" si="184"/>
        <v>400</v>
      </c>
      <c r="H120" s="627"/>
      <c r="I120" s="628"/>
      <c r="J120" s="45">
        <f t="shared" ref="J120" si="190">E120+H120</f>
        <v>400</v>
      </c>
      <c r="K120" s="16"/>
      <c r="L120" s="56">
        <f t="shared" si="177"/>
        <v>400</v>
      </c>
      <c r="M120" s="45">
        <f>47.959+0.75</f>
        <v>48.709000000000003</v>
      </c>
      <c r="N120" s="16"/>
      <c r="O120" s="56">
        <f t="shared" si="185"/>
        <v>48.709000000000003</v>
      </c>
      <c r="P120" s="56">
        <f>O120/$L120*100</f>
        <v>12.177250000000001</v>
      </c>
      <c r="Q120" s="45">
        <v>109.38500000000001</v>
      </c>
      <c r="R120" s="16"/>
      <c r="S120" s="56">
        <f t="shared" si="186"/>
        <v>109.38500000000001</v>
      </c>
      <c r="T120" s="56">
        <f t="shared" si="176"/>
        <v>27.346250000000001</v>
      </c>
      <c r="U120" s="45">
        <v>172.791</v>
      </c>
      <c r="V120" s="16"/>
      <c r="W120" s="56">
        <f t="shared" ref="W120" si="191">U120+V120</f>
        <v>172.791</v>
      </c>
      <c r="X120" s="56">
        <f t="shared" si="170"/>
        <v>43.197749999999999</v>
      </c>
      <c r="Y120" s="45">
        <v>386.339</v>
      </c>
      <c r="Z120" s="391"/>
      <c r="AA120" s="401">
        <f t="shared" ref="AA120" si="192">Y120+Z120</f>
        <v>386.339</v>
      </c>
      <c r="AB120" s="56">
        <f>AA120/$L120*100</f>
        <v>96.58475</v>
      </c>
      <c r="AC120" s="487">
        <f t="shared" si="178"/>
        <v>13.661000000000001</v>
      </c>
      <c r="AD120" s="45">
        <v>662</v>
      </c>
      <c r="AE120" s="16"/>
      <c r="AF120" s="494">
        <f t="shared" si="189"/>
        <v>662</v>
      </c>
      <c r="AG120" s="56">
        <f t="shared" si="172"/>
        <v>165.5</v>
      </c>
      <c r="AH120" s="582" t="s">
        <v>503</v>
      </c>
      <c r="AI120" s="61" t="s">
        <v>267</v>
      </c>
      <c r="AJ120" s="56" t="s">
        <v>279</v>
      </c>
    </row>
    <row r="121" spans="1:36" x14ac:dyDescent="0.2">
      <c r="A121" s="132"/>
      <c r="B121" s="28">
        <v>6171</v>
      </c>
      <c r="C121" s="28">
        <v>318</v>
      </c>
      <c r="D121" s="170" t="s">
        <v>231</v>
      </c>
      <c r="E121" s="45">
        <v>400</v>
      </c>
      <c r="F121" s="16"/>
      <c r="G121" s="56">
        <f>E121+F121</f>
        <v>400</v>
      </c>
      <c r="H121" s="627"/>
      <c r="I121" s="628"/>
      <c r="J121" s="45">
        <f>E121+H121</f>
        <v>400</v>
      </c>
      <c r="K121" s="16">
        <f>F121+I121</f>
        <v>0</v>
      </c>
      <c r="L121" s="56">
        <f t="shared" si="177"/>
        <v>400</v>
      </c>
      <c r="M121" s="45">
        <v>91.047610000000006</v>
      </c>
      <c r="N121" s="16"/>
      <c r="O121" s="56">
        <f>M121+N121</f>
        <v>91.047610000000006</v>
      </c>
      <c r="P121" s="56">
        <f t="shared" si="136"/>
        <v>22.761902500000001</v>
      </c>
      <c r="Q121" s="45">
        <v>193.74530999999999</v>
      </c>
      <c r="R121" s="16"/>
      <c r="S121" s="56">
        <f>Q121+R121</f>
        <v>193.74530999999999</v>
      </c>
      <c r="T121" s="56">
        <f t="shared" si="176"/>
        <v>48.436327499999997</v>
      </c>
      <c r="U121" s="45">
        <v>240.97063</v>
      </c>
      <c r="V121" s="16"/>
      <c r="W121" s="56">
        <f>U121+V121</f>
        <v>240.97063</v>
      </c>
      <c r="X121" s="56">
        <f t="shared" si="170"/>
        <v>60.242657499999993</v>
      </c>
      <c r="Y121" s="45">
        <v>280.37231000000003</v>
      </c>
      <c r="Z121" s="391"/>
      <c r="AA121" s="401">
        <f>Y121+Z121</f>
        <v>280.37231000000003</v>
      </c>
      <c r="AB121" s="56">
        <f t="shared" si="171"/>
        <v>70.093077500000007</v>
      </c>
      <c r="AC121" s="487">
        <f t="shared" si="178"/>
        <v>119.62768999999997</v>
      </c>
      <c r="AD121" s="16">
        <f>412+230</f>
        <v>642</v>
      </c>
      <c r="AE121" s="16"/>
      <c r="AF121" s="494">
        <f>AD121+AE121</f>
        <v>642</v>
      </c>
      <c r="AG121" s="56">
        <f t="shared" ref="AG121:AG131" si="193">AF121/$G121*100</f>
        <v>160.5</v>
      </c>
      <c r="AH121" s="578"/>
      <c r="AI121" s="239" t="s">
        <v>153</v>
      </c>
      <c r="AJ121" s="232" t="s">
        <v>116</v>
      </c>
    </row>
    <row r="122" spans="1:36" x14ac:dyDescent="0.2">
      <c r="A122" s="133" t="s">
        <v>83</v>
      </c>
      <c r="B122" s="24">
        <v>6300</v>
      </c>
      <c r="C122" s="24"/>
      <c r="D122" s="296" t="s">
        <v>84</v>
      </c>
      <c r="E122" s="57">
        <f t="shared" ref="E122:G122" si="194">SUM(E123:E130)</f>
        <v>6226</v>
      </c>
      <c r="F122" s="58">
        <f t="shared" si="194"/>
        <v>1000</v>
      </c>
      <c r="G122" s="59">
        <f t="shared" si="194"/>
        <v>7226</v>
      </c>
      <c r="H122" s="619">
        <f t="shared" ref="H122:O122" si="195">SUM(H123:H130)</f>
        <v>1054.9578899999999</v>
      </c>
      <c r="I122" s="620">
        <f t="shared" si="195"/>
        <v>-971.61</v>
      </c>
      <c r="J122" s="57">
        <f t="shared" si="195"/>
        <v>7280.9578899999997</v>
      </c>
      <c r="K122" s="58">
        <f t="shared" si="195"/>
        <v>28.389999999999986</v>
      </c>
      <c r="L122" s="59">
        <f t="shared" si="195"/>
        <v>7309.34789</v>
      </c>
      <c r="M122" s="57">
        <f t="shared" si="195"/>
        <v>3556.9875500000003</v>
      </c>
      <c r="N122" s="58">
        <f t="shared" si="195"/>
        <v>0</v>
      </c>
      <c r="O122" s="59">
        <f t="shared" si="195"/>
        <v>3556.9875500000003</v>
      </c>
      <c r="P122" s="59">
        <f t="shared" si="136"/>
        <v>48.663541584418965</v>
      </c>
      <c r="Q122" s="57">
        <f t="shared" ref="Q122:S122" si="196">SUM(Q123:Q130)</f>
        <v>4028.5142000000001</v>
      </c>
      <c r="R122" s="58">
        <f t="shared" si="196"/>
        <v>0</v>
      </c>
      <c r="S122" s="59">
        <f t="shared" si="196"/>
        <v>4028.5142000000001</v>
      </c>
      <c r="T122" s="59">
        <f t="shared" si="176"/>
        <v>55.114550034093398</v>
      </c>
      <c r="U122" s="57">
        <f t="shared" ref="U122:W122" si="197">SUM(U123:U130)</f>
        <v>4179.1904500000001</v>
      </c>
      <c r="V122" s="58">
        <f t="shared" si="197"/>
        <v>0</v>
      </c>
      <c r="W122" s="59">
        <f t="shared" si="197"/>
        <v>4179.1904500000001</v>
      </c>
      <c r="X122" s="59">
        <f t="shared" si="170"/>
        <v>57.175968539103152</v>
      </c>
      <c r="Y122" s="57">
        <f t="shared" ref="Y122:Z122" si="198">SUM(Y123:Y130)</f>
        <v>4624.5442299999995</v>
      </c>
      <c r="Z122" s="392">
        <f t="shared" si="198"/>
        <v>0</v>
      </c>
      <c r="AA122" s="402">
        <f>SUM(AA123:AA130)</f>
        <v>4624.5442299999995</v>
      </c>
      <c r="AB122" s="59">
        <f t="shared" si="171"/>
        <v>63.268903048477</v>
      </c>
      <c r="AC122" s="488">
        <f>SUM(AC123:AC130)</f>
        <v>2684.8036600000005</v>
      </c>
      <c r="AD122" s="57">
        <f t="shared" ref="AD122:AF122" si="199">SUM(AD123:AD130)</f>
        <v>12273</v>
      </c>
      <c r="AE122" s="58">
        <f t="shared" si="199"/>
        <v>0</v>
      </c>
      <c r="AF122" s="495">
        <f t="shared" si="199"/>
        <v>12273</v>
      </c>
      <c r="AG122" s="59">
        <f t="shared" si="193"/>
        <v>169.84500415167452</v>
      </c>
      <c r="AH122" s="579"/>
      <c r="AI122" s="242"/>
      <c r="AJ122" s="83"/>
    </row>
    <row r="123" spans="1:36" x14ac:dyDescent="0.2">
      <c r="A123" s="132"/>
      <c r="B123" s="28">
        <v>6320</v>
      </c>
      <c r="C123" s="28">
        <v>314</v>
      </c>
      <c r="D123" s="170" t="s">
        <v>186</v>
      </c>
      <c r="E123" s="45">
        <v>160</v>
      </c>
      <c r="F123" s="16"/>
      <c r="G123" s="56">
        <f t="shared" ref="G123:G130" si="200">E123+F123</f>
        <v>160</v>
      </c>
      <c r="H123" s="627"/>
      <c r="I123" s="618"/>
      <c r="J123" s="45">
        <f t="shared" ref="J123:J130" si="201">E123+H123</f>
        <v>160</v>
      </c>
      <c r="K123" s="16"/>
      <c r="L123" s="56">
        <f t="shared" ref="L123:L130" si="202">SUM(J123:K123)</f>
        <v>160</v>
      </c>
      <c r="M123" s="45">
        <v>158.9</v>
      </c>
      <c r="N123" s="16"/>
      <c r="O123" s="56">
        <f t="shared" ref="O123:O128" si="203">M123+N123</f>
        <v>158.9</v>
      </c>
      <c r="P123" s="56">
        <f t="shared" si="136"/>
        <v>99.3125</v>
      </c>
      <c r="Q123" s="45">
        <v>137.15299999999999</v>
      </c>
      <c r="R123" s="16"/>
      <c r="S123" s="56">
        <f t="shared" ref="S123:S128" si="204">Q123+R123</f>
        <v>137.15299999999999</v>
      </c>
      <c r="T123" s="56">
        <f t="shared" si="176"/>
        <v>85.720624999999998</v>
      </c>
      <c r="U123" s="45">
        <v>137.15299999999999</v>
      </c>
      <c r="V123" s="16"/>
      <c r="W123" s="56">
        <f t="shared" ref="W123:W128" si="205">U123+V123</f>
        <v>137.15299999999999</v>
      </c>
      <c r="X123" s="56">
        <f t="shared" si="170"/>
        <v>85.720624999999998</v>
      </c>
      <c r="Y123" s="45">
        <v>137.15299999999999</v>
      </c>
      <c r="Z123" s="391"/>
      <c r="AA123" s="401">
        <f t="shared" ref="AA123:AA130" si="206">Y123+Z123</f>
        <v>137.15299999999999</v>
      </c>
      <c r="AB123" s="56">
        <f t="shared" si="171"/>
        <v>85.720624999999998</v>
      </c>
      <c r="AC123" s="487">
        <f t="shared" ref="AC123:AC130" si="207">L123-AA123</f>
        <v>22.847000000000008</v>
      </c>
      <c r="AD123" s="45">
        <v>160</v>
      </c>
      <c r="AE123" s="16"/>
      <c r="AF123" s="494">
        <f t="shared" ref="AF123:AF129" si="208">AD123+AE123</f>
        <v>160</v>
      </c>
      <c r="AG123" s="56">
        <f t="shared" si="193"/>
        <v>100</v>
      </c>
      <c r="AH123" s="578"/>
      <c r="AI123" s="241" t="s">
        <v>437</v>
      </c>
      <c r="AJ123" s="230" t="s">
        <v>68</v>
      </c>
    </row>
    <row r="124" spans="1:36" x14ac:dyDescent="0.2">
      <c r="A124" s="132"/>
      <c r="B124" s="28">
        <v>6399</v>
      </c>
      <c r="C124" s="28">
        <v>314</v>
      </c>
      <c r="D124" s="170" t="s">
        <v>232</v>
      </c>
      <c r="E124" s="45">
        <f>61+54</f>
        <v>115</v>
      </c>
      <c r="F124" s="16"/>
      <c r="G124" s="56">
        <f t="shared" si="200"/>
        <v>115</v>
      </c>
      <c r="H124" s="627"/>
      <c r="I124" s="618"/>
      <c r="J124" s="45">
        <f t="shared" si="201"/>
        <v>115</v>
      </c>
      <c r="K124" s="16"/>
      <c r="L124" s="56">
        <f t="shared" si="202"/>
        <v>115</v>
      </c>
      <c r="M124" s="45">
        <v>66.183499999999995</v>
      </c>
      <c r="N124" s="16"/>
      <c r="O124" s="56">
        <f t="shared" si="203"/>
        <v>66.183499999999995</v>
      </c>
      <c r="P124" s="56">
        <f t="shared" si="136"/>
        <v>57.55086956521739</v>
      </c>
      <c r="Q124" s="45">
        <v>68.990499999999997</v>
      </c>
      <c r="R124" s="16"/>
      <c r="S124" s="56">
        <f t="shared" si="204"/>
        <v>68.990499999999997</v>
      </c>
      <c r="T124" s="56">
        <f t="shared" si="176"/>
        <v>59.991739130434787</v>
      </c>
      <c r="U124" s="45">
        <v>77.104500000000002</v>
      </c>
      <c r="V124" s="16"/>
      <c r="W124" s="56">
        <f t="shared" si="205"/>
        <v>77.104500000000002</v>
      </c>
      <c r="X124" s="56">
        <f t="shared" si="170"/>
        <v>67.047391304347826</v>
      </c>
      <c r="Y124" s="45">
        <v>100.1395</v>
      </c>
      <c r="Z124" s="391"/>
      <c r="AA124" s="401">
        <f t="shared" si="206"/>
        <v>100.1395</v>
      </c>
      <c r="AB124" s="56">
        <f t="shared" si="171"/>
        <v>87.07782608695652</v>
      </c>
      <c r="AC124" s="487">
        <f t="shared" si="207"/>
        <v>14.860500000000002</v>
      </c>
      <c r="AD124" s="45">
        <v>70</v>
      </c>
      <c r="AE124" s="16"/>
      <c r="AF124" s="494">
        <f t="shared" si="208"/>
        <v>70</v>
      </c>
      <c r="AG124" s="56">
        <f t="shared" si="193"/>
        <v>60.869565217391312</v>
      </c>
      <c r="AH124" s="578"/>
      <c r="AI124" s="248" t="s">
        <v>467</v>
      </c>
      <c r="AJ124" s="231" t="s">
        <v>413</v>
      </c>
    </row>
    <row r="125" spans="1:36" x14ac:dyDescent="0.2">
      <c r="A125" s="132"/>
      <c r="B125" s="28">
        <v>6399</v>
      </c>
      <c r="C125" s="28">
        <v>315</v>
      </c>
      <c r="D125" s="170" t="s">
        <v>85</v>
      </c>
      <c r="E125" s="45">
        <v>3024</v>
      </c>
      <c r="F125" s="16"/>
      <c r="G125" s="56">
        <f t="shared" si="200"/>
        <v>3024</v>
      </c>
      <c r="H125" s="627"/>
      <c r="I125" s="618"/>
      <c r="J125" s="45">
        <f t="shared" si="201"/>
        <v>3024</v>
      </c>
      <c r="K125" s="16"/>
      <c r="L125" s="56">
        <f t="shared" si="202"/>
        <v>3024</v>
      </c>
      <c r="M125" s="45">
        <v>3023.85</v>
      </c>
      <c r="N125" s="16"/>
      <c r="O125" s="56">
        <f t="shared" si="203"/>
        <v>3023.85</v>
      </c>
      <c r="P125" s="56">
        <f t="shared" si="136"/>
        <v>99.995039682539684</v>
      </c>
      <c r="Q125" s="45">
        <v>3023.85</v>
      </c>
      <c r="R125" s="16"/>
      <c r="S125" s="56">
        <f t="shared" si="204"/>
        <v>3023.85</v>
      </c>
      <c r="T125" s="56">
        <f t="shared" si="176"/>
        <v>99.995039682539684</v>
      </c>
      <c r="U125" s="45">
        <v>3023.85</v>
      </c>
      <c r="V125" s="16"/>
      <c r="W125" s="56">
        <f t="shared" si="205"/>
        <v>3023.85</v>
      </c>
      <c r="X125" s="56">
        <f t="shared" si="170"/>
        <v>99.995039682539684</v>
      </c>
      <c r="Y125" s="45">
        <v>3023.85</v>
      </c>
      <c r="Z125" s="391"/>
      <c r="AA125" s="401">
        <f t="shared" si="206"/>
        <v>3023.85</v>
      </c>
      <c r="AB125" s="56">
        <f t="shared" si="171"/>
        <v>99.995039682539684</v>
      </c>
      <c r="AC125" s="487">
        <f t="shared" si="207"/>
        <v>0.15000000000009095</v>
      </c>
      <c r="AD125" s="45">
        <v>7680</v>
      </c>
      <c r="AE125" s="16"/>
      <c r="AF125" s="494">
        <f t="shared" si="208"/>
        <v>7680</v>
      </c>
      <c r="AG125" s="56">
        <f t="shared" si="193"/>
        <v>253.96825396825395</v>
      </c>
      <c r="AH125" s="578" t="s">
        <v>187</v>
      </c>
      <c r="AI125" s="240" t="s">
        <v>193</v>
      </c>
      <c r="AJ125" s="229" t="s">
        <v>467</v>
      </c>
    </row>
    <row r="126" spans="1:36" x14ac:dyDescent="0.2">
      <c r="A126" s="132"/>
      <c r="B126" s="28">
        <v>6399</v>
      </c>
      <c r="C126" s="28">
        <v>665</v>
      </c>
      <c r="D126" s="170" t="s">
        <v>236</v>
      </c>
      <c r="E126" s="45">
        <v>820</v>
      </c>
      <c r="F126" s="16"/>
      <c r="G126" s="56">
        <f t="shared" si="200"/>
        <v>820</v>
      </c>
      <c r="H126" s="627"/>
      <c r="I126" s="618"/>
      <c r="J126" s="45">
        <f t="shared" si="201"/>
        <v>820</v>
      </c>
      <c r="K126" s="16"/>
      <c r="L126" s="56">
        <f t="shared" si="202"/>
        <v>820</v>
      </c>
      <c r="M126" s="45">
        <v>-63.102969999999999</v>
      </c>
      <c r="N126" s="16"/>
      <c r="O126" s="56">
        <f t="shared" si="203"/>
        <v>-63.102969999999999</v>
      </c>
      <c r="P126" s="56">
        <f t="shared" si="136"/>
        <v>-7.6954841463414638</v>
      </c>
      <c r="Q126" s="45">
        <v>41.234679999999997</v>
      </c>
      <c r="R126" s="16"/>
      <c r="S126" s="56">
        <f t="shared" si="204"/>
        <v>41.234679999999997</v>
      </c>
      <c r="T126" s="56">
        <f t="shared" si="176"/>
        <v>5.0286195121951218</v>
      </c>
      <c r="U126" s="45">
        <v>183.79693</v>
      </c>
      <c r="V126" s="16"/>
      <c r="W126" s="56">
        <f t="shared" si="205"/>
        <v>183.79693</v>
      </c>
      <c r="X126" s="56">
        <f t="shared" si="170"/>
        <v>22.414259756097561</v>
      </c>
      <c r="Y126" s="45">
        <v>437.86351000000002</v>
      </c>
      <c r="Z126" s="391"/>
      <c r="AA126" s="401">
        <f t="shared" si="206"/>
        <v>437.86351000000002</v>
      </c>
      <c r="AB126" s="56">
        <f t="shared" si="171"/>
        <v>53.397989024390249</v>
      </c>
      <c r="AC126" s="487">
        <f t="shared" si="207"/>
        <v>382.13648999999998</v>
      </c>
      <c r="AD126" s="45">
        <v>750</v>
      </c>
      <c r="AE126" s="16"/>
      <c r="AF126" s="494">
        <f t="shared" si="208"/>
        <v>750</v>
      </c>
      <c r="AG126" s="56">
        <f t="shared" si="193"/>
        <v>91.463414634146346</v>
      </c>
      <c r="AH126" s="578"/>
      <c r="AI126" s="240" t="s">
        <v>193</v>
      </c>
      <c r="AJ126" s="229" t="s">
        <v>467</v>
      </c>
    </row>
    <row r="127" spans="1:36" x14ac:dyDescent="0.2">
      <c r="A127" s="132"/>
      <c r="B127" s="28">
        <v>6402</v>
      </c>
      <c r="C127" s="28"/>
      <c r="D127" s="170" t="s">
        <v>296</v>
      </c>
      <c r="E127" s="45">
        <v>202</v>
      </c>
      <c r="F127" s="16"/>
      <c r="G127" s="56">
        <f t="shared" si="200"/>
        <v>202</v>
      </c>
      <c r="H127" s="627">
        <v>167.75219999999999</v>
      </c>
      <c r="I127" s="618"/>
      <c r="J127" s="45">
        <f>E127+H127</f>
        <v>369.75220000000002</v>
      </c>
      <c r="K127" s="16"/>
      <c r="L127" s="56">
        <f>SUM(J127:K127)</f>
        <v>369.75220000000002</v>
      </c>
      <c r="M127" s="45">
        <v>235.0479</v>
      </c>
      <c r="N127" s="16"/>
      <c r="O127" s="56">
        <f t="shared" si="203"/>
        <v>235.0479</v>
      </c>
      <c r="P127" s="56">
        <f t="shared" si="136"/>
        <v>63.569033531105426</v>
      </c>
      <c r="Q127" s="45">
        <v>235.0479</v>
      </c>
      <c r="R127" s="16"/>
      <c r="S127" s="56">
        <f t="shared" si="204"/>
        <v>235.0479</v>
      </c>
      <c r="T127" s="56">
        <f t="shared" si="176"/>
        <v>63.569033531105426</v>
      </c>
      <c r="U127" s="45">
        <v>235.0479</v>
      </c>
      <c r="V127" s="16"/>
      <c r="W127" s="56">
        <f t="shared" si="205"/>
        <v>235.0479</v>
      </c>
      <c r="X127" s="56">
        <f t="shared" si="170"/>
        <v>63.569033531105426</v>
      </c>
      <c r="Y127" s="45">
        <f>0.213+167.7522+223.83516+10.99974</f>
        <v>402.80009999999993</v>
      </c>
      <c r="Z127" s="391"/>
      <c r="AA127" s="401">
        <f t="shared" si="206"/>
        <v>402.80009999999993</v>
      </c>
      <c r="AB127" s="56">
        <f t="shared" si="171"/>
        <v>108.93785080927169</v>
      </c>
      <c r="AC127" s="487">
        <f t="shared" si="207"/>
        <v>-33.047899999999913</v>
      </c>
      <c r="AD127" s="45">
        <v>31</v>
      </c>
      <c r="AE127" s="16"/>
      <c r="AF127" s="494">
        <f t="shared" si="208"/>
        <v>31</v>
      </c>
      <c r="AG127" s="56"/>
      <c r="AH127" s="578" t="s">
        <v>504</v>
      </c>
      <c r="AI127" s="240" t="s">
        <v>193</v>
      </c>
      <c r="AJ127" s="229" t="s">
        <v>467</v>
      </c>
    </row>
    <row r="128" spans="1:36" x14ac:dyDescent="0.2">
      <c r="A128" s="132"/>
      <c r="B128" s="28">
        <v>6409</v>
      </c>
      <c r="C128" s="28">
        <v>100</v>
      </c>
      <c r="D128" s="170" t="s">
        <v>155</v>
      </c>
      <c r="E128" s="45">
        <v>533</v>
      </c>
      <c r="F128" s="16"/>
      <c r="G128" s="56">
        <f t="shared" si="200"/>
        <v>533</v>
      </c>
      <c r="H128" s="627"/>
      <c r="I128" s="618"/>
      <c r="J128" s="45">
        <f t="shared" si="201"/>
        <v>533</v>
      </c>
      <c r="K128" s="16"/>
      <c r="L128" s="56">
        <f t="shared" si="202"/>
        <v>533</v>
      </c>
      <c r="M128" s="45">
        <f>136.10912</f>
        <v>136.10911999999999</v>
      </c>
      <c r="N128" s="16"/>
      <c r="O128" s="56">
        <f t="shared" si="203"/>
        <v>136.10911999999999</v>
      </c>
      <c r="P128" s="56">
        <f t="shared" si="136"/>
        <v>25.536420262664162</v>
      </c>
      <c r="Q128" s="45">
        <v>522.23811999999998</v>
      </c>
      <c r="R128" s="16"/>
      <c r="S128" s="56">
        <f t="shared" si="204"/>
        <v>522.23811999999998</v>
      </c>
      <c r="T128" s="56">
        <f t="shared" si="176"/>
        <v>97.980885553470927</v>
      </c>
      <c r="U128" s="45">
        <v>522.23811999999998</v>
      </c>
      <c r="V128" s="16"/>
      <c r="W128" s="56">
        <f t="shared" si="205"/>
        <v>522.23811999999998</v>
      </c>
      <c r="X128" s="56">
        <f t="shared" si="170"/>
        <v>97.980885553470927</v>
      </c>
      <c r="Y128" s="45">
        <f>144.66812+378.07</f>
        <v>522.73811999999998</v>
      </c>
      <c r="Z128" s="391"/>
      <c r="AA128" s="401">
        <f t="shared" si="206"/>
        <v>522.73811999999998</v>
      </c>
      <c r="AB128" s="56">
        <f t="shared" si="171"/>
        <v>98.074694183864906</v>
      </c>
      <c r="AC128" s="487">
        <f t="shared" si="207"/>
        <v>10.261880000000019</v>
      </c>
      <c r="AD128" s="45">
        <v>534</v>
      </c>
      <c r="AE128" s="16"/>
      <c r="AF128" s="494">
        <f t="shared" si="208"/>
        <v>534</v>
      </c>
      <c r="AG128" s="56">
        <f t="shared" si="193"/>
        <v>100.187617260788</v>
      </c>
      <c r="AH128" s="578"/>
      <c r="AI128" s="240" t="s">
        <v>193</v>
      </c>
      <c r="AJ128" s="231" t="s">
        <v>273</v>
      </c>
    </row>
    <row r="129" spans="1:36" s="349" customFormat="1" x14ac:dyDescent="0.2">
      <c r="A129" s="132"/>
      <c r="B129" s="28">
        <v>6409</v>
      </c>
      <c r="C129" s="28"/>
      <c r="D129" s="170" t="s">
        <v>386</v>
      </c>
      <c r="E129" s="45">
        <f>1098</f>
        <v>1098</v>
      </c>
      <c r="F129" s="16"/>
      <c r="G129" s="56">
        <f t="shared" si="200"/>
        <v>1098</v>
      </c>
      <c r="H129" s="627"/>
      <c r="I129" s="618"/>
      <c r="J129" s="45">
        <f t="shared" ref="J129" si="209">E129+H129</f>
        <v>1098</v>
      </c>
      <c r="K129" s="16"/>
      <c r="L129" s="56">
        <f t="shared" ref="L129" si="210">SUM(J129:K129)</f>
        <v>1098</v>
      </c>
      <c r="M129" s="45"/>
      <c r="N129" s="16"/>
      <c r="O129" s="56">
        <f t="shared" ref="O129" si="211">M129+N129</f>
        <v>0</v>
      </c>
      <c r="P129" s="56">
        <f t="shared" ref="P129" si="212">O129/$L129*100</f>
        <v>0</v>
      </c>
      <c r="Q129" s="45"/>
      <c r="R129" s="16"/>
      <c r="S129" s="56"/>
      <c r="T129" s="56">
        <f t="shared" ref="T129" si="213">S129/$L129*100</f>
        <v>0</v>
      </c>
      <c r="U129" s="45"/>
      <c r="V129" s="16"/>
      <c r="W129" s="56">
        <f t="shared" ref="W129" si="214">U129+V129</f>
        <v>0</v>
      </c>
      <c r="X129" s="56">
        <f t="shared" ref="X129" si="215">W129/$L129*100</f>
        <v>0</v>
      </c>
      <c r="Y129" s="45"/>
      <c r="Z129" s="391"/>
      <c r="AA129" s="401"/>
      <c r="AB129" s="56"/>
      <c r="AC129" s="487">
        <f t="shared" si="207"/>
        <v>1098</v>
      </c>
      <c r="AD129" s="45">
        <v>1098</v>
      </c>
      <c r="AE129" s="16"/>
      <c r="AF129" s="494">
        <f t="shared" si="208"/>
        <v>1098</v>
      </c>
      <c r="AG129" s="56">
        <f t="shared" si="193"/>
        <v>100</v>
      </c>
      <c r="AH129" s="578" t="s">
        <v>505</v>
      </c>
      <c r="AI129" s="249" t="s">
        <v>467</v>
      </c>
      <c r="AJ129" s="229" t="s">
        <v>280</v>
      </c>
    </row>
    <row r="130" spans="1:36" x14ac:dyDescent="0.2">
      <c r="A130" s="132"/>
      <c r="B130" s="28">
        <v>6409</v>
      </c>
      <c r="C130" s="28"/>
      <c r="D130" s="298" t="s">
        <v>140</v>
      </c>
      <c r="E130" s="45">
        <v>274</v>
      </c>
      <c r="F130" s="16">
        <v>1000</v>
      </c>
      <c r="G130" s="56">
        <f t="shared" si="200"/>
        <v>1274</v>
      </c>
      <c r="H130" s="627">
        <f>248.07929+969.5999-400+53.44349+180.681-55-270+122.923+693.47901-656</f>
        <v>887.20569</v>
      </c>
      <c r="I130" s="628">
        <f>-450-521.61</f>
        <v>-971.61</v>
      </c>
      <c r="J130" s="45">
        <f t="shared" si="201"/>
        <v>1161.20569</v>
      </c>
      <c r="K130" s="16">
        <f>F130+I130</f>
        <v>28.389999999999986</v>
      </c>
      <c r="L130" s="56">
        <f t="shared" si="202"/>
        <v>1189.5956900000001</v>
      </c>
      <c r="M130" s="45"/>
      <c r="N130" s="16"/>
      <c r="O130" s="56">
        <f t="shared" ref="O130" si="216">M130+N130</f>
        <v>0</v>
      </c>
      <c r="P130" s="56">
        <f t="shared" si="136"/>
        <v>0</v>
      </c>
      <c r="Q130" s="45"/>
      <c r="R130" s="16"/>
      <c r="S130" s="56">
        <f t="shared" ref="S130" si="217">Q130+R130</f>
        <v>0</v>
      </c>
      <c r="T130" s="56">
        <f t="shared" si="176"/>
        <v>0</v>
      </c>
      <c r="U130" s="45"/>
      <c r="V130" s="16"/>
      <c r="W130" s="56">
        <f t="shared" ref="W130" si="218">U130+V130</f>
        <v>0</v>
      </c>
      <c r="X130" s="56">
        <f t="shared" si="170"/>
        <v>0</v>
      </c>
      <c r="Y130" s="45"/>
      <c r="Z130" s="391"/>
      <c r="AA130" s="401">
        <f t="shared" si="206"/>
        <v>0</v>
      </c>
      <c r="AB130" s="56">
        <f t="shared" si="171"/>
        <v>0</v>
      </c>
      <c r="AC130" s="487">
        <f t="shared" si="207"/>
        <v>1189.5956900000001</v>
      </c>
      <c r="AD130" s="45">
        <f>400+1550</f>
        <v>1950</v>
      </c>
      <c r="AE130" s="45">
        <v>0</v>
      </c>
      <c r="AF130" s="494">
        <f t="shared" ref="AF130" si="219">AD130+AE130</f>
        <v>1950</v>
      </c>
      <c r="AG130" s="56">
        <f t="shared" si="193"/>
        <v>153.0612244897959</v>
      </c>
      <c r="AH130" s="578"/>
      <c r="AI130" s="249" t="s">
        <v>467</v>
      </c>
      <c r="AJ130" s="229" t="s">
        <v>280</v>
      </c>
    </row>
    <row r="131" spans="1:36" ht="13.5" thickBot="1" x14ac:dyDescent="0.25">
      <c r="A131" s="135"/>
      <c r="B131" s="98"/>
      <c r="C131" s="98"/>
      <c r="D131" s="99" t="s">
        <v>86</v>
      </c>
      <c r="E131" s="162">
        <f t="shared" ref="E131:O131" si="220">SUM(E5+E8+E14+E34+E48+E61+E69+E71+E92+E103+E109+E115+E122)</f>
        <v>154729</v>
      </c>
      <c r="F131" s="259">
        <f t="shared" si="220"/>
        <v>47217</v>
      </c>
      <c r="G131" s="259">
        <f t="shared" si="220"/>
        <v>201946</v>
      </c>
      <c r="H131" s="634">
        <f t="shared" si="220"/>
        <v>18208.135190000005</v>
      </c>
      <c r="I131" s="634">
        <f t="shared" si="220"/>
        <v>16792.14171</v>
      </c>
      <c r="J131" s="162">
        <f t="shared" si="220"/>
        <v>172937.13518999997</v>
      </c>
      <c r="K131" s="259">
        <f t="shared" si="220"/>
        <v>63921.141709999996</v>
      </c>
      <c r="L131" s="259">
        <f t="shared" si="220"/>
        <v>236858.2769</v>
      </c>
      <c r="M131" s="162">
        <f t="shared" si="220"/>
        <v>33024.88334</v>
      </c>
      <c r="N131" s="259">
        <f t="shared" si="220"/>
        <v>3148.1497100000001</v>
      </c>
      <c r="O131" s="259">
        <f t="shared" si="220"/>
        <v>36173.033049999991</v>
      </c>
      <c r="P131" s="259">
        <f t="shared" si="136"/>
        <v>15.272015621929061</v>
      </c>
      <c r="Q131" s="162">
        <f>SUM(Q5+Q8+Q14+Q34+Q48+Q61+Q69+Q71+Q92+Q103+Q109+Q115+Q122)</f>
        <v>72464.502280000001</v>
      </c>
      <c r="R131" s="259">
        <f>SUM(R5+R8+R14+R34+R48+R61+R69+R71+R92+R103+R109+R115+R122)</f>
        <v>23535.220590000001</v>
      </c>
      <c r="S131" s="259">
        <f>SUM(S5+S8+S14+S34+S48+S61+S69+S71+S92+S103+S109+S115+S122)</f>
        <v>95999.722869999998</v>
      </c>
      <c r="T131" s="259">
        <f t="shared" si="176"/>
        <v>40.530448893930973</v>
      </c>
      <c r="U131" s="162">
        <f>SUM(U5+U8+U14+U34+U48+U61+U69+U71+U92+U103+U109+U115+U122)</f>
        <v>112095.86318999999</v>
      </c>
      <c r="V131" s="259">
        <f>SUM(V5+V8+V14+V34+V48+V61+V69+V71+V92+V103+V109+V115+V122)</f>
        <v>27751.163069999995</v>
      </c>
      <c r="W131" s="259">
        <f>SUM(W5+W8+W14+W34+W48+W61+W69+W71+W92+W103+W109+W115+W122)</f>
        <v>139847.02626000001</v>
      </c>
      <c r="X131" s="259">
        <f t="shared" si="170"/>
        <v>59.042490762964775</v>
      </c>
      <c r="Y131" s="162">
        <f>SUM(Y5+Y8+Y14+Y34+Y48+Y61+Y69+Y71+Y92+Y103+Y109+Y115+Y122)</f>
        <v>150025.40744000001</v>
      </c>
      <c r="Z131" s="395">
        <f>SUM(Z5+Z8+Z14+Z34+Z48+Z61+Z69+Z71+Z92+Z103+Z109+Z115+Z122)</f>
        <v>59689.097869999998</v>
      </c>
      <c r="AA131" s="405">
        <f>SUM(AA5+AA8+AA14+AA34+AA48+AA61+AA69+AA71+AA92+AA103+AA109+AA115+AA122)</f>
        <v>209714.50531000001</v>
      </c>
      <c r="AB131" s="259">
        <f t="shared" si="171"/>
        <v>88.540078925990031</v>
      </c>
      <c r="AC131" s="489">
        <f>SUM(AC5+AC8+AC14+AC34+AC48+AC61+AC69+AC71+AC92+AC103+AC109+AC115+AC122)</f>
        <v>27143.771589999997</v>
      </c>
      <c r="AD131" s="162">
        <f>SUM(AD5+AD8+AD14+AD34+AD48+AD61+AD69+AD71+AD92+AD103+AD109+AD115+AD122)</f>
        <v>174769</v>
      </c>
      <c r="AE131" s="259">
        <f>SUM(AE5+AE8+AE14+AE34+AE48+AE61+AE69+AE71+AE92+AE103+AE109+AE115+AE122)</f>
        <v>42326</v>
      </c>
      <c r="AF131" s="498">
        <f>SUM(AF5+AF8+AF14+AF34+AF48+AF61+AF69+AF71+AF92+AF103+AF109+AF115+AF122)</f>
        <v>217095</v>
      </c>
      <c r="AG131" s="259">
        <f t="shared" si="193"/>
        <v>107.50151030473494</v>
      </c>
      <c r="AH131" s="586"/>
      <c r="AI131" s="162"/>
      <c r="AJ131" s="375"/>
    </row>
    <row r="132" spans="1:36" ht="13.5" thickBot="1" x14ac:dyDescent="0.25">
      <c r="A132" s="97"/>
      <c r="B132" s="337"/>
      <c r="C132" s="337"/>
      <c r="D132" s="337"/>
      <c r="E132" s="338" t="s">
        <v>87</v>
      </c>
      <c r="F132" s="34"/>
      <c r="G132" s="62">
        <f>SUM(E131:F131)</f>
        <v>201946</v>
      </c>
      <c r="H132" s="635"/>
      <c r="I132" s="636"/>
      <c r="J132" s="338"/>
      <c r="K132" s="337"/>
      <c r="L132" s="339">
        <f>+G131+H131+I131</f>
        <v>236946.2769</v>
      </c>
      <c r="M132" s="338" t="s">
        <v>87</v>
      </c>
      <c r="N132" s="337"/>
      <c r="O132" s="339">
        <f>SUM(M131:N131)</f>
        <v>36173.033049999998</v>
      </c>
      <c r="P132" s="339"/>
      <c r="Q132" s="338" t="s">
        <v>87</v>
      </c>
      <c r="R132" s="337"/>
      <c r="S132" s="339">
        <f>SUM(Q131:R131)</f>
        <v>95999.722869999998</v>
      </c>
      <c r="T132" s="339"/>
      <c r="U132" s="338" t="s">
        <v>87</v>
      </c>
      <c r="V132" s="337"/>
      <c r="W132" s="339">
        <f>SUM(U131:V131)</f>
        <v>139847.02625999998</v>
      </c>
      <c r="X132" s="339"/>
      <c r="Y132" s="384" t="s">
        <v>87</v>
      </c>
      <c r="Z132" s="396"/>
      <c r="AA132" s="406">
        <f>SUM(Y131:Z131)</f>
        <v>209714.50531000001</v>
      </c>
      <c r="AB132" s="339"/>
      <c r="AC132" s="490"/>
      <c r="AD132" s="338" t="s">
        <v>87</v>
      </c>
      <c r="AE132" s="34"/>
      <c r="AF132" s="497">
        <f>SUM(AD131:AE131)</f>
        <v>217095</v>
      </c>
      <c r="AG132" s="62"/>
      <c r="AH132" s="580"/>
      <c r="AI132" s="305"/>
      <c r="AJ132" s="86"/>
    </row>
    <row r="133" spans="1:36" x14ac:dyDescent="0.2">
      <c r="A133" s="43"/>
      <c r="B133" s="23"/>
      <c r="C133" s="23"/>
      <c r="D133" s="329"/>
      <c r="E133" s="23"/>
      <c r="F133" s="23"/>
      <c r="G133" s="136"/>
      <c r="H133" s="23"/>
      <c r="I133" s="136">
        <f>H131+I131</f>
        <v>35000.276900000004</v>
      </c>
      <c r="J133" s="23"/>
      <c r="K133" s="23"/>
      <c r="L133" s="136"/>
      <c r="M133" s="23"/>
      <c r="N133" s="23"/>
      <c r="O133" s="136"/>
      <c r="P133" s="136"/>
      <c r="Q133" s="23"/>
      <c r="R133" s="23"/>
      <c r="S133" s="136"/>
      <c r="T133" s="136"/>
      <c r="U133" s="23"/>
      <c r="V133" s="23"/>
      <c r="W133" s="136"/>
      <c r="X133" s="136"/>
      <c r="Y133" s="385"/>
      <c r="Z133" s="355"/>
      <c r="AA133" s="329"/>
      <c r="AB133" s="136"/>
      <c r="AC133" s="23"/>
      <c r="AD133" s="23"/>
      <c r="AE133" s="23"/>
      <c r="AF133" s="136"/>
      <c r="AG133" s="136"/>
      <c r="AH133" s="587"/>
      <c r="AI133" s="23"/>
    </row>
    <row r="134" spans="1:36" s="349" customFormat="1" x14ac:dyDescent="0.2">
      <c r="A134" s="43"/>
      <c r="B134" s="23"/>
      <c r="C134" s="23"/>
      <c r="D134" s="355"/>
      <c r="E134" s="23"/>
      <c r="F134" s="23"/>
      <c r="G134" s="136"/>
      <c r="H134" s="23"/>
      <c r="I134" s="23"/>
      <c r="J134" s="23"/>
      <c r="K134" s="23"/>
      <c r="L134" s="136"/>
      <c r="M134" s="23"/>
      <c r="N134" s="23"/>
      <c r="O134" s="136"/>
      <c r="P134" s="136"/>
      <c r="Q134" s="23"/>
      <c r="R134" s="23"/>
      <c r="S134" s="136"/>
      <c r="T134" s="136"/>
      <c r="U134" s="23"/>
      <c r="V134" s="23"/>
      <c r="W134" s="136"/>
      <c r="X134" s="136"/>
      <c r="Y134" s="385"/>
      <c r="Z134" s="355"/>
      <c r="AA134" s="329"/>
      <c r="AB134" s="136"/>
      <c r="AC134" s="23"/>
      <c r="AD134" s="23"/>
      <c r="AE134" s="23"/>
      <c r="AF134" s="136"/>
      <c r="AG134" s="136"/>
      <c r="AH134" s="587"/>
      <c r="AI134" s="23"/>
      <c r="AJ134" s="21"/>
    </row>
    <row r="135" spans="1:36" x14ac:dyDescent="0.2">
      <c r="D135" s="181"/>
      <c r="H135" s="114"/>
      <c r="I135" s="114"/>
    </row>
    <row r="136" spans="1:36" x14ac:dyDescent="0.2">
      <c r="D136" s="181"/>
      <c r="H136" s="114"/>
      <c r="I136" s="114"/>
    </row>
    <row r="137" spans="1:36" x14ac:dyDescent="0.2">
      <c r="H137" s="114"/>
      <c r="I137" s="114"/>
    </row>
    <row r="138" spans="1:36" x14ac:dyDescent="0.2">
      <c r="H138" s="114"/>
      <c r="I138" s="114"/>
    </row>
    <row r="139" spans="1:36" x14ac:dyDescent="0.2">
      <c r="H139" s="114"/>
      <c r="I139" s="114"/>
    </row>
    <row r="140" spans="1:36" x14ac:dyDescent="0.2">
      <c r="H140" s="114"/>
      <c r="I140" s="114"/>
    </row>
    <row r="141" spans="1:36" x14ac:dyDescent="0.2">
      <c r="H141" s="114"/>
      <c r="I141" s="114"/>
    </row>
    <row r="142" spans="1:36" x14ac:dyDescent="0.2">
      <c r="H142" s="114"/>
      <c r="I142" s="114"/>
    </row>
    <row r="143" spans="1:36" x14ac:dyDescent="0.2">
      <c r="H143" s="114"/>
      <c r="I143" s="114"/>
    </row>
    <row r="144" spans="1:36" x14ac:dyDescent="0.2">
      <c r="H144" s="114"/>
      <c r="I144" s="114"/>
    </row>
    <row r="145" spans="8:9" x14ac:dyDescent="0.2">
      <c r="H145" s="114"/>
      <c r="I145" s="114"/>
    </row>
    <row r="146" spans="8:9" x14ac:dyDescent="0.2">
      <c r="H146" s="114"/>
      <c r="I146" s="114"/>
    </row>
    <row r="147" spans="8:9" x14ac:dyDescent="0.2">
      <c r="H147" s="114"/>
      <c r="I147" s="114"/>
    </row>
    <row r="148" spans="8:9" x14ac:dyDescent="0.2">
      <c r="H148" s="114"/>
      <c r="I148" s="114"/>
    </row>
    <row r="149" spans="8:9" x14ac:dyDescent="0.2">
      <c r="H149" s="114"/>
      <c r="I149" s="114"/>
    </row>
    <row r="150" spans="8:9" x14ac:dyDescent="0.2">
      <c r="H150" s="114"/>
      <c r="I150" s="114"/>
    </row>
    <row r="151" spans="8:9" x14ac:dyDescent="0.2">
      <c r="H151" s="114"/>
      <c r="I151" s="114"/>
    </row>
    <row r="152" spans="8:9" x14ac:dyDescent="0.2">
      <c r="H152" s="114"/>
      <c r="I152" s="114"/>
    </row>
    <row r="153" spans="8:9" x14ac:dyDescent="0.2">
      <c r="H153" s="114"/>
      <c r="I153" s="114"/>
    </row>
    <row r="154" spans="8:9" x14ac:dyDescent="0.2">
      <c r="H154" s="114"/>
      <c r="I154" s="114"/>
    </row>
    <row r="155" spans="8:9" x14ac:dyDescent="0.2">
      <c r="H155" s="114"/>
      <c r="I155" s="114"/>
    </row>
    <row r="156" spans="8:9" x14ac:dyDescent="0.2">
      <c r="H156" s="114"/>
      <c r="I156" s="114"/>
    </row>
    <row r="157" spans="8:9" x14ac:dyDescent="0.2">
      <c r="H157" s="114"/>
      <c r="I157" s="114"/>
    </row>
    <row r="158" spans="8:9" x14ac:dyDescent="0.2">
      <c r="H158" s="114"/>
      <c r="I158" s="114"/>
    </row>
    <row r="159" spans="8:9" x14ac:dyDescent="0.2">
      <c r="H159" s="114"/>
      <c r="I159" s="114"/>
    </row>
    <row r="160" spans="8:9" x14ac:dyDescent="0.2">
      <c r="H160" s="114"/>
      <c r="I160" s="114"/>
    </row>
    <row r="161" spans="8:9" x14ac:dyDescent="0.2">
      <c r="H161" s="114"/>
      <c r="I161" s="114"/>
    </row>
    <row r="162" spans="8:9" x14ac:dyDescent="0.2">
      <c r="H162" s="114"/>
      <c r="I162" s="114"/>
    </row>
    <row r="163" spans="8:9" x14ac:dyDescent="0.2">
      <c r="H163" s="114"/>
      <c r="I163" s="114"/>
    </row>
    <row r="164" spans="8:9" x14ac:dyDescent="0.2">
      <c r="H164" s="114"/>
      <c r="I164" s="114"/>
    </row>
    <row r="165" spans="8:9" x14ac:dyDescent="0.2">
      <c r="H165" s="114"/>
      <c r="I165" s="114"/>
    </row>
    <row r="166" spans="8:9" x14ac:dyDescent="0.2">
      <c r="H166" s="114"/>
      <c r="I166" s="114"/>
    </row>
    <row r="167" spans="8:9" x14ac:dyDescent="0.2">
      <c r="H167" s="114"/>
      <c r="I167" s="114"/>
    </row>
    <row r="168" spans="8:9" x14ac:dyDescent="0.2">
      <c r="H168" s="114"/>
      <c r="I168" s="114"/>
    </row>
    <row r="169" spans="8:9" x14ac:dyDescent="0.2">
      <c r="H169" s="114"/>
      <c r="I169" s="114"/>
    </row>
    <row r="170" spans="8:9" x14ac:dyDescent="0.2">
      <c r="H170" s="114"/>
      <c r="I170" s="114"/>
    </row>
    <row r="171" spans="8:9" x14ac:dyDescent="0.2">
      <c r="H171" s="114"/>
      <c r="I171" s="114"/>
    </row>
    <row r="172" spans="8:9" x14ac:dyDescent="0.2">
      <c r="H172" s="114"/>
      <c r="I172" s="114"/>
    </row>
    <row r="173" spans="8:9" x14ac:dyDescent="0.2">
      <c r="H173" s="114"/>
      <c r="I173" s="114"/>
    </row>
    <row r="174" spans="8:9" x14ac:dyDescent="0.2">
      <c r="H174" s="114"/>
      <c r="I174" s="114"/>
    </row>
    <row r="175" spans="8:9" x14ac:dyDescent="0.2">
      <c r="H175" s="114"/>
      <c r="I175" s="114"/>
    </row>
    <row r="176" spans="8:9" x14ac:dyDescent="0.2">
      <c r="H176" s="114"/>
      <c r="I176" s="114"/>
    </row>
    <row r="177" spans="8:9" x14ac:dyDescent="0.2">
      <c r="H177" s="114"/>
      <c r="I177" s="114"/>
    </row>
    <row r="178" spans="8:9" x14ac:dyDescent="0.2">
      <c r="H178" s="114"/>
      <c r="I178" s="114"/>
    </row>
    <row r="179" spans="8:9" x14ac:dyDescent="0.2">
      <c r="H179" s="114"/>
      <c r="I179" s="114"/>
    </row>
    <row r="180" spans="8:9" x14ac:dyDescent="0.2">
      <c r="H180" s="114"/>
      <c r="I180" s="114"/>
    </row>
    <row r="181" spans="8:9" x14ac:dyDescent="0.2">
      <c r="H181" s="114"/>
      <c r="I181" s="114"/>
    </row>
    <row r="182" spans="8:9" x14ac:dyDescent="0.2">
      <c r="H182" s="114"/>
      <c r="I182" s="114"/>
    </row>
    <row r="183" spans="8:9" x14ac:dyDescent="0.2">
      <c r="H183" s="114"/>
      <c r="I183" s="114"/>
    </row>
    <row r="184" spans="8:9" x14ac:dyDescent="0.2">
      <c r="H184" s="114"/>
      <c r="I184" s="114"/>
    </row>
    <row r="185" spans="8:9" x14ac:dyDescent="0.2">
      <c r="H185" s="114"/>
      <c r="I185" s="114"/>
    </row>
    <row r="186" spans="8:9" x14ac:dyDescent="0.2">
      <c r="H186" s="114"/>
      <c r="I186" s="114"/>
    </row>
    <row r="187" spans="8:9" x14ac:dyDescent="0.2">
      <c r="H187" s="114"/>
      <c r="I187" s="114"/>
    </row>
    <row r="188" spans="8:9" x14ac:dyDescent="0.2">
      <c r="H188" s="114"/>
      <c r="I188" s="114"/>
    </row>
    <row r="189" spans="8:9" x14ac:dyDescent="0.2">
      <c r="H189" s="114"/>
      <c r="I189" s="114"/>
    </row>
    <row r="190" spans="8:9" x14ac:dyDescent="0.2">
      <c r="H190" s="114"/>
      <c r="I190" s="114"/>
    </row>
    <row r="191" spans="8:9" x14ac:dyDescent="0.2">
      <c r="H191" s="114"/>
      <c r="I191" s="114"/>
    </row>
    <row r="192" spans="8:9" x14ac:dyDescent="0.2">
      <c r="H192" s="114"/>
      <c r="I192" s="114"/>
    </row>
    <row r="193" spans="8:9" x14ac:dyDescent="0.2">
      <c r="H193" s="114"/>
      <c r="I193" s="114"/>
    </row>
    <row r="194" spans="8:9" x14ac:dyDescent="0.2">
      <c r="H194" s="114"/>
      <c r="I194" s="114"/>
    </row>
    <row r="195" spans="8:9" x14ac:dyDescent="0.2">
      <c r="H195" s="114"/>
      <c r="I195" s="114"/>
    </row>
    <row r="196" spans="8:9" x14ac:dyDescent="0.2">
      <c r="H196" s="114"/>
      <c r="I196" s="114"/>
    </row>
    <row r="197" spans="8:9" x14ac:dyDescent="0.2">
      <c r="H197" s="114"/>
      <c r="I197" s="114"/>
    </row>
    <row r="198" spans="8:9" x14ac:dyDescent="0.2">
      <c r="H198" s="114"/>
      <c r="I198" s="114"/>
    </row>
    <row r="199" spans="8:9" x14ac:dyDescent="0.2">
      <c r="H199" s="114"/>
      <c r="I199" s="114"/>
    </row>
    <row r="200" spans="8:9" x14ac:dyDescent="0.2">
      <c r="H200" s="114"/>
      <c r="I200" s="114"/>
    </row>
    <row r="201" spans="8:9" x14ac:dyDescent="0.2">
      <c r="H201" s="114"/>
      <c r="I201" s="114"/>
    </row>
    <row r="202" spans="8:9" x14ac:dyDescent="0.2">
      <c r="H202" s="114"/>
      <c r="I202" s="114"/>
    </row>
    <row r="203" spans="8:9" x14ac:dyDescent="0.2">
      <c r="H203" s="114"/>
      <c r="I203" s="114"/>
    </row>
    <row r="204" spans="8:9" x14ac:dyDescent="0.2">
      <c r="H204" s="114"/>
      <c r="I204" s="114"/>
    </row>
    <row r="205" spans="8:9" x14ac:dyDescent="0.2">
      <c r="H205" s="114"/>
      <c r="I205" s="114"/>
    </row>
    <row r="206" spans="8:9" x14ac:dyDescent="0.2">
      <c r="H206" s="114"/>
      <c r="I206" s="114"/>
    </row>
    <row r="207" spans="8:9" x14ac:dyDescent="0.2">
      <c r="H207" s="114"/>
      <c r="I207" s="114"/>
    </row>
    <row r="208" spans="8:9" x14ac:dyDescent="0.2">
      <c r="H208" s="114"/>
      <c r="I208" s="114"/>
    </row>
    <row r="209" spans="8:9" x14ac:dyDescent="0.2">
      <c r="H209" s="114"/>
      <c r="I209" s="114"/>
    </row>
    <row r="210" spans="8:9" x14ac:dyDescent="0.2">
      <c r="H210" s="114"/>
      <c r="I210" s="114"/>
    </row>
    <row r="211" spans="8:9" x14ac:dyDescent="0.2">
      <c r="H211" s="114"/>
      <c r="I211" s="114"/>
    </row>
    <row r="212" spans="8:9" x14ac:dyDescent="0.2">
      <c r="H212" s="114"/>
      <c r="I212" s="114"/>
    </row>
    <row r="213" spans="8:9" x14ac:dyDescent="0.2">
      <c r="H213" s="114"/>
      <c r="I213" s="114"/>
    </row>
    <row r="214" spans="8:9" x14ac:dyDescent="0.2">
      <c r="H214" s="114"/>
      <c r="I214" s="114"/>
    </row>
    <row r="215" spans="8:9" x14ac:dyDescent="0.2">
      <c r="H215" s="114"/>
      <c r="I215" s="114"/>
    </row>
    <row r="216" spans="8:9" x14ac:dyDescent="0.2">
      <c r="H216" s="114"/>
      <c r="I216" s="114"/>
    </row>
    <row r="217" spans="8:9" x14ac:dyDescent="0.2">
      <c r="H217" s="114"/>
      <c r="I217" s="114"/>
    </row>
    <row r="218" spans="8:9" x14ac:dyDescent="0.2">
      <c r="H218" s="114"/>
      <c r="I218" s="114"/>
    </row>
    <row r="219" spans="8:9" x14ac:dyDescent="0.2">
      <c r="H219" s="114"/>
      <c r="I219" s="114"/>
    </row>
    <row r="220" spans="8:9" x14ac:dyDescent="0.2">
      <c r="H220" s="114"/>
      <c r="I220" s="114"/>
    </row>
    <row r="221" spans="8:9" x14ac:dyDescent="0.2">
      <c r="H221" s="114"/>
      <c r="I221" s="114"/>
    </row>
    <row r="222" spans="8:9" x14ac:dyDescent="0.2">
      <c r="H222" s="114"/>
      <c r="I222" s="114"/>
    </row>
    <row r="223" spans="8:9" x14ac:dyDescent="0.2">
      <c r="H223" s="114"/>
      <c r="I223" s="114"/>
    </row>
    <row r="224" spans="8:9" x14ac:dyDescent="0.2">
      <c r="H224" s="114"/>
      <c r="I224" s="114"/>
    </row>
    <row r="225" spans="8:9" x14ac:dyDescent="0.2">
      <c r="H225" s="114"/>
      <c r="I225" s="114"/>
    </row>
    <row r="226" spans="8:9" x14ac:dyDescent="0.2">
      <c r="H226" s="114"/>
      <c r="I226" s="114"/>
    </row>
    <row r="227" spans="8:9" x14ac:dyDescent="0.2">
      <c r="H227" s="114"/>
      <c r="I227" s="114"/>
    </row>
    <row r="228" spans="8:9" x14ac:dyDescent="0.2">
      <c r="H228" s="114"/>
      <c r="I228" s="114"/>
    </row>
    <row r="229" spans="8:9" x14ac:dyDescent="0.2">
      <c r="H229" s="114"/>
      <c r="I229" s="114"/>
    </row>
    <row r="230" spans="8:9" x14ac:dyDescent="0.2">
      <c r="H230" s="114"/>
      <c r="I230" s="114"/>
    </row>
    <row r="231" spans="8:9" x14ac:dyDescent="0.2">
      <c r="H231" s="114"/>
      <c r="I231" s="114"/>
    </row>
    <row r="232" spans="8:9" x14ac:dyDescent="0.2">
      <c r="H232" s="114"/>
      <c r="I232" s="114"/>
    </row>
    <row r="233" spans="8:9" x14ac:dyDescent="0.2">
      <c r="H233" s="114"/>
      <c r="I233" s="114"/>
    </row>
    <row r="234" spans="8:9" x14ac:dyDescent="0.2">
      <c r="H234" s="114"/>
      <c r="I234" s="114"/>
    </row>
    <row r="235" spans="8:9" x14ac:dyDescent="0.2">
      <c r="H235" s="114"/>
      <c r="I235" s="114"/>
    </row>
    <row r="236" spans="8:9" x14ac:dyDescent="0.2">
      <c r="H236" s="114"/>
      <c r="I236" s="114"/>
    </row>
    <row r="237" spans="8:9" x14ac:dyDescent="0.2">
      <c r="H237" s="114"/>
      <c r="I237" s="114"/>
    </row>
    <row r="238" spans="8:9" x14ac:dyDescent="0.2">
      <c r="H238" s="114"/>
      <c r="I238" s="114"/>
    </row>
    <row r="239" spans="8:9" x14ac:dyDescent="0.2">
      <c r="H239" s="114"/>
      <c r="I239" s="114"/>
    </row>
    <row r="240" spans="8:9" x14ac:dyDescent="0.2">
      <c r="H240" s="114"/>
      <c r="I240" s="114"/>
    </row>
    <row r="241" spans="8:9" x14ac:dyDescent="0.2">
      <c r="H241" s="114"/>
      <c r="I241" s="114"/>
    </row>
    <row r="242" spans="8:9" x14ac:dyDescent="0.2">
      <c r="H242" s="114"/>
      <c r="I242" s="114"/>
    </row>
    <row r="243" spans="8:9" x14ac:dyDescent="0.2">
      <c r="H243" s="114"/>
      <c r="I243" s="114"/>
    </row>
    <row r="244" spans="8:9" x14ac:dyDescent="0.2">
      <c r="H244" s="114"/>
      <c r="I244" s="114"/>
    </row>
    <row r="245" spans="8:9" x14ac:dyDescent="0.2">
      <c r="H245" s="114"/>
      <c r="I245" s="114"/>
    </row>
    <row r="246" spans="8:9" x14ac:dyDescent="0.2">
      <c r="H246" s="114"/>
      <c r="I246" s="114"/>
    </row>
    <row r="247" spans="8:9" x14ac:dyDescent="0.2">
      <c r="H247" s="114"/>
      <c r="I247" s="114"/>
    </row>
    <row r="248" spans="8:9" x14ac:dyDescent="0.2">
      <c r="H248" s="114"/>
      <c r="I248" s="114"/>
    </row>
    <row r="249" spans="8:9" x14ac:dyDescent="0.2">
      <c r="H249" s="114"/>
      <c r="I249" s="114"/>
    </row>
    <row r="250" spans="8:9" x14ac:dyDescent="0.2">
      <c r="H250" s="114"/>
      <c r="I250" s="114"/>
    </row>
    <row r="251" spans="8:9" x14ac:dyDescent="0.2">
      <c r="H251" s="114"/>
      <c r="I251" s="114"/>
    </row>
    <row r="252" spans="8:9" x14ac:dyDescent="0.2">
      <c r="H252" s="114"/>
      <c r="I252" s="114"/>
    </row>
    <row r="253" spans="8:9" x14ac:dyDescent="0.2">
      <c r="H253" s="114"/>
      <c r="I253" s="114"/>
    </row>
    <row r="254" spans="8:9" x14ac:dyDescent="0.2">
      <c r="H254" s="114"/>
      <c r="I254" s="114"/>
    </row>
    <row r="255" spans="8:9" x14ac:dyDescent="0.2">
      <c r="H255" s="114"/>
      <c r="I255" s="114"/>
    </row>
    <row r="256" spans="8:9" x14ac:dyDescent="0.2">
      <c r="H256" s="114"/>
      <c r="I256" s="114"/>
    </row>
    <row r="257" spans="8:9" x14ac:dyDescent="0.2">
      <c r="H257" s="114"/>
      <c r="I257" s="114"/>
    </row>
    <row r="258" spans="8:9" x14ac:dyDescent="0.2">
      <c r="H258" s="114"/>
      <c r="I258" s="114"/>
    </row>
    <row r="259" spans="8:9" x14ac:dyDescent="0.2">
      <c r="H259" s="114"/>
      <c r="I259" s="114"/>
    </row>
    <row r="260" spans="8:9" x14ac:dyDescent="0.2">
      <c r="H260" s="114"/>
      <c r="I260" s="114"/>
    </row>
    <row r="261" spans="8:9" x14ac:dyDescent="0.2">
      <c r="H261" s="114"/>
      <c r="I261" s="114"/>
    </row>
    <row r="262" spans="8:9" x14ac:dyDescent="0.2">
      <c r="H262" s="114"/>
      <c r="I262" s="114"/>
    </row>
    <row r="263" spans="8:9" x14ac:dyDescent="0.2">
      <c r="H263" s="114"/>
      <c r="I263" s="114"/>
    </row>
    <row r="264" spans="8:9" x14ac:dyDescent="0.2">
      <c r="H264" s="114"/>
      <c r="I264" s="114"/>
    </row>
    <row r="265" spans="8:9" x14ac:dyDescent="0.2">
      <c r="H265" s="114"/>
      <c r="I265" s="114"/>
    </row>
    <row r="266" spans="8:9" x14ac:dyDescent="0.2">
      <c r="H266" s="114"/>
      <c r="I266" s="114"/>
    </row>
    <row r="267" spans="8:9" x14ac:dyDescent="0.2">
      <c r="H267" s="114"/>
      <c r="I267" s="114"/>
    </row>
    <row r="268" spans="8:9" x14ac:dyDescent="0.2">
      <c r="H268" s="114"/>
      <c r="I268" s="114"/>
    </row>
    <row r="269" spans="8:9" x14ac:dyDescent="0.2">
      <c r="H269" s="114"/>
      <c r="I269" s="114"/>
    </row>
    <row r="270" spans="8:9" x14ac:dyDescent="0.2">
      <c r="H270" s="114"/>
      <c r="I270" s="114"/>
    </row>
    <row r="271" spans="8:9" x14ac:dyDescent="0.2">
      <c r="H271" s="114"/>
      <c r="I271" s="114"/>
    </row>
    <row r="272" spans="8:9" x14ac:dyDescent="0.2">
      <c r="H272" s="114"/>
      <c r="I272" s="114"/>
    </row>
    <row r="273" spans="8:9" x14ac:dyDescent="0.2">
      <c r="H273" s="114"/>
      <c r="I273" s="114"/>
    </row>
    <row r="274" spans="8:9" x14ac:dyDescent="0.2">
      <c r="H274" s="114"/>
      <c r="I274" s="114"/>
    </row>
    <row r="275" spans="8:9" x14ac:dyDescent="0.2">
      <c r="H275" s="114"/>
      <c r="I275" s="114"/>
    </row>
    <row r="276" spans="8:9" x14ac:dyDescent="0.2">
      <c r="H276" s="114"/>
      <c r="I276" s="114"/>
    </row>
    <row r="277" spans="8:9" x14ac:dyDescent="0.2">
      <c r="H277" s="114"/>
      <c r="I277" s="114"/>
    </row>
    <row r="278" spans="8:9" x14ac:dyDescent="0.2">
      <c r="H278" s="114"/>
      <c r="I278" s="114"/>
    </row>
    <row r="279" spans="8:9" x14ac:dyDescent="0.2">
      <c r="H279" s="114"/>
      <c r="I279" s="114"/>
    </row>
    <row r="280" spans="8:9" x14ac:dyDescent="0.2">
      <c r="H280" s="114"/>
      <c r="I280" s="114"/>
    </row>
    <row r="281" spans="8:9" x14ac:dyDescent="0.2">
      <c r="H281" s="114"/>
      <c r="I281" s="114"/>
    </row>
    <row r="282" spans="8:9" x14ac:dyDescent="0.2">
      <c r="H282" s="114"/>
      <c r="I282" s="114"/>
    </row>
    <row r="283" spans="8:9" x14ac:dyDescent="0.2">
      <c r="H283" s="114"/>
      <c r="I283" s="114"/>
    </row>
    <row r="284" spans="8:9" x14ac:dyDescent="0.2">
      <c r="H284" s="114"/>
      <c r="I284" s="114"/>
    </row>
    <row r="285" spans="8:9" x14ac:dyDescent="0.2">
      <c r="H285" s="114"/>
      <c r="I285" s="114"/>
    </row>
    <row r="286" spans="8:9" x14ac:dyDescent="0.2">
      <c r="H286" s="114"/>
      <c r="I286" s="114"/>
    </row>
    <row r="287" spans="8:9" x14ac:dyDescent="0.2">
      <c r="H287" s="114"/>
      <c r="I287" s="114"/>
    </row>
    <row r="288" spans="8:9" x14ac:dyDescent="0.2">
      <c r="H288" s="114"/>
      <c r="I288" s="114"/>
    </row>
    <row r="289" spans="8:9" x14ac:dyDescent="0.2">
      <c r="H289" s="114"/>
      <c r="I289" s="114"/>
    </row>
    <row r="290" spans="8:9" x14ac:dyDescent="0.2">
      <c r="H290" s="114"/>
      <c r="I290" s="114"/>
    </row>
    <row r="291" spans="8:9" x14ac:dyDescent="0.2">
      <c r="H291" s="114"/>
      <c r="I291" s="114"/>
    </row>
    <row r="292" spans="8:9" x14ac:dyDescent="0.2">
      <c r="H292" s="114"/>
      <c r="I292" s="114"/>
    </row>
    <row r="293" spans="8:9" x14ac:dyDescent="0.2">
      <c r="H293" s="114"/>
      <c r="I293" s="114"/>
    </row>
    <row r="294" spans="8:9" x14ac:dyDescent="0.2">
      <c r="H294" s="114"/>
      <c r="I294" s="114"/>
    </row>
    <row r="295" spans="8:9" x14ac:dyDescent="0.2">
      <c r="H295" s="114"/>
      <c r="I295" s="114"/>
    </row>
    <row r="296" spans="8:9" x14ac:dyDescent="0.2">
      <c r="H296" s="114"/>
      <c r="I296" s="114"/>
    </row>
    <row r="297" spans="8:9" x14ac:dyDescent="0.2">
      <c r="H297" s="114"/>
      <c r="I297" s="114"/>
    </row>
    <row r="298" spans="8:9" x14ac:dyDescent="0.2">
      <c r="H298" s="114"/>
      <c r="I298" s="114"/>
    </row>
    <row r="299" spans="8:9" x14ac:dyDescent="0.2">
      <c r="H299" s="114"/>
      <c r="I299" s="114"/>
    </row>
    <row r="300" spans="8:9" x14ac:dyDescent="0.2">
      <c r="H300" s="114"/>
      <c r="I300" s="114"/>
    </row>
    <row r="301" spans="8:9" x14ac:dyDescent="0.2">
      <c r="H301" s="114"/>
      <c r="I301" s="114"/>
    </row>
    <row r="302" spans="8:9" x14ac:dyDescent="0.2">
      <c r="H302" s="114"/>
      <c r="I302" s="114"/>
    </row>
    <row r="303" spans="8:9" x14ac:dyDescent="0.2">
      <c r="H303" s="114"/>
      <c r="I303" s="114"/>
    </row>
    <row r="304" spans="8:9" x14ac:dyDescent="0.2">
      <c r="H304" s="114"/>
      <c r="I304" s="114"/>
    </row>
    <row r="305" spans="8:9" x14ac:dyDescent="0.2">
      <c r="H305" s="114"/>
      <c r="I305" s="114"/>
    </row>
    <row r="306" spans="8:9" x14ac:dyDescent="0.2">
      <c r="H306" s="114"/>
      <c r="I306" s="114"/>
    </row>
    <row r="307" spans="8:9" x14ac:dyDescent="0.2">
      <c r="H307" s="114"/>
      <c r="I307" s="114"/>
    </row>
    <row r="308" spans="8:9" x14ac:dyDescent="0.2">
      <c r="H308" s="114"/>
      <c r="I308" s="114"/>
    </row>
    <row r="309" spans="8:9" x14ac:dyDescent="0.2">
      <c r="H309" s="114"/>
      <c r="I309" s="114"/>
    </row>
    <row r="310" spans="8:9" x14ac:dyDescent="0.2">
      <c r="H310" s="114"/>
      <c r="I310" s="114"/>
    </row>
    <row r="311" spans="8:9" x14ac:dyDescent="0.2">
      <c r="H311" s="114"/>
      <c r="I311" s="114"/>
    </row>
    <row r="312" spans="8:9" x14ac:dyDescent="0.2">
      <c r="H312" s="114"/>
      <c r="I312" s="114"/>
    </row>
    <row r="313" spans="8:9" x14ac:dyDescent="0.2">
      <c r="H313" s="114"/>
      <c r="I313" s="114"/>
    </row>
    <row r="314" spans="8:9" x14ac:dyDescent="0.2">
      <c r="H314" s="114"/>
      <c r="I314" s="114"/>
    </row>
    <row r="315" spans="8:9" x14ac:dyDescent="0.2">
      <c r="H315" s="114"/>
      <c r="I315" s="114"/>
    </row>
    <row r="316" spans="8:9" x14ac:dyDescent="0.2">
      <c r="H316" s="114"/>
      <c r="I316" s="114"/>
    </row>
    <row r="317" spans="8:9" x14ac:dyDescent="0.2">
      <c r="H317" s="114"/>
      <c r="I317" s="114"/>
    </row>
    <row r="318" spans="8:9" x14ac:dyDescent="0.2">
      <c r="H318" s="114"/>
      <c r="I318" s="114"/>
    </row>
    <row r="319" spans="8:9" x14ac:dyDescent="0.2">
      <c r="H319" s="114"/>
      <c r="I319" s="114"/>
    </row>
    <row r="320" spans="8:9" x14ac:dyDescent="0.2">
      <c r="H320" s="114"/>
      <c r="I320" s="114"/>
    </row>
    <row r="321" spans="8:9" x14ac:dyDescent="0.2">
      <c r="H321" s="114"/>
      <c r="I321" s="114"/>
    </row>
    <row r="322" spans="8:9" x14ac:dyDescent="0.2">
      <c r="H322" s="114"/>
      <c r="I322" s="114"/>
    </row>
    <row r="323" spans="8:9" x14ac:dyDescent="0.2">
      <c r="H323" s="114"/>
      <c r="I323" s="114"/>
    </row>
    <row r="324" spans="8:9" x14ac:dyDescent="0.2">
      <c r="H324" s="114"/>
      <c r="I324" s="114"/>
    </row>
    <row r="325" spans="8:9" x14ac:dyDescent="0.2">
      <c r="H325" s="114"/>
      <c r="I325" s="114"/>
    </row>
    <row r="326" spans="8:9" x14ac:dyDescent="0.2">
      <c r="H326" s="114"/>
      <c r="I326" s="114"/>
    </row>
    <row r="327" spans="8:9" x14ac:dyDescent="0.2">
      <c r="H327" s="114"/>
      <c r="I327" s="114"/>
    </row>
    <row r="328" spans="8:9" x14ac:dyDescent="0.2">
      <c r="H328" s="114"/>
      <c r="I328" s="114"/>
    </row>
    <row r="329" spans="8:9" x14ac:dyDescent="0.2">
      <c r="H329" s="114"/>
      <c r="I329" s="114"/>
    </row>
    <row r="330" spans="8:9" x14ac:dyDescent="0.2">
      <c r="H330" s="114"/>
      <c r="I330" s="114"/>
    </row>
    <row r="331" spans="8:9" x14ac:dyDescent="0.2">
      <c r="H331" s="114"/>
      <c r="I331" s="114"/>
    </row>
    <row r="332" spans="8:9" x14ac:dyDescent="0.2">
      <c r="H332" s="114"/>
      <c r="I332" s="114"/>
    </row>
    <row r="333" spans="8:9" x14ac:dyDescent="0.2">
      <c r="H333" s="114"/>
      <c r="I333" s="114"/>
    </row>
    <row r="334" spans="8:9" x14ac:dyDescent="0.2">
      <c r="H334" s="114"/>
      <c r="I334" s="114"/>
    </row>
    <row r="335" spans="8:9" x14ac:dyDescent="0.2">
      <c r="H335" s="114"/>
      <c r="I335" s="114"/>
    </row>
    <row r="336" spans="8:9" x14ac:dyDescent="0.2">
      <c r="H336" s="114"/>
      <c r="I336" s="114"/>
    </row>
    <row r="337" spans="8:9" x14ac:dyDescent="0.2">
      <c r="H337" s="114"/>
      <c r="I337" s="114"/>
    </row>
    <row r="338" spans="8:9" x14ac:dyDescent="0.2">
      <c r="H338" s="114"/>
      <c r="I338" s="114"/>
    </row>
    <row r="339" spans="8:9" x14ac:dyDescent="0.2">
      <c r="H339" s="114"/>
      <c r="I339" s="114"/>
    </row>
    <row r="340" spans="8:9" x14ac:dyDescent="0.2">
      <c r="H340" s="114"/>
      <c r="I340" s="114"/>
    </row>
    <row r="341" spans="8:9" x14ac:dyDescent="0.2">
      <c r="H341" s="114"/>
      <c r="I341" s="114"/>
    </row>
    <row r="342" spans="8:9" x14ac:dyDescent="0.2">
      <c r="H342" s="114"/>
      <c r="I342" s="114"/>
    </row>
    <row r="343" spans="8:9" x14ac:dyDescent="0.2">
      <c r="H343" s="114"/>
      <c r="I343" s="114"/>
    </row>
    <row r="344" spans="8:9" x14ac:dyDescent="0.2">
      <c r="H344" s="114"/>
      <c r="I344" s="114"/>
    </row>
    <row r="345" spans="8:9" x14ac:dyDescent="0.2">
      <c r="H345" s="114"/>
      <c r="I345" s="114"/>
    </row>
    <row r="346" spans="8:9" x14ac:dyDescent="0.2">
      <c r="H346" s="114"/>
      <c r="I346" s="114"/>
    </row>
    <row r="347" spans="8:9" x14ac:dyDescent="0.2">
      <c r="H347" s="114"/>
      <c r="I347" s="114"/>
    </row>
    <row r="348" spans="8:9" x14ac:dyDescent="0.2">
      <c r="H348" s="114"/>
      <c r="I348" s="114"/>
    </row>
    <row r="349" spans="8:9" x14ac:dyDescent="0.2">
      <c r="H349" s="114"/>
      <c r="I349" s="114"/>
    </row>
    <row r="350" spans="8:9" x14ac:dyDescent="0.2">
      <c r="H350" s="114"/>
      <c r="I350" s="114"/>
    </row>
    <row r="351" spans="8:9" x14ac:dyDescent="0.2">
      <c r="H351" s="114"/>
      <c r="I351" s="114"/>
    </row>
    <row r="352" spans="8:9" x14ac:dyDescent="0.2">
      <c r="H352" s="114"/>
      <c r="I352" s="114"/>
    </row>
    <row r="353" spans="8:9" x14ac:dyDescent="0.2">
      <c r="H353" s="114"/>
      <c r="I353" s="114"/>
    </row>
    <row r="354" spans="8:9" x14ac:dyDescent="0.2">
      <c r="H354" s="114"/>
      <c r="I354" s="114"/>
    </row>
    <row r="355" spans="8:9" x14ac:dyDescent="0.2">
      <c r="H355" s="114"/>
      <c r="I355" s="114"/>
    </row>
    <row r="356" spans="8:9" x14ac:dyDescent="0.2">
      <c r="H356" s="114"/>
      <c r="I356" s="114"/>
    </row>
    <row r="357" spans="8:9" x14ac:dyDescent="0.2">
      <c r="H357" s="114"/>
      <c r="I357" s="114"/>
    </row>
    <row r="358" spans="8:9" x14ac:dyDescent="0.2">
      <c r="H358" s="114"/>
      <c r="I358" s="114"/>
    </row>
    <row r="359" spans="8:9" x14ac:dyDescent="0.2">
      <c r="H359" s="114"/>
      <c r="I359" s="114"/>
    </row>
    <row r="360" spans="8:9" x14ac:dyDescent="0.2">
      <c r="H360" s="114"/>
      <c r="I360" s="114"/>
    </row>
    <row r="361" spans="8:9" x14ac:dyDescent="0.2">
      <c r="H361" s="114"/>
      <c r="I361" s="114"/>
    </row>
    <row r="362" spans="8:9" x14ac:dyDescent="0.2">
      <c r="H362" s="114"/>
      <c r="I362" s="114"/>
    </row>
    <row r="363" spans="8:9" x14ac:dyDescent="0.2">
      <c r="H363" s="114"/>
      <c r="I363" s="114"/>
    </row>
    <row r="364" spans="8:9" x14ac:dyDescent="0.2">
      <c r="H364" s="114"/>
      <c r="I364" s="114"/>
    </row>
    <row r="365" spans="8:9" x14ac:dyDescent="0.2">
      <c r="H365" s="114"/>
      <c r="I365" s="114"/>
    </row>
    <row r="366" spans="8:9" x14ac:dyDescent="0.2">
      <c r="H366" s="114"/>
      <c r="I366" s="114"/>
    </row>
    <row r="367" spans="8:9" x14ac:dyDescent="0.2">
      <c r="H367" s="114"/>
      <c r="I367" s="114"/>
    </row>
    <row r="368" spans="8:9" x14ac:dyDescent="0.2">
      <c r="H368" s="114"/>
      <c r="I368" s="114"/>
    </row>
    <row r="369" spans="8:9" x14ac:dyDescent="0.2">
      <c r="H369" s="114"/>
      <c r="I369" s="114"/>
    </row>
    <row r="370" spans="8:9" x14ac:dyDescent="0.2">
      <c r="H370" s="114"/>
      <c r="I370" s="114"/>
    </row>
    <row r="371" spans="8:9" x14ac:dyDescent="0.2">
      <c r="H371" s="114"/>
      <c r="I371" s="114"/>
    </row>
    <row r="372" spans="8:9" x14ac:dyDescent="0.2">
      <c r="H372" s="114"/>
      <c r="I372" s="114"/>
    </row>
    <row r="373" spans="8:9" x14ac:dyDescent="0.2">
      <c r="H373" s="114"/>
      <c r="I373" s="114"/>
    </row>
    <row r="374" spans="8:9" x14ac:dyDescent="0.2">
      <c r="H374" s="114"/>
      <c r="I374" s="114"/>
    </row>
    <row r="375" spans="8:9" x14ac:dyDescent="0.2">
      <c r="H375" s="114"/>
      <c r="I375" s="114"/>
    </row>
    <row r="376" spans="8:9" x14ac:dyDescent="0.2">
      <c r="H376" s="114"/>
      <c r="I376" s="114"/>
    </row>
    <row r="377" spans="8:9" x14ac:dyDescent="0.2">
      <c r="H377" s="114"/>
      <c r="I377" s="114"/>
    </row>
    <row r="378" spans="8:9" x14ac:dyDescent="0.2">
      <c r="H378" s="114"/>
      <c r="I378" s="114"/>
    </row>
    <row r="379" spans="8:9" x14ac:dyDescent="0.2">
      <c r="H379" s="114"/>
      <c r="I379" s="114"/>
    </row>
    <row r="380" spans="8:9" x14ac:dyDescent="0.2">
      <c r="H380" s="114"/>
      <c r="I380" s="114"/>
    </row>
    <row r="381" spans="8:9" x14ac:dyDescent="0.2">
      <c r="H381" s="114"/>
      <c r="I381" s="114"/>
    </row>
    <row r="382" spans="8:9" x14ac:dyDescent="0.2">
      <c r="H382" s="114"/>
      <c r="I382" s="114"/>
    </row>
    <row r="383" spans="8:9" x14ac:dyDescent="0.2">
      <c r="H383" s="114"/>
      <c r="I383" s="114"/>
    </row>
    <row r="384" spans="8:9" x14ac:dyDescent="0.2">
      <c r="H384" s="114"/>
      <c r="I384" s="114"/>
    </row>
    <row r="385" spans="8:9" x14ac:dyDescent="0.2">
      <c r="H385" s="114"/>
      <c r="I385" s="114"/>
    </row>
    <row r="386" spans="8:9" x14ac:dyDescent="0.2">
      <c r="H386" s="114"/>
      <c r="I386" s="114"/>
    </row>
    <row r="387" spans="8:9" x14ac:dyDescent="0.2">
      <c r="H387" s="114"/>
      <c r="I387" s="114"/>
    </row>
    <row r="388" spans="8:9" x14ac:dyDescent="0.2">
      <c r="H388" s="114"/>
      <c r="I388" s="114"/>
    </row>
    <row r="389" spans="8:9" x14ac:dyDescent="0.2">
      <c r="H389" s="114"/>
      <c r="I389" s="114"/>
    </row>
    <row r="390" spans="8:9" x14ac:dyDescent="0.2">
      <c r="H390" s="114"/>
      <c r="I390" s="114"/>
    </row>
    <row r="391" spans="8:9" x14ac:dyDescent="0.2">
      <c r="H391" s="114"/>
      <c r="I391" s="114"/>
    </row>
    <row r="392" spans="8:9" x14ac:dyDescent="0.2">
      <c r="H392" s="114"/>
      <c r="I392" s="114"/>
    </row>
    <row r="393" spans="8:9" x14ac:dyDescent="0.2">
      <c r="H393" s="114"/>
      <c r="I393" s="114"/>
    </row>
    <row r="394" spans="8:9" x14ac:dyDescent="0.2">
      <c r="H394" s="114"/>
      <c r="I394" s="114"/>
    </row>
    <row r="395" spans="8:9" x14ac:dyDescent="0.2">
      <c r="H395" s="114"/>
      <c r="I395" s="114"/>
    </row>
    <row r="396" spans="8:9" x14ac:dyDescent="0.2">
      <c r="H396" s="114"/>
      <c r="I396" s="114"/>
    </row>
    <row r="397" spans="8:9" x14ac:dyDescent="0.2">
      <c r="H397" s="114"/>
      <c r="I397" s="114"/>
    </row>
    <row r="398" spans="8:9" x14ac:dyDescent="0.2">
      <c r="H398" s="114"/>
      <c r="I398" s="114"/>
    </row>
    <row r="399" spans="8:9" x14ac:dyDescent="0.2">
      <c r="H399" s="114"/>
      <c r="I399" s="114"/>
    </row>
    <row r="400" spans="8:9" x14ac:dyDescent="0.2">
      <c r="H400" s="114"/>
      <c r="I400" s="114"/>
    </row>
    <row r="401" spans="8:9" x14ac:dyDescent="0.2">
      <c r="H401" s="114"/>
      <c r="I401" s="114"/>
    </row>
    <row r="402" spans="8:9" x14ac:dyDescent="0.2">
      <c r="H402" s="114"/>
      <c r="I402" s="114"/>
    </row>
    <row r="403" spans="8:9" x14ac:dyDescent="0.2">
      <c r="H403" s="114"/>
      <c r="I403" s="114"/>
    </row>
    <row r="404" spans="8:9" x14ac:dyDescent="0.2">
      <c r="H404" s="114"/>
      <c r="I404" s="114"/>
    </row>
    <row r="405" spans="8:9" x14ac:dyDescent="0.2">
      <c r="H405" s="114"/>
      <c r="I405" s="114"/>
    </row>
    <row r="406" spans="8:9" x14ac:dyDescent="0.2">
      <c r="H406" s="114"/>
      <c r="I406" s="114"/>
    </row>
    <row r="407" spans="8:9" x14ac:dyDescent="0.2">
      <c r="H407" s="114"/>
      <c r="I407" s="114"/>
    </row>
    <row r="408" spans="8:9" x14ac:dyDescent="0.2">
      <c r="H408" s="114"/>
      <c r="I408" s="114"/>
    </row>
    <row r="409" spans="8:9" x14ac:dyDescent="0.2">
      <c r="H409" s="114"/>
      <c r="I409" s="114"/>
    </row>
    <row r="410" spans="8:9" x14ac:dyDescent="0.2">
      <c r="H410" s="114"/>
      <c r="I410" s="114"/>
    </row>
    <row r="411" spans="8:9" x14ac:dyDescent="0.2">
      <c r="H411" s="114"/>
      <c r="I411" s="114"/>
    </row>
    <row r="412" spans="8:9" x14ac:dyDescent="0.2">
      <c r="H412" s="114"/>
      <c r="I412" s="114"/>
    </row>
    <row r="413" spans="8:9" x14ac:dyDescent="0.2">
      <c r="H413" s="114"/>
      <c r="I413" s="114"/>
    </row>
    <row r="414" spans="8:9" x14ac:dyDescent="0.2">
      <c r="H414" s="114"/>
      <c r="I414" s="114"/>
    </row>
    <row r="415" spans="8:9" x14ac:dyDescent="0.2">
      <c r="H415" s="114"/>
      <c r="I415" s="114"/>
    </row>
    <row r="416" spans="8:9" x14ac:dyDescent="0.2">
      <c r="H416" s="114"/>
      <c r="I416" s="114"/>
    </row>
    <row r="417" spans="8:9" x14ac:dyDescent="0.2">
      <c r="H417" s="114"/>
      <c r="I417" s="114"/>
    </row>
    <row r="418" spans="8:9" x14ac:dyDescent="0.2">
      <c r="H418" s="114"/>
      <c r="I418" s="114"/>
    </row>
    <row r="419" spans="8:9" x14ac:dyDescent="0.2">
      <c r="H419" s="114"/>
      <c r="I419" s="114"/>
    </row>
    <row r="420" spans="8:9" x14ac:dyDescent="0.2">
      <c r="H420" s="114"/>
      <c r="I420" s="114"/>
    </row>
    <row r="421" spans="8:9" x14ac:dyDescent="0.2">
      <c r="H421" s="114"/>
      <c r="I421" s="114"/>
    </row>
    <row r="422" spans="8:9" x14ac:dyDescent="0.2">
      <c r="H422" s="114"/>
      <c r="I422" s="114"/>
    </row>
    <row r="423" spans="8:9" x14ac:dyDescent="0.2">
      <c r="H423" s="114"/>
      <c r="I423" s="114"/>
    </row>
    <row r="424" spans="8:9" x14ac:dyDescent="0.2">
      <c r="H424" s="114"/>
      <c r="I424" s="114"/>
    </row>
    <row r="425" spans="8:9" x14ac:dyDescent="0.2">
      <c r="H425" s="114"/>
      <c r="I425" s="114"/>
    </row>
    <row r="426" spans="8:9" x14ac:dyDescent="0.2">
      <c r="H426" s="114"/>
      <c r="I426" s="114"/>
    </row>
    <row r="427" spans="8:9" x14ac:dyDescent="0.2">
      <c r="H427" s="114"/>
      <c r="I427" s="114"/>
    </row>
    <row r="428" spans="8:9" x14ac:dyDescent="0.2">
      <c r="H428" s="114"/>
      <c r="I428" s="114"/>
    </row>
    <row r="429" spans="8:9" x14ac:dyDescent="0.2">
      <c r="H429" s="114"/>
      <c r="I429" s="114"/>
    </row>
    <row r="430" spans="8:9" x14ac:dyDescent="0.2">
      <c r="H430" s="114"/>
      <c r="I430" s="114"/>
    </row>
    <row r="431" spans="8:9" x14ac:dyDescent="0.2">
      <c r="H431" s="114"/>
      <c r="I431" s="114"/>
    </row>
    <row r="432" spans="8:9" x14ac:dyDescent="0.2">
      <c r="H432" s="114"/>
      <c r="I432" s="114"/>
    </row>
    <row r="433" spans="8:9" x14ac:dyDescent="0.2">
      <c r="H433" s="114"/>
      <c r="I433" s="114"/>
    </row>
    <row r="434" spans="8:9" x14ac:dyDescent="0.2">
      <c r="H434" s="114"/>
      <c r="I434" s="114"/>
    </row>
    <row r="435" spans="8:9" x14ac:dyDescent="0.2">
      <c r="H435" s="114"/>
      <c r="I435" s="114"/>
    </row>
    <row r="436" spans="8:9" x14ac:dyDescent="0.2">
      <c r="H436" s="114"/>
      <c r="I436" s="114"/>
    </row>
    <row r="437" spans="8:9" x14ac:dyDescent="0.2">
      <c r="H437" s="114"/>
      <c r="I437" s="114"/>
    </row>
    <row r="438" spans="8:9" x14ac:dyDescent="0.2">
      <c r="H438" s="114"/>
      <c r="I438" s="114"/>
    </row>
    <row r="439" spans="8:9" x14ac:dyDescent="0.2">
      <c r="H439" s="114"/>
      <c r="I439" s="114"/>
    </row>
    <row r="440" spans="8:9" x14ac:dyDescent="0.2">
      <c r="H440" s="114"/>
      <c r="I440" s="114"/>
    </row>
    <row r="441" spans="8:9" x14ac:dyDescent="0.2">
      <c r="H441" s="114"/>
      <c r="I441" s="114"/>
    </row>
    <row r="442" spans="8:9" x14ac:dyDescent="0.2">
      <c r="H442" s="114"/>
      <c r="I442" s="114"/>
    </row>
    <row r="443" spans="8:9" x14ac:dyDescent="0.2">
      <c r="H443" s="114"/>
      <c r="I443" s="114"/>
    </row>
    <row r="444" spans="8:9" x14ac:dyDescent="0.2">
      <c r="H444" s="114"/>
      <c r="I444" s="114"/>
    </row>
    <row r="445" spans="8:9" x14ac:dyDescent="0.2">
      <c r="H445" s="114"/>
      <c r="I445" s="114"/>
    </row>
    <row r="446" spans="8:9" x14ac:dyDescent="0.2">
      <c r="H446" s="114"/>
      <c r="I446" s="114"/>
    </row>
    <row r="447" spans="8:9" x14ac:dyDescent="0.2">
      <c r="H447" s="114"/>
      <c r="I447" s="114"/>
    </row>
    <row r="448" spans="8:9" x14ac:dyDescent="0.2">
      <c r="H448" s="114"/>
      <c r="I448" s="114"/>
    </row>
    <row r="449" spans="8:9" x14ac:dyDescent="0.2">
      <c r="H449" s="114"/>
      <c r="I449" s="114"/>
    </row>
    <row r="450" spans="8:9" x14ac:dyDescent="0.2">
      <c r="H450" s="114"/>
      <c r="I450" s="114"/>
    </row>
    <row r="451" spans="8:9" x14ac:dyDescent="0.2">
      <c r="H451" s="114"/>
      <c r="I451" s="114"/>
    </row>
    <row r="452" spans="8:9" x14ac:dyDescent="0.2">
      <c r="H452" s="114"/>
      <c r="I452" s="114"/>
    </row>
    <row r="453" spans="8:9" x14ac:dyDescent="0.2">
      <c r="H453" s="114"/>
      <c r="I453" s="114"/>
    </row>
    <row r="454" spans="8:9" x14ac:dyDescent="0.2">
      <c r="H454" s="114"/>
      <c r="I454" s="114"/>
    </row>
    <row r="455" spans="8:9" x14ac:dyDescent="0.2">
      <c r="H455" s="114"/>
      <c r="I455" s="114"/>
    </row>
    <row r="456" spans="8:9" x14ac:dyDescent="0.2">
      <c r="H456" s="114"/>
      <c r="I456" s="114"/>
    </row>
    <row r="457" spans="8:9" x14ac:dyDescent="0.2">
      <c r="H457" s="114"/>
      <c r="I457" s="114"/>
    </row>
    <row r="458" spans="8:9" x14ac:dyDescent="0.2">
      <c r="H458" s="114"/>
      <c r="I458" s="114"/>
    </row>
    <row r="459" spans="8:9" x14ac:dyDescent="0.2">
      <c r="H459" s="114"/>
      <c r="I459" s="114"/>
    </row>
    <row r="460" spans="8:9" x14ac:dyDescent="0.2">
      <c r="H460" s="114"/>
      <c r="I460" s="114"/>
    </row>
    <row r="461" spans="8:9" x14ac:dyDescent="0.2">
      <c r="H461" s="114"/>
      <c r="I461" s="114"/>
    </row>
    <row r="462" spans="8:9" x14ac:dyDescent="0.2">
      <c r="H462" s="114"/>
      <c r="I462" s="114"/>
    </row>
    <row r="463" spans="8:9" x14ac:dyDescent="0.2">
      <c r="H463" s="114"/>
      <c r="I463" s="114"/>
    </row>
    <row r="464" spans="8:9" x14ac:dyDescent="0.2">
      <c r="H464" s="114"/>
      <c r="I464" s="114"/>
    </row>
    <row r="465" spans="8:9" x14ac:dyDescent="0.2">
      <c r="H465" s="114"/>
      <c r="I465" s="114"/>
    </row>
    <row r="466" spans="8:9" x14ac:dyDescent="0.2">
      <c r="H466" s="114"/>
      <c r="I466" s="114"/>
    </row>
    <row r="467" spans="8:9" x14ac:dyDescent="0.2">
      <c r="H467" s="114"/>
      <c r="I467" s="114"/>
    </row>
    <row r="468" spans="8:9" x14ac:dyDescent="0.2">
      <c r="H468" s="114"/>
      <c r="I468" s="114"/>
    </row>
    <row r="469" spans="8:9" x14ac:dyDescent="0.2">
      <c r="H469" s="114"/>
      <c r="I469" s="114"/>
    </row>
    <row r="470" spans="8:9" x14ac:dyDescent="0.2">
      <c r="H470" s="114"/>
      <c r="I470" s="114"/>
    </row>
    <row r="471" spans="8:9" x14ac:dyDescent="0.2">
      <c r="H471" s="114"/>
      <c r="I471" s="114"/>
    </row>
    <row r="472" spans="8:9" x14ac:dyDescent="0.2">
      <c r="H472" s="114"/>
      <c r="I472" s="114"/>
    </row>
    <row r="473" spans="8:9" x14ac:dyDescent="0.2">
      <c r="H473" s="114"/>
      <c r="I473" s="114"/>
    </row>
    <row r="474" spans="8:9" x14ac:dyDescent="0.2">
      <c r="H474" s="114"/>
      <c r="I474" s="114"/>
    </row>
    <row r="475" spans="8:9" x14ac:dyDescent="0.2">
      <c r="H475" s="114"/>
      <c r="I475" s="114"/>
    </row>
    <row r="476" spans="8:9" x14ac:dyDescent="0.2">
      <c r="H476" s="114"/>
      <c r="I476" s="114"/>
    </row>
    <row r="477" spans="8:9" x14ac:dyDescent="0.2">
      <c r="H477" s="114"/>
      <c r="I477" s="114"/>
    </row>
    <row r="478" spans="8:9" x14ac:dyDescent="0.2">
      <c r="H478" s="114"/>
      <c r="I478" s="114"/>
    </row>
    <row r="479" spans="8:9" x14ac:dyDescent="0.2">
      <c r="H479" s="114"/>
      <c r="I479" s="114"/>
    </row>
    <row r="480" spans="8:9" x14ac:dyDescent="0.2">
      <c r="H480" s="114"/>
      <c r="I480" s="114"/>
    </row>
    <row r="481" spans="8:9" x14ac:dyDescent="0.2">
      <c r="H481" s="114"/>
      <c r="I481" s="114"/>
    </row>
    <row r="482" spans="8:9" x14ac:dyDescent="0.2">
      <c r="H482" s="114"/>
      <c r="I482" s="114"/>
    </row>
    <row r="483" spans="8:9" x14ac:dyDescent="0.2">
      <c r="H483" s="114"/>
      <c r="I483" s="114"/>
    </row>
    <row r="484" spans="8:9" x14ac:dyDescent="0.2">
      <c r="H484" s="114"/>
      <c r="I484" s="114"/>
    </row>
    <row r="485" spans="8:9" x14ac:dyDescent="0.2">
      <c r="H485" s="114"/>
      <c r="I485" s="114"/>
    </row>
    <row r="486" spans="8:9" x14ac:dyDescent="0.2">
      <c r="H486" s="114"/>
      <c r="I486" s="114"/>
    </row>
    <row r="487" spans="8:9" x14ac:dyDescent="0.2">
      <c r="H487" s="114"/>
      <c r="I487" s="114"/>
    </row>
    <row r="488" spans="8:9" x14ac:dyDescent="0.2">
      <c r="H488" s="114"/>
      <c r="I488" s="114"/>
    </row>
    <row r="489" spans="8:9" x14ac:dyDescent="0.2">
      <c r="H489" s="114"/>
      <c r="I489" s="114"/>
    </row>
    <row r="490" spans="8:9" x14ac:dyDescent="0.2">
      <c r="H490" s="114"/>
      <c r="I490" s="114"/>
    </row>
    <row r="491" spans="8:9" x14ac:dyDescent="0.2">
      <c r="H491" s="114"/>
      <c r="I491" s="114"/>
    </row>
    <row r="492" spans="8:9" x14ac:dyDescent="0.2">
      <c r="H492" s="114"/>
      <c r="I492" s="114"/>
    </row>
    <row r="493" spans="8:9" x14ac:dyDescent="0.2">
      <c r="H493" s="114"/>
      <c r="I493" s="114"/>
    </row>
    <row r="494" spans="8:9" x14ac:dyDescent="0.2">
      <c r="H494" s="114"/>
      <c r="I494" s="114"/>
    </row>
    <row r="495" spans="8:9" x14ac:dyDescent="0.2">
      <c r="H495" s="114"/>
      <c r="I495" s="114"/>
    </row>
    <row r="496" spans="8:9" x14ac:dyDescent="0.2">
      <c r="H496" s="114"/>
      <c r="I496" s="114"/>
    </row>
    <row r="497" spans="8:9" x14ac:dyDescent="0.2">
      <c r="H497" s="114"/>
      <c r="I497" s="114"/>
    </row>
    <row r="498" spans="8:9" x14ac:dyDescent="0.2">
      <c r="H498" s="114"/>
      <c r="I498" s="114"/>
    </row>
    <row r="499" spans="8:9" x14ac:dyDescent="0.2">
      <c r="H499" s="114"/>
      <c r="I499" s="114"/>
    </row>
    <row r="500" spans="8:9" x14ac:dyDescent="0.2">
      <c r="H500" s="114"/>
      <c r="I500" s="114"/>
    </row>
    <row r="501" spans="8:9" x14ac:dyDescent="0.2">
      <c r="H501" s="114"/>
      <c r="I501" s="114"/>
    </row>
    <row r="502" spans="8:9" x14ac:dyDescent="0.2">
      <c r="H502" s="114"/>
      <c r="I502" s="114"/>
    </row>
    <row r="503" spans="8:9" x14ac:dyDescent="0.2">
      <c r="H503" s="114"/>
      <c r="I503" s="114"/>
    </row>
    <row r="504" spans="8:9" x14ac:dyDescent="0.2">
      <c r="H504" s="114"/>
      <c r="I504" s="114"/>
    </row>
    <row r="505" spans="8:9" x14ac:dyDescent="0.2">
      <c r="H505" s="114"/>
      <c r="I505" s="114"/>
    </row>
    <row r="506" spans="8:9" x14ac:dyDescent="0.2">
      <c r="H506" s="114"/>
      <c r="I506" s="114"/>
    </row>
    <row r="507" spans="8:9" x14ac:dyDescent="0.2">
      <c r="H507" s="114"/>
      <c r="I507" s="114"/>
    </row>
    <row r="508" spans="8:9" x14ac:dyDescent="0.2">
      <c r="H508" s="114"/>
      <c r="I508" s="114"/>
    </row>
    <row r="509" spans="8:9" x14ac:dyDescent="0.2">
      <c r="H509" s="114"/>
      <c r="I509" s="114"/>
    </row>
    <row r="510" spans="8:9" x14ac:dyDescent="0.2">
      <c r="H510" s="114"/>
      <c r="I510" s="114"/>
    </row>
    <row r="511" spans="8:9" x14ac:dyDescent="0.2">
      <c r="H511" s="114"/>
      <c r="I511" s="114"/>
    </row>
    <row r="512" spans="8:9" x14ac:dyDescent="0.2">
      <c r="H512" s="114"/>
      <c r="I512" s="114"/>
    </row>
    <row r="513" spans="8:9" x14ac:dyDescent="0.2">
      <c r="H513" s="114"/>
      <c r="I513" s="114"/>
    </row>
    <row r="514" spans="8:9" x14ac:dyDescent="0.2">
      <c r="H514" s="114"/>
      <c r="I514" s="114"/>
    </row>
    <row r="515" spans="8:9" x14ac:dyDescent="0.2">
      <c r="H515" s="114"/>
      <c r="I515" s="114"/>
    </row>
    <row r="516" spans="8:9" x14ac:dyDescent="0.2">
      <c r="H516" s="114"/>
      <c r="I516" s="114"/>
    </row>
    <row r="517" spans="8:9" x14ac:dyDescent="0.2">
      <c r="H517" s="114"/>
      <c r="I517" s="114"/>
    </row>
    <row r="518" spans="8:9" x14ac:dyDescent="0.2">
      <c r="H518" s="114"/>
      <c r="I518" s="114"/>
    </row>
    <row r="519" spans="8:9" x14ac:dyDescent="0.2">
      <c r="H519" s="114"/>
      <c r="I519" s="114"/>
    </row>
    <row r="520" spans="8:9" x14ac:dyDescent="0.2">
      <c r="H520" s="114"/>
      <c r="I520" s="114"/>
    </row>
    <row r="521" spans="8:9" x14ac:dyDescent="0.2">
      <c r="H521" s="114"/>
      <c r="I521" s="114"/>
    </row>
    <row r="522" spans="8:9" x14ac:dyDescent="0.2">
      <c r="H522" s="114"/>
      <c r="I522" s="114"/>
    </row>
    <row r="523" spans="8:9" x14ac:dyDescent="0.2">
      <c r="H523" s="114"/>
      <c r="I523" s="114"/>
    </row>
    <row r="524" spans="8:9" x14ac:dyDescent="0.2">
      <c r="H524" s="114"/>
      <c r="I524" s="114"/>
    </row>
    <row r="525" spans="8:9" x14ac:dyDescent="0.2">
      <c r="H525" s="114"/>
      <c r="I525" s="114"/>
    </row>
    <row r="526" spans="8:9" x14ac:dyDescent="0.2">
      <c r="H526" s="114"/>
      <c r="I526" s="114"/>
    </row>
    <row r="527" spans="8:9" x14ac:dyDescent="0.2">
      <c r="H527" s="114"/>
      <c r="I527" s="114"/>
    </row>
    <row r="528" spans="8:9" x14ac:dyDescent="0.2">
      <c r="H528" s="114"/>
      <c r="I528" s="114"/>
    </row>
    <row r="529" spans="8:9" x14ac:dyDescent="0.2">
      <c r="H529" s="114"/>
      <c r="I529" s="114"/>
    </row>
    <row r="530" spans="8:9" x14ac:dyDescent="0.2">
      <c r="H530" s="114"/>
      <c r="I530" s="114"/>
    </row>
    <row r="531" spans="8:9" x14ac:dyDescent="0.2">
      <c r="H531" s="114"/>
      <c r="I531" s="114"/>
    </row>
    <row r="532" spans="8:9" x14ac:dyDescent="0.2">
      <c r="H532" s="114"/>
      <c r="I532" s="114"/>
    </row>
    <row r="533" spans="8:9" x14ac:dyDescent="0.2">
      <c r="H533" s="114"/>
      <c r="I533" s="114"/>
    </row>
    <row r="534" spans="8:9" x14ac:dyDescent="0.2">
      <c r="H534" s="114"/>
      <c r="I534" s="114"/>
    </row>
    <row r="535" spans="8:9" x14ac:dyDescent="0.2">
      <c r="H535" s="114"/>
      <c r="I535" s="114"/>
    </row>
    <row r="536" spans="8:9" x14ac:dyDescent="0.2">
      <c r="H536" s="114"/>
      <c r="I536" s="114"/>
    </row>
    <row r="537" spans="8:9" x14ac:dyDescent="0.2">
      <c r="H537" s="114"/>
      <c r="I537" s="114"/>
    </row>
    <row r="538" spans="8:9" x14ac:dyDescent="0.2">
      <c r="H538" s="114"/>
      <c r="I538" s="114"/>
    </row>
    <row r="539" spans="8:9" x14ac:dyDescent="0.2">
      <c r="H539" s="114"/>
      <c r="I539" s="114"/>
    </row>
    <row r="540" spans="8:9" x14ac:dyDescent="0.2">
      <c r="H540" s="114"/>
      <c r="I540" s="114"/>
    </row>
    <row r="541" spans="8:9" x14ac:dyDescent="0.2">
      <c r="H541" s="114"/>
      <c r="I541" s="114"/>
    </row>
    <row r="542" spans="8:9" x14ac:dyDescent="0.2">
      <c r="H542" s="114"/>
      <c r="I542" s="114"/>
    </row>
    <row r="543" spans="8:9" x14ac:dyDescent="0.2">
      <c r="H543" s="114"/>
      <c r="I543" s="114"/>
    </row>
    <row r="544" spans="8:9" x14ac:dyDescent="0.2">
      <c r="H544" s="114"/>
      <c r="I544" s="114"/>
    </row>
    <row r="545" spans="8:9" x14ac:dyDescent="0.2">
      <c r="H545" s="114"/>
      <c r="I545" s="114"/>
    </row>
    <row r="546" spans="8:9" x14ac:dyDescent="0.2">
      <c r="H546" s="114"/>
      <c r="I546" s="114"/>
    </row>
    <row r="547" spans="8:9" x14ac:dyDescent="0.2">
      <c r="H547" s="114"/>
      <c r="I547" s="114"/>
    </row>
    <row r="548" spans="8:9" x14ac:dyDescent="0.2">
      <c r="H548" s="114"/>
      <c r="I548" s="114"/>
    </row>
    <row r="549" spans="8:9" x14ac:dyDescent="0.2">
      <c r="H549" s="114"/>
      <c r="I549" s="114"/>
    </row>
    <row r="550" spans="8:9" x14ac:dyDescent="0.2">
      <c r="H550" s="114"/>
      <c r="I550" s="114"/>
    </row>
    <row r="551" spans="8:9" x14ac:dyDescent="0.2">
      <c r="H551" s="114"/>
      <c r="I551" s="114"/>
    </row>
    <row r="552" spans="8:9" x14ac:dyDescent="0.2">
      <c r="H552" s="114"/>
      <c r="I552" s="114"/>
    </row>
    <row r="553" spans="8:9" x14ac:dyDescent="0.2">
      <c r="H553" s="114"/>
      <c r="I553" s="114"/>
    </row>
    <row r="554" spans="8:9" x14ac:dyDescent="0.2">
      <c r="H554" s="114"/>
      <c r="I554" s="114"/>
    </row>
    <row r="555" spans="8:9" x14ac:dyDescent="0.2">
      <c r="H555" s="114"/>
      <c r="I555" s="114"/>
    </row>
    <row r="556" spans="8:9" x14ac:dyDescent="0.2">
      <c r="H556" s="114"/>
      <c r="I556" s="114"/>
    </row>
    <row r="557" spans="8:9" x14ac:dyDescent="0.2">
      <c r="H557" s="114"/>
      <c r="I557" s="114"/>
    </row>
    <row r="558" spans="8:9" x14ac:dyDescent="0.2">
      <c r="H558" s="114"/>
      <c r="I558" s="114"/>
    </row>
    <row r="559" spans="8:9" x14ac:dyDescent="0.2">
      <c r="H559" s="114"/>
      <c r="I559" s="114"/>
    </row>
    <row r="560" spans="8:9" x14ac:dyDescent="0.2">
      <c r="H560" s="114"/>
      <c r="I560" s="114"/>
    </row>
    <row r="561" spans="8:9" x14ac:dyDescent="0.2">
      <c r="H561" s="114"/>
      <c r="I561" s="114"/>
    </row>
    <row r="562" spans="8:9" x14ac:dyDescent="0.2">
      <c r="H562" s="114"/>
      <c r="I562" s="114"/>
    </row>
    <row r="563" spans="8:9" x14ac:dyDescent="0.2">
      <c r="H563" s="114"/>
      <c r="I563" s="114"/>
    </row>
    <row r="564" spans="8:9" x14ac:dyDescent="0.2">
      <c r="H564" s="114"/>
      <c r="I564" s="114"/>
    </row>
    <row r="565" spans="8:9" x14ac:dyDescent="0.2">
      <c r="H565" s="114"/>
      <c r="I565" s="114"/>
    </row>
    <row r="566" spans="8:9" x14ac:dyDescent="0.2">
      <c r="H566" s="114"/>
      <c r="I566" s="114"/>
    </row>
    <row r="567" spans="8:9" x14ac:dyDescent="0.2">
      <c r="H567" s="114"/>
      <c r="I567" s="114"/>
    </row>
    <row r="568" spans="8:9" x14ac:dyDescent="0.2">
      <c r="H568" s="114"/>
      <c r="I568" s="114"/>
    </row>
    <row r="569" spans="8:9" x14ac:dyDescent="0.2">
      <c r="H569" s="114"/>
      <c r="I569" s="114"/>
    </row>
    <row r="570" spans="8:9" x14ac:dyDescent="0.2">
      <c r="H570" s="114"/>
      <c r="I570" s="114"/>
    </row>
    <row r="571" spans="8:9" x14ac:dyDescent="0.2">
      <c r="H571" s="114"/>
      <c r="I571" s="114"/>
    </row>
    <row r="572" spans="8:9" x14ac:dyDescent="0.2">
      <c r="H572" s="114"/>
      <c r="I572" s="114"/>
    </row>
    <row r="573" spans="8:9" x14ac:dyDescent="0.2">
      <c r="H573" s="114"/>
      <c r="I573" s="114"/>
    </row>
    <row r="574" spans="8:9" x14ac:dyDescent="0.2">
      <c r="H574" s="114"/>
      <c r="I574" s="114"/>
    </row>
    <row r="575" spans="8:9" x14ac:dyDescent="0.2">
      <c r="H575" s="114"/>
      <c r="I575" s="114"/>
    </row>
    <row r="576" spans="8:9" x14ac:dyDescent="0.2">
      <c r="H576" s="114"/>
      <c r="I576" s="114"/>
    </row>
    <row r="577" spans="8:9" x14ac:dyDescent="0.2">
      <c r="H577" s="114"/>
      <c r="I577" s="114"/>
    </row>
    <row r="578" spans="8:9" x14ac:dyDescent="0.2">
      <c r="H578" s="114"/>
      <c r="I578" s="114"/>
    </row>
    <row r="579" spans="8:9" x14ac:dyDescent="0.2">
      <c r="H579" s="114"/>
      <c r="I579" s="114"/>
    </row>
    <row r="580" spans="8:9" x14ac:dyDescent="0.2">
      <c r="H580" s="114"/>
      <c r="I580" s="114"/>
    </row>
    <row r="581" spans="8:9" x14ac:dyDescent="0.2">
      <c r="H581" s="114"/>
      <c r="I581" s="114"/>
    </row>
    <row r="582" spans="8:9" x14ac:dyDescent="0.2">
      <c r="H582" s="114"/>
      <c r="I582" s="114"/>
    </row>
    <row r="583" spans="8:9" x14ac:dyDescent="0.2">
      <c r="H583" s="114"/>
      <c r="I583" s="114"/>
    </row>
    <row r="584" spans="8:9" x14ac:dyDescent="0.2">
      <c r="H584" s="114"/>
      <c r="I584" s="114"/>
    </row>
    <row r="585" spans="8:9" x14ac:dyDescent="0.2">
      <c r="H585" s="114"/>
      <c r="I585" s="114"/>
    </row>
    <row r="586" spans="8:9" x14ac:dyDescent="0.2">
      <c r="H586" s="114"/>
      <c r="I586" s="114"/>
    </row>
    <row r="587" spans="8:9" x14ac:dyDescent="0.2">
      <c r="H587" s="114"/>
      <c r="I587" s="114"/>
    </row>
    <row r="588" spans="8:9" x14ac:dyDescent="0.2">
      <c r="H588" s="114"/>
      <c r="I588" s="114"/>
    </row>
    <row r="589" spans="8:9" x14ac:dyDescent="0.2">
      <c r="H589" s="114"/>
      <c r="I589" s="114"/>
    </row>
    <row r="590" spans="8:9" x14ac:dyDescent="0.2">
      <c r="H590" s="114"/>
      <c r="I590" s="114"/>
    </row>
    <row r="591" spans="8:9" x14ac:dyDescent="0.2">
      <c r="H591" s="114"/>
      <c r="I591" s="114"/>
    </row>
    <row r="592" spans="8:9" x14ac:dyDescent="0.2">
      <c r="H592" s="114"/>
      <c r="I592" s="114"/>
    </row>
    <row r="593" spans="8:9" x14ac:dyDescent="0.2">
      <c r="H593" s="114"/>
      <c r="I593" s="114"/>
    </row>
    <row r="594" spans="8:9" x14ac:dyDescent="0.2">
      <c r="H594" s="114"/>
      <c r="I594" s="114"/>
    </row>
    <row r="595" spans="8:9" x14ac:dyDescent="0.2">
      <c r="H595" s="114"/>
      <c r="I595" s="114"/>
    </row>
    <row r="596" spans="8:9" x14ac:dyDescent="0.2">
      <c r="H596" s="114"/>
      <c r="I596" s="114"/>
    </row>
    <row r="597" spans="8:9" x14ac:dyDescent="0.2">
      <c r="H597" s="114"/>
      <c r="I597" s="114"/>
    </row>
    <row r="598" spans="8:9" x14ac:dyDescent="0.2">
      <c r="H598" s="114"/>
      <c r="I598" s="114"/>
    </row>
    <row r="599" spans="8:9" x14ac:dyDescent="0.2">
      <c r="H599" s="114"/>
      <c r="I599" s="114"/>
    </row>
    <row r="600" spans="8:9" x14ac:dyDescent="0.2">
      <c r="H600" s="114"/>
      <c r="I600" s="114"/>
    </row>
    <row r="601" spans="8:9" x14ac:dyDescent="0.2">
      <c r="H601" s="114"/>
      <c r="I601" s="114"/>
    </row>
    <row r="602" spans="8:9" x14ac:dyDescent="0.2">
      <c r="H602" s="114"/>
      <c r="I602" s="114"/>
    </row>
    <row r="603" spans="8:9" x14ac:dyDescent="0.2">
      <c r="H603" s="114"/>
      <c r="I603" s="114"/>
    </row>
    <row r="604" spans="8:9" x14ac:dyDescent="0.2">
      <c r="H604" s="114"/>
      <c r="I604" s="114"/>
    </row>
    <row r="605" spans="8:9" x14ac:dyDescent="0.2">
      <c r="H605" s="114"/>
      <c r="I605" s="114"/>
    </row>
    <row r="606" spans="8:9" x14ac:dyDescent="0.2">
      <c r="H606" s="114"/>
      <c r="I606" s="114"/>
    </row>
    <row r="607" spans="8:9" x14ac:dyDescent="0.2">
      <c r="H607" s="114"/>
      <c r="I607" s="114"/>
    </row>
    <row r="608" spans="8:9" x14ac:dyDescent="0.2">
      <c r="H608" s="114"/>
      <c r="I608" s="114"/>
    </row>
    <row r="609" spans="8:9" x14ac:dyDescent="0.2">
      <c r="H609" s="114"/>
      <c r="I609" s="114"/>
    </row>
    <row r="610" spans="8:9" x14ac:dyDescent="0.2">
      <c r="H610" s="114"/>
      <c r="I610" s="114"/>
    </row>
    <row r="611" spans="8:9" x14ac:dyDescent="0.2">
      <c r="H611" s="114"/>
      <c r="I611" s="114"/>
    </row>
    <row r="612" spans="8:9" x14ac:dyDescent="0.2">
      <c r="H612" s="114"/>
      <c r="I612" s="114"/>
    </row>
    <row r="613" spans="8:9" x14ac:dyDescent="0.2">
      <c r="H613" s="114"/>
      <c r="I613" s="114"/>
    </row>
    <row r="614" spans="8:9" x14ac:dyDescent="0.2">
      <c r="H614" s="114"/>
      <c r="I614" s="114"/>
    </row>
    <row r="615" spans="8:9" x14ac:dyDescent="0.2">
      <c r="H615" s="114"/>
      <c r="I615" s="114"/>
    </row>
    <row r="616" spans="8:9" x14ac:dyDescent="0.2">
      <c r="H616" s="114"/>
      <c r="I616" s="114"/>
    </row>
    <row r="617" spans="8:9" x14ac:dyDescent="0.2">
      <c r="H617" s="114"/>
      <c r="I617" s="114"/>
    </row>
    <row r="618" spans="8:9" x14ac:dyDescent="0.2">
      <c r="H618" s="114"/>
      <c r="I618" s="114"/>
    </row>
    <row r="619" spans="8:9" x14ac:dyDescent="0.2">
      <c r="H619" s="114"/>
      <c r="I619" s="114"/>
    </row>
    <row r="620" spans="8:9" x14ac:dyDescent="0.2">
      <c r="H620" s="114"/>
      <c r="I620" s="114"/>
    </row>
    <row r="621" spans="8:9" x14ac:dyDescent="0.2">
      <c r="H621" s="114"/>
      <c r="I621" s="114"/>
    </row>
    <row r="622" spans="8:9" x14ac:dyDescent="0.2">
      <c r="H622" s="114"/>
      <c r="I622" s="114"/>
    </row>
    <row r="623" spans="8:9" x14ac:dyDescent="0.2">
      <c r="H623" s="114"/>
      <c r="I623" s="114"/>
    </row>
    <row r="624" spans="8:9" x14ac:dyDescent="0.2">
      <c r="H624" s="114"/>
      <c r="I624" s="114"/>
    </row>
    <row r="625" spans="8:9" x14ac:dyDescent="0.2">
      <c r="H625" s="114"/>
      <c r="I625" s="114"/>
    </row>
    <row r="626" spans="8:9" x14ac:dyDescent="0.2">
      <c r="H626" s="114"/>
      <c r="I626" s="114"/>
    </row>
    <row r="627" spans="8:9" x14ac:dyDescent="0.2">
      <c r="H627" s="114"/>
      <c r="I627" s="114"/>
    </row>
    <row r="628" spans="8:9" x14ac:dyDescent="0.2">
      <c r="H628" s="114"/>
      <c r="I628" s="114"/>
    </row>
    <row r="629" spans="8:9" x14ac:dyDescent="0.2">
      <c r="H629" s="114"/>
      <c r="I629" s="114"/>
    </row>
    <row r="630" spans="8:9" x14ac:dyDescent="0.2">
      <c r="H630" s="114"/>
      <c r="I630" s="114"/>
    </row>
    <row r="631" spans="8:9" x14ac:dyDescent="0.2">
      <c r="H631" s="114"/>
      <c r="I631" s="114"/>
    </row>
    <row r="632" spans="8:9" x14ac:dyDescent="0.2">
      <c r="H632" s="114"/>
      <c r="I632" s="114"/>
    </row>
    <row r="633" spans="8:9" x14ac:dyDescent="0.2">
      <c r="H633" s="114"/>
      <c r="I633" s="114"/>
    </row>
    <row r="634" spans="8:9" x14ac:dyDescent="0.2">
      <c r="H634" s="114"/>
      <c r="I634" s="114"/>
    </row>
    <row r="635" spans="8:9" x14ac:dyDescent="0.2">
      <c r="H635" s="114"/>
      <c r="I635" s="114"/>
    </row>
    <row r="636" spans="8:9" x14ac:dyDescent="0.2">
      <c r="H636" s="114"/>
      <c r="I636" s="114"/>
    </row>
    <row r="637" spans="8:9" x14ac:dyDescent="0.2">
      <c r="H637" s="114"/>
      <c r="I637" s="114"/>
    </row>
    <row r="638" spans="8:9" x14ac:dyDescent="0.2">
      <c r="H638" s="114"/>
      <c r="I638" s="114"/>
    </row>
    <row r="639" spans="8:9" x14ac:dyDescent="0.2">
      <c r="H639" s="114"/>
      <c r="I639" s="114"/>
    </row>
    <row r="640" spans="8:9" x14ac:dyDescent="0.2">
      <c r="H640" s="114"/>
      <c r="I640" s="114"/>
    </row>
    <row r="641" spans="8:9" x14ac:dyDescent="0.2">
      <c r="H641" s="114"/>
      <c r="I641" s="114"/>
    </row>
    <row r="642" spans="8:9" x14ac:dyDescent="0.2">
      <c r="H642" s="114"/>
      <c r="I642" s="114"/>
    </row>
    <row r="643" spans="8:9" x14ac:dyDescent="0.2">
      <c r="H643" s="114"/>
      <c r="I643" s="114"/>
    </row>
    <row r="644" spans="8:9" x14ac:dyDescent="0.2">
      <c r="H644" s="114"/>
      <c r="I644" s="114"/>
    </row>
    <row r="645" spans="8:9" x14ac:dyDescent="0.2">
      <c r="H645" s="114"/>
      <c r="I645" s="114"/>
    </row>
    <row r="646" spans="8:9" x14ac:dyDescent="0.2">
      <c r="H646" s="114"/>
      <c r="I646" s="114"/>
    </row>
    <row r="647" spans="8:9" x14ac:dyDescent="0.2">
      <c r="H647" s="114"/>
      <c r="I647" s="114"/>
    </row>
    <row r="648" spans="8:9" x14ac:dyDescent="0.2">
      <c r="H648" s="114"/>
      <c r="I648" s="114"/>
    </row>
    <row r="649" spans="8:9" x14ac:dyDescent="0.2">
      <c r="H649" s="114"/>
      <c r="I649" s="114"/>
    </row>
    <row r="650" spans="8:9" x14ac:dyDescent="0.2">
      <c r="H650" s="114"/>
      <c r="I650" s="114"/>
    </row>
    <row r="651" spans="8:9" x14ac:dyDescent="0.2">
      <c r="H651" s="114"/>
      <c r="I651" s="114"/>
    </row>
    <row r="652" spans="8:9" x14ac:dyDescent="0.2">
      <c r="H652" s="114"/>
      <c r="I652" s="114"/>
    </row>
    <row r="653" spans="8:9" x14ac:dyDescent="0.2">
      <c r="H653" s="114"/>
      <c r="I653" s="114"/>
    </row>
    <row r="654" spans="8:9" x14ac:dyDescent="0.2">
      <c r="H654" s="114"/>
      <c r="I654" s="114"/>
    </row>
    <row r="655" spans="8:9" x14ac:dyDescent="0.2">
      <c r="H655" s="114"/>
      <c r="I655" s="114"/>
    </row>
    <row r="656" spans="8:9" x14ac:dyDescent="0.2">
      <c r="H656" s="114"/>
      <c r="I656" s="114"/>
    </row>
    <row r="657" spans="8:9" x14ac:dyDescent="0.2">
      <c r="H657" s="114"/>
      <c r="I657" s="114"/>
    </row>
    <row r="658" spans="8:9" x14ac:dyDescent="0.2">
      <c r="H658" s="114"/>
      <c r="I658" s="114"/>
    </row>
    <row r="659" spans="8:9" x14ac:dyDescent="0.2">
      <c r="H659" s="114"/>
      <c r="I659" s="114"/>
    </row>
    <row r="660" spans="8:9" x14ac:dyDescent="0.2">
      <c r="H660" s="114"/>
      <c r="I660" s="114"/>
    </row>
    <row r="661" spans="8:9" x14ac:dyDescent="0.2">
      <c r="H661" s="114"/>
      <c r="I661" s="114"/>
    </row>
    <row r="662" spans="8:9" x14ac:dyDescent="0.2">
      <c r="H662" s="114"/>
      <c r="I662" s="114"/>
    </row>
    <row r="663" spans="8:9" x14ac:dyDescent="0.2">
      <c r="H663" s="114"/>
      <c r="I663" s="114"/>
    </row>
    <row r="664" spans="8:9" x14ac:dyDescent="0.2">
      <c r="H664" s="114"/>
      <c r="I664" s="114"/>
    </row>
    <row r="665" spans="8:9" x14ac:dyDescent="0.2">
      <c r="H665" s="114"/>
      <c r="I665" s="114"/>
    </row>
    <row r="666" spans="8:9" x14ac:dyDescent="0.2">
      <c r="H666" s="114"/>
      <c r="I666" s="114"/>
    </row>
    <row r="667" spans="8:9" x14ac:dyDescent="0.2">
      <c r="H667" s="114"/>
      <c r="I667" s="114"/>
    </row>
    <row r="668" spans="8:9" x14ac:dyDescent="0.2">
      <c r="H668" s="114"/>
      <c r="I668" s="114"/>
    </row>
    <row r="669" spans="8:9" x14ac:dyDescent="0.2">
      <c r="H669" s="114"/>
      <c r="I669" s="114"/>
    </row>
    <row r="670" spans="8:9" x14ac:dyDescent="0.2">
      <c r="H670" s="114"/>
      <c r="I670" s="114"/>
    </row>
    <row r="671" spans="8:9" x14ac:dyDescent="0.2">
      <c r="H671" s="114"/>
      <c r="I671" s="114"/>
    </row>
    <row r="672" spans="8:9" x14ac:dyDescent="0.2">
      <c r="H672" s="114"/>
      <c r="I672" s="114"/>
    </row>
    <row r="673" spans="8:9" x14ac:dyDescent="0.2">
      <c r="H673" s="114"/>
      <c r="I673" s="114"/>
    </row>
    <row r="674" spans="8:9" x14ac:dyDescent="0.2">
      <c r="H674" s="114"/>
      <c r="I674" s="114"/>
    </row>
    <row r="675" spans="8:9" x14ac:dyDescent="0.2">
      <c r="H675" s="114"/>
      <c r="I675" s="114"/>
    </row>
    <row r="676" spans="8:9" x14ac:dyDescent="0.2">
      <c r="H676" s="114"/>
      <c r="I676" s="114"/>
    </row>
    <row r="677" spans="8:9" x14ac:dyDescent="0.2">
      <c r="H677" s="114"/>
      <c r="I677" s="114"/>
    </row>
    <row r="678" spans="8:9" x14ac:dyDescent="0.2">
      <c r="H678" s="114"/>
      <c r="I678" s="114"/>
    </row>
    <row r="679" spans="8:9" x14ac:dyDescent="0.2">
      <c r="H679" s="114"/>
      <c r="I679" s="114"/>
    </row>
    <row r="680" spans="8:9" x14ac:dyDescent="0.2">
      <c r="H680" s="114"/>
      <c r="I680" s="114"/>
    </row>
    <row r="681" spans="8:9" x14ac:dyDescent="0.2">
      <c r="H681" s="114"/>
      <c r="I681" s="114"/>
    </row>
    <row r="682" spans="8:9" x14ac:dyDescent="0.2">
      <c r="H682" s="114"/>
      <c r="I682" s="114"/>
    </row>
    <row r="683" spans="8:9" x14ac:dyDescent="0.2">
      <c r="H683" s="114"/>
      <c r="I683" s="114"/>
    </row>
    <row r="684" spans="8:9" x14ac:dyDescent="0.2">
      <c r="H684" s="114"/>
      <c r="I684" s="114"/>
    </row>
    <row r="685" spans="8:9" x14ac:dyDescent="0.2">
      <c r="H685" s="114"/>
      <c r="I685" s="114"/>
    </row>
    <row r="686" spans="8:9" x14ac:dyDescent="0.2">
      <c r="H686" s="114"/>
      <c r="I686" s="114"/>
    </row>
    <row r="687" spans="8:9" x14ac:dyDescent="0.2">
      <c r="H687" s="114"/>
      <c r="I687" s="114"/>
    </row>
    <row r="688" spans="8:9" x14ac:dyDescent="0.2">
      <c r="H688" s="114"/>
      <c r="I688" s="114"/>
    </row>
    <row r="689" spans="8:9" x14ac:dyDescent="0.2">
      <c r="H689" s="114"/>
      <c r="I689" s="114"/>
    </row>
    <row r="690" spans="8:9" x14ac:dyDescent="0.2">
      <c r="H690" s="114"/>
      <c r="I690" s="114"/>
    </row>
    <row r="691" spans="8:9" x14ac:dyDescent="0.2">
      <c r="H691" s="114"/>
      <c r="I691" s="114"/>
    </row>
    <row r="692" spans="8:9" x14ac:dyDescent="0.2">
      <c r="H692" s="114"/>
      <c r="I692" s="114"/>
    </row>
    <row r="693" spans="8:9" x14ac:dyDescent="0.2">
      <c r="H693" s="114"/>
      <c r="I693" s="114"/>
    </row>
    <row r="694" spans="8:9" x14ac:dyDescent="0.2">
      <c r="H694" s="114"/>
      <c r="I694" s="114"/>
    </row>
    <row r="695" spans="8:9" x14ac:dyDescent="0.2">
      <c r="H695" s="114"/>
      <c r="I695" s="114"/>
    </row>
    <row r="696" spans="8:9" x14ac:dyDescent="0.2">
      <c r="H696" s="114"/>
      <c r="I696" s="114"/>
    </row>
    <row r="697" spans="8:9" x14ac:dyDescent="0.2">
      <c r="H697" s="114"/>
      <c r="I697" s="114"/>
    </row>
    <row r="698" spans="8:9" x14ac:dyDescent="0.2">
      <c r="H698" s="114"/>
      <c r="I698" s="114"/>
    </row>
    <row r="699" spans="8:9" x14ac:dyDescent="0.2">
      <c r="H699" s="114"/>
      <c r="I699" s="114"/>
    </row>
    <row r="700" spans="8:9" x14ac:dyDescent="0.2">
      <c r="H700" s="114"/>
      <c r="I700" s="114"/>
    </row>
    <row r="701" spans="8:9" x14ac:dyDescent="0.2">
      <c r="H701" s="114"/>
      <c r="I701" s="114"/>
    </row>
    <row r="702" spans="8:9" x14ac:dyDescent="0.2">
      <c r="H702" s="114"/>
      <c r="I702" s="114"/>
    </row>
    <row r="703" spans="8:9" x14ac:dyDescent="0.2">
      <c r="H703" s="114"/>
      <c r="I703" s="114"/>
    </row>
    <row r="704" spans="8:9" x14ac:dyDescent="0.2">
      <c r="H704" s="114"/>
      <c r="I704" s="114"/>
    </row>
    <row r="705" spans="8:9" x14ac:dyDescent="0.2">
      <c r="H705" s="114"/>
      <c r="I705" s="114"/>
    </row>
    <row r="706" spans="8:9" x14ac:dyDescent="0.2">
      <c r="H706" s="114"/>
      <c r="I706" s="114"/>
    </row>
    <row r="707" spans="8:9" x14ac:dyDescent="0.2">
      <c r="H707" s="114"/>
      <c r="I707" s="114"/>
    </row>
    <row r="708" spans="8:9" x14ac:dyDescent="0.2">
      <c r="H708" s="114"/>
      <c r="I708" s="114"/>
    </row>
    <row r="709" spans="8:9" x14ac:dyDescent="0.2">
      <c r="H709" s="114"/>
      <c r="I709" s="114"/>
    </row>
    <row r="710" spans="8:9" x14ac:dyDescent="0.2">
      <c r="H710" s="114"/>
      <c r="I710" s="114"/>
    </row>
    <row r="711" spans="8:9" x14ac:dyDescent="0.2">
      <c r="H711" s="114"/>
      <c r="I711" s="114"/>
    </row>
    <row r="712" spans="8:9" x14ac:dyDescent="0.2">
      <c r="H712" s="114"/>
      <c r="I712" s="114"/>
    </row>
    <row r="713" spans="8:9" x14ac:dyDescent="0.2">
      <c r="H713" s="114"/>
      <c r="I713" s="114"/>
    </row>
    <row r="714" spans="8:9" x14ac:dyDescent="0.2">
      <c r="H714" s="114"/>
      <c r="I714" s="114"/>
    </row>
    <row r="715" spans="8:9" x14ac:dyDescent="0.2">
      <c r="H715" s="114"/>
      <c r="I715" s="114"/>
    </row>
    <row r="716" spans="8:9" x14ac:dyDescent="0.2">
      <c r="H716" s="114"/>
      <c r="I716" s="114"/>
    </row>
    <row r="717" spans="8:9" x14ac:dyDescent="0.2">
      <c r="H717" s="114"/>
      <c r="I717" s="114"/>
    </row>
    <row r="718" spans="8:9" x14ac:dyDescent="0.2">
      <c r="H718" s="114"/>
      <c r="I718" s="114"/>
    </row>
    <row r="719" spans="8:9" x14ac:dyDescent="0.2">
      <c r="H719" s="114"/>
      <c r="I719" s="114"/>
    </row>
    <row r="720" spans="8:9" x14ac:dyDescent="0.2">
      <c r="H720" s="114"/>
      <c r="I720" s="114"/>
    </row>
    <row r="721" spans="8:9" x14ac:dyDescent="0.2">
      <c r="H721" s="114"/>
      <c r="I721" s="114"/>
    </row>
    <row r="722" spans="8:9" x14ac:dyDescent="0.2">
      <c r="H722" s="114"/>
      <c r="I722" s="114"/>
    </row>
    <row r="723" spans="8:9" x14ac:dyDescent="0.2">
      <c r="H723" s="114"/>
      <c r="I723" s="114"/>
    </row>
    <row r="724" spans="8:9" x14ac:dyDescent="0.2">
      <c r="H724" s="114"/>
      <c r="I724" s="114"/>
    </row>
    <row r="725" spans="8:9" x14ac:dyDescent="0.2">
      <c r="H725" s="114"/>
      <c r="I725" s="114"/>
    </row>
    <row r="726" spans="8:9" x14ac:dyDescent="0.2">
      <c r="H726" s="114"/>
      <c r="I726" s="114"/>
    </row>
    <row r="727" spans="8:9" x14ac:dyDescent="0.2">
      <c r="H727" s="114"/>
      <c r="I727" s="114"/>
    </row>
    <row r="728" spans="8:9" x14ac:dyDescent="0.2">
      <c r="H728" s="114"/>
      <c r="I728" s="114"/>
    </row>
    <row r="729" spans="8:9" x14ac:dyDescent="0.2">
      <c r="H729" s="114"/>
      <c r="I729" s="114"/>
    </row>
    <row r="730" spans="8:9" x14ac:dyDescent="0.2">
      <c r="H730" s="114"/>
      <c r="I730" s="114"/>
    </row>
    <row r="731" spans="8:9" x14ac:dyDescent="0.2">
      <c r="H731" s="114"/>
      <c r="I731" s="114"/>
    </row>
    <row r="732" spans="8:9" x14ac:dyDescent="0.2">
      <c r="H732" s="114"/>
      <c r="I732" s="114"/>
    </row>
    <row r="733" spans="8:9" x14ac:dyDescent="0.2">
      <c r="H733" s="114"/>
      <c r="I733" s="114"/>
    </row>
    <row r="734" spans="8:9" x14ac:dyDescent="0.2">
      <c r="H734" s="114"/>
      <c r="I734" s="114"/>
    </row>
    <row r="735" spans="8:9" x14ac:dyDescent="0.2">
      <c r="H735" s="114"/>
      <c r="I735" s="114"/>
    </row>
    <row r="736" spans="8:9" x14ac:dyDescent="0.2">
      <c r="H736" s="114"/>
      <c r="I736" s="114"/>
    </row>
    <row r="737" spans="8:9" x14ac:dyDescent="0.2">
      <c r="H737" s="114"/>
      <c r="I737" s="114"/>
    </row>
    <row r="738" spans="8:9" x14ac:dyDescent="0.2">
      <c r="H738" s="114"/>
      <c r="I738" s="114"/>
    </row>
    <row r="739" spans="8:9" x14ac:dyDescent="0.2">
      <c r="H739" s="114"/>
      <c r="I739" s="114"/>
    </row>
    <row r="740" spans="8:9" x14ac:dyDescent="0.2">
      <c r="H740" s="114"/>
      <c r="I740" s="114"/>
    </row>
    <row r="741" spans="8:9" x14ac:dyDescent="0.2">
      <c r="H741" s="114"/>
      <c r="I741" s="114"/>
    </row>
    <row r="742" spans="8:9" x14ac:dyDescent="0.2">
      <c r="H742" s="114"/>
      <c r="I742" s="114"/>
    </row>
    <row r="743" spans="8:9" x14ac:dyDescent="0.2">
      <c r="H743" s="114"/>
      <c r="I743" s="114"/>
    </row>
    <row r="744" spans="8:9" x14ac:dyDescent="0.2">
      <c r="H744" s="114"/>
      <c r="I744" s="114"/>
    </row>
    <row r="745" spans="8:9" x14ac:dyDescent="0.2">
      <c r="H745" s="114"/>
      <c r="I745" s="114"/>
    </row>
    <row r="746" spans="8:9" x14ac:dyDescent="0.2">
      <c r="H746" s="114"/>
      <c r="I746" s="114"/>
    </row>
    <row r="747" spans="8:9" x14ac:dyDescent="0.2">
      <c r="H747" s="114"/>
      <c r="I747" s="114"/>
    </row>
    <row r="748" spans="8:9" x14ac:dyDescent="0.2">
      <c r="H748" s="114"/>
      <c r="I748" s="114"/>
    </row>
    <row r="749" spans="8:9" x14ac:dyDescent="0.2">
      <c r="H749" s="114"/>
      <c r="I749" s="114"/>
    </row>
    <row r="750" spans="8:9" x14ac:dyDescent="0.2">
      <c r="H750" s="114"/>
      <c r="I750" s="114"/>
    </row>
    <row r="751" spans="8:9" x14ac:dyDescent="0.2">
      <c r="H751" s="114"/>
      <c r="I751" s="114"/>
    </row>
    <row r="752" spans="8:9" x14ac:dyDescent="0.2">
      <c r="H752" s="114"/>
      <c r="I752" s="114"/>
    </row>
    <row r="753" spans="8:9" x14ac:dyDescent="0.2">
      <c r="H753" s="114"/>
      <c r="I753" s="114"/>
    </row>
    <row r="754" spans="8:9" x14ac:dyDescent="0.2">
      <c r="H754" s="114"/>
      <c r="I754" s="114"/>
    </row>
    <row r="755" spans="8:9" x14ac:dyDescent="0.2">
      <c r="H755" s="114"/>
      <c r="I755" s="114"/>
    </row>
    <row r="756" spans="8:9" x14ac:dyDescent="0.2">
      <c r="H756" s="114"/>
      <c r="I756" s="114"/>
    </row>
    <row r="757" spans="8:9" x14ac:dyDescent="0.2">
      <c r="H757" s="114"/>
      <c r="I757" s="114"/>
    </row>
    <row r="758" spans="8:9" x14ac:dyDescent="0.2">
      <c r="H758" s="114"/>
      <c r="I758" s="114"/>
    </row>
    <row r="759" spans="8:9" x14ac:dyDescent="0.2">
      <c r="H759" s="114"/>
      <c r="I759" s="114"/>
    </row>
    <row r="760" spans="8:9" x14ac:dyDescent="0.2">
      <c r="H760" s="114"/>
      <c r="I760" s="114"/>
    </row>
    <row r="761" spans="8:9" x14ac:dyDescent="0.2">
      <c r="H761" s="114"/>
      <c r="I761" s="114"/>
    </row>
    <row r="762" spans="8:9" x14ac:dyDescent="0.2">
      <c r="H762" s="114"/>
      <c r="I762" s="114"/>
    </row>
    <row r="763" spans="8:9" x14ac:dyDescent="0.2">
      <c r="H763" s="114"/>
      <c r="I763" s="114"/>
    </row>
    <row r="764" spans="8:9" x14ac:dyDescent="0.2">
      <c r="H764" s="114"/>
      <c r="I764" s="114"/>
    </row>
    <row r="765" spans="8:9" x14ac:dyDescent="0.2">
      <c r="H765" s="114"/>
      <c r="I765" s="114"/>
    </row>
    <row r="766" spans="8:9" x14ac:dyDescent="0.2">
      <c r="H766" s="114"/>
      <c r="I766" s="114"/>
    </row>
    <row r="767" spans="8:9" x14ac:dyDescent="0.2">
      <c r="H767" s="114"/>
      <c r="I767" s="114"/>
    </row>
    <row r="768" spans="8:9" x14ac:dyDescent="0.2">
      <c r="H768" s="114"/>
      <c r="I768" s="114"/>
    </row>
    <row r="769" spans="8:9" x14ac:dyDescent="0.2">
      <c r="H769" s="114"/>
      <c r="I769" s="114"/>
    </row>
    <row r="770" spans="8:9" x14ac:dyDescent="0.2">
      <c r="H770" s="114"/>
      <c r="I770" s="114"/>
    </row>
    <row r="771" spans="8:9" x14ac:dyDescent="0.2">
      <c r="H771" s="114"/>
      <c r="I771" s="114"/>
    </row>
    <row r="772" spans="8:9" x14ac:dyDescent="0.2">
      <c r="H772" s="114"/>
      <c r="I772" s="114"/>
    </row>
    <row r="773" spans="8:9" x14ac:dyDescent="0.2">
      <c r="H773" s="114"/>
      <c r="I773" s="114"/>
    </row>
    <row r="774" spans="8:9" x14ac:dyDescent="0.2">
      <c r="H774" s="114"/>
      <c r="I774" s="114"/>
    </row>
    <row r="775" spans="8:9" x14ac:dyDescent="0.2">
      <c r="H775" s="114"/>
      <c r="I775" s="114"/>
    </row>
    <row r="776" spans="8:9" x14ac:dyDescent="0.2">
      <c r="H776" s="114"/>
      <c r="I776" s="114"/>
    </row>
    <row r="777" spans="8:9" x14ac:dyDescent="0.2">
      <c r="H777" s="114"/>
      <c r="I777" s="114"/>
    </row>
    <row r="778" spans="8:9" x14ac:dyDescent="0.2">
      <c r="H778" s="114"/>
      <c r="I778" s="114"/>
    </row>
    <row r="779" spans="8:9" x14ac:dyDescent="0.2">
      <c r="H779" s="114"/>
      <c r="I779" s="114"/>
    </row>
    <row r="780" spans="8:9" x14ac:dyDescent="0.2">
      <c r="H780" s="114"/>
      <c r="I780" s="114"/>
    </row>
    <row r="781" spans="8:9" x14ac:dyDescent="0.2">
      <c r="H781" s="114"/>
      <c r="I781" s="114"/>
    </row>
    <row r="782" spans="8:9" x14ac:dyDescent="0.2">
      <c r="H782" s="114"/>
      <c r="I782" s="114"/>
    </row>
    <row r="783" spans="8:9" x14ac:dyDescent="0.2">
      <c r="H783" s="114"/>
      <c r="I783" s="114"/>
    </row>
    <row r="784" spans="8:9" x14ac:dyDescent="0.2">
      <c r="H784" s="114"/>
      <c r="I784" s="114"/>
    </row>
    <row r="785" spans="8:9" x14ac:dyDescent="0.2">
      <c r="H785" s="114"/>
      <c r="I785" s="114"/>
    </row>
    <row r="786" spans="8:9" x14ac:dyDescent="0.2">
      <c r="H786" s="114"/>
      <c r="I786" s="114"/>
    </row>
    <row r="787" spans="8:9" x14ac:dyDescent="0.2">
      <c r="H787" s="114"/>
      <c r="I787" s="114"/>
    </row>
    <row r="788" spans="8:9" x14ac:dyDescent="0.2">
      <c r="H788" s="114"/>
      <c r="I788" s="114"/>
    </row>
    <row r="789" spans="8:9" x14ac:dyDescent="0.2">
      <c r="H789" s="114"/>
      <c r="I789" s="114"/>
    </row>
    <row r="790" spans="8:9" x14ac:dyDescent="0.2">
      <c r="H790" s="114"/>
      <c r="I790" s="114"/>
    </row>
    <row r="791" spans="8:9" x14ac:dyDescent="0.2">
      <c r="H791" s="114"/>
      <c r="I791" s="114"/>
    </row>
    <row r="792" spans="8:9" x14ac:dyDescent="0.2">
      <c r="H792" s="114"/>
      <c r="I792" s="114"/>
    </row>
    <row r="793" spans="8:9" x14ac:dyDescent="0.2">
      <c r="H793" s="114"/>
      <c r="I793" s="114"/>
    </row>
    <row r="794" spans="8:9" x14ac:dyDescent="0.2">
      <c r="H794" s="114"/>
      <c r="I794" s="114"/>
    </row>
    <row r="795" spans="8:9" x14ac:dyDescent="0.2">
      <c r="H795" s="114"/>
      <c r="I795" s="114"/>
    </row>
    <row r="796" spans="8:9" x14ac:dyDescent="0.2">
      <c r="H796" s="114"/>
      <c r="I796" s="114"/>
    </row>
    <row r="797" spans="8:9" x14ac:dyDescent="0.2">
      <c r="H797" s="114"/>
      <c r="I797" s="114"/>
    </row>
    <row r="798" spans="8:9" x14ac:dyDescent="0.2">
      <c r="H798" s="114"/>
      <c r="I798" s="114"/>
    </row>
    <row r="799" spans="8:9" x14ac:dyDescent="0.2">
      <c r="H799" s="114"/>
      <c r="I799" s="114"/>
    </row>
    <row r="800" spans="8:9" x14ac:dyDescent="0.2">
      <c r="H800" s="114"/>
      <c r="I800" s="114"/>
    </row>
    <row r="801" spans="8:9" x14ac:dyDescent="0.2">
      <c r="H801" s="114"/>
      <c r="I801" s="114"/>
    </row>
    <row r="802" spans="8:9" x14ac:dyDescent="0.2">
      <c r="H802" s="114"/>
      <c r="I802" s="114"/>
    </row>
    <row r="803" spans="8:9" x14ac:dyDescent="0.2">
      <c r="H803" s="114"/>
      <c r="I803" s="114"/>
    </row>
    <row r="804" spans="8:9" x14ac:dyDescent="0.2">
      <c r="H804" s="114"/>
      <c r="I804" s="114"/>
    </row>
    <row r="805" spans="8:9" x14ac:dyDescent="0.2">
      <c r="H805" s="114"/>
      <c r="I805" s="114"/>
    </row>
    <row r="806" spans="8:9" x14ac:dyDescent="0.2">
      <c r="H806" s="114"/>
      <c r="I806" s="114"/>
    </row>
    <row r="807" spans="8:9" x14ac:dyDescent="0.2">
      <c r="H807" s="114"/>
      <c r="I807" s="114"/>
    </row>
    <row r="808" spans="8:9" x14ac:dyDescent="0.2">
      <c r="H808" s="114"/>
      <c r="I808" s="114"/>
    </row>
    <row r="809" spans="8:9" x14ac:dyDescent="0.2">
      <c r="H809" s="114"/>
      <c r="I809" s="114"/>
    </row>
    <row r="810" spans="8:9" x14ac:dyDescent="0.2">
      <c r="H810" s="114"/>
      <c r="I810" s="114"/>
    </row>
    <row r="811" spans="8:9" x14ac:dyDescent="0.2">
      <c r="H811" s="114"/>
      <c r="I811" s="114"/>
    </row>
    <row r="812" spans="8:9" x14ac:dyDescent="0.2">
      <c r="H812" s="114"/>
      <c r="I812" s="114"/>
    </row>
    <row r="813" spans="8:9" x14ac:dyDescent="0.2">
      <c r="H813" s="114"/>
      <c r="I813" s="114"/>
    </row>
    <row r="814" spans="8:9" x14ac:dyDescent="0.2">
      <c r="H814" s="114"/>
      <c r="I814" s="114"/>
    </row>
    <row r="815" spans="8:9" x14ac:dyDescent="0.2">
      <c r="H815" s="114"/>
      <c r="I815" s="114"/>
    </row>
    <row r="816" spans="8:9" x14ac:dyDescent="0.2">
      <c r="H816" s="114"/>
      <c r="I816" s="114"/>
    </row>
    <row r="817" spans="8:9" x14ac:dyDescent="0.2">
      <c r="H817" s="114"/>
      <c r="I817" s="114"/>
    </row>
    <row r="818" spans="8:9" x14ac:dyDescent="0.2">
      <c r="H818" s="114"/>
      <c r="I818" s="114"/>
    </row>
    <row r="819" spans="8:9" x14ac:dyDescent="0.2">
      <c r="H819" s="114"/>
      <c r="I819" s="114"/>
    </row>
    <row r="820" spans="8:9" x14ac:dyDescent="0.2">
      <c r="H820" s="114"/>
      <c r="I820" s="114"/>
    </row>
    <row r="821" spans="8:9" x14ac:dyDescent="0.2">
      <c r="H821" s="114"/>
      <c r="I821" s="114"/>
    </row>
    <row r="822" spans="8:9" x14ac:dyDescent="0.2">
      <c r="H822" s="114"/>
      <c r="I822" s="114"/>
    </row>
    <row r="823" spans="8:9" x14ac:dyDescent="0.2">
      <c r="H823" s="114"/>
      <c r="I823" s="114"/>
    </row>
    <row r="824" spans="8:9" x14ac:dyDescent="0.2">
      <c r="H824" s="114"/>
      <c r="I824" s="114"/>
    </row>
    <row r="825" spans="8:9" x14ac:dyDescent="0.2">
      <c r="H825" s="114"/>
      <c r="I825" s="114"/>
    </row>
    <row r="826" spans="8:9" x14ac:dyDescent="0.2">
      <c r="H826" s="114"/>
      <c r="I826" s="114"/>
    </row>
    <row r="827" spans="8:9" x14ac:dyDescent="0.2">
      <c r="H827" s="114"/>
      <c r="I827" s="114"/>
    </row>
    <row r="828" spans="8:9" x14ac:dyDescent="0.2">
      <c r="H828" s="114"/>
      <c r="I828" s="114"/>
    </row>
    <row r="829" spans="8:9" x14ac:dyDescent="0.2">
      <c r="H829" s="114"/>
      <c r="I829" s="114"/>
    </row>
    <row r="830" spans="8:9" x14ac:dyDescent="0.2">
      <c r="H830" s="114"/>
      <c r="I830" s="114"/>
    </row>
    <row r="831" spans="8:9" x14ac:dyDescent="0.2">
      <c r="H831" s="114"/>
      <c r="I831" s="114"/>
    </row>
    <row r="832" spans="8:9" x14ac:dyDescent="0.2">
      <c r="H832" s="114"/>
      <c r="I832" s="114"/>
    </row>
    <row r="833" spans="8:9" x14ac:dyDescent="0.2">
      <c r="H833" s="114"/>
      <c r="I833" s="114"/>
    </row>
    <row r="834" spans="8:9" x14ac:dyDescent="0.2">
      <c r="H834" s="114"/>
      <c r="I834" s="114"/>
    </row>
    <row r="835" spans="8:9" x14ac:dyDescent="0.2">
      <c r="H835" s="114"/>
      <c r="I835" s="114"/>
    </row>
    <row r="836" spans="8:9" x14ac:dyDescent="0.2">
      <c r="H836" s="114"/>
      <c r="I836" s="114"/>
    </row>
    <row r="837" spans="8:9" x14ac:dyDescent="0.2">
      <c r="H837" s="114"/>
      <c r="I837" s="114"/>
    </row>
    <row r="838" spans="8:9" x14ac:dyDescent="0.2">
      <c r="H838" s="114"/>
      <c r="I838" s="114"/>
    </row>
    <row r="839" spans="8:9" x14ac:dyDescent="0.2">
      <c r="H839" s="114"/>
      <c r="I839" s="114"/>
    </row>
    <row r="840" spans="8:9" x14ac:dyDescent="0.2">
      <c r="H840" s="114"/>
      <c r="I840" s="114"/>
    </row>
    <row r="841" spans="8:9" x14ac:dyDescent="0.2">
      <c r="H841" s="114"/>
      <c r="I841" s="114"/>
    </row>
    <row r="842" spans="8:9" x14ac:dyDescent="0.2">
      <c r="H842" s="114"/>
      <c r="I842" s="114"/>
    </row>
    <row r="843" spans="8:9" x14ac:dyDescent="0.2">
      <c r="H843" s="114"/>
      <c r="I843" s="114"/>
    </row>
    <row r="844" spans="8:9" x14ac:dyDescent="0.2">
      <c r="H844" s="114"/>
      <c r="I844" s="114"/>
    </row>
    <row r="845" spans="8:9" x14ac:dyDescent="0.2">
      <c r="H845" s="114"/>
      <c r="I845" s="114"/>
    </row>
    <row r="846" spans="8:9" x14ac:dyDescent="0.2">
      <c r="H846" s="114"/>
      <c r="I846" s="114"/>
    </row>
    <row r="847" spans="8:9" x14ac:dyDescent="0.2">
      <c r="H847" s="114"/>
      <c r="I847" s="114"/>
    </row>
    <row r="848" spans="8:9" x14ac:dyDescent="0.2">
      <c r="H848" s="114"/>
      <c r="I848" s="114"/>
    </row>
    <row r="849" spans="8:9" x14ac:dyDescent="0.2">
      <c r="H849" s="114"/>
      <c r="I849" s="114"/>
    </row>
    <row r="850" spans="8:9" x14ac:dyDescent="0.2">
      <c r="H850" s="114"/>
      <c r="I850" s="114"/>
    </row>
    <row r="851" spans="8:9" x14ac:dyDescent="0.2">
      <c r="H851" s="114"/>
      <c r="I851" s="114"/>
    </row>
    <row r="852" spans="8:9" x14ac:dyDescent="0.2">
      <c r="H852" s="114"/>
      <c r="I852" s="114"/>
    </row>
    <row r="853" spans="8:9" x14ac:dyDescent="0.2">
      <c r="H853" s="114"/>
      <c r="I853" s="114"/>
    </row>
    <row r="854" spans="8:9" x14ac:dyDescent="0.2">
      <c r="H854" s="114"/>
      <c r="I854" s="114"/>
    </row>
    <row r="855" spans="8:9" x14ac:dyDescent="0.2">
      <c r="H855" s="114"/>
      <c r="I855" s="114"/>
    </row>
    <row r="856" spans="8:9" x14ac:dyDescent="0.2">
      <c r="H856" s="114"/>
      <c r="I856" s="114"/>
    </row>
    <row r="857" spans="8:9" x14ac:dyDescent="0.2">
      <c r="H857" s="114"/>
      <c r="I857" s="114"/>
    </row>
    <row r="858" spans="8:9" x14ac:dyDescent="0.2">
      <c r="H858" s="114"/>
      <c r="I858" s="114"/>
    </row>
    <row r="859" spans="8:9" x14ac:dyDescent="0.2">
      <c r="H859" s="114"/>
      <c r="I859" s="114"/>
    </row>
    <row r="860" spans="8:9" x14ac:dyDescent="0.2">
      <c r="H860" s="114"/>
      <c r="I860" s="114"/>
    </row>
    <row r="861" spans="8:9" x14ac:dyDescent="0.2">
      <c r="H861" s="114"/>
      <c r="I861" s="114"/>
    </row>
    <row r="862" spans="8:9" x14ac:dyDescent="0.2">
      <c r="H862" s="114"/>
      <c r="I862" s="114"/>
    </row>
    <row r="863" spans="8:9" x14ac:dyDescent="0.2">
      <c r="H863" s="114"/>
      <c r="I863" s="114"/>
    </row>
    <row r="864" spans="8:9" x14ac:dyDescent="0.2">
      <c r="H864" s="114"/>
      <c r="I864" s="114"/>
    </row>
    <row r="865" spans="8:9" x14ac:dyDescent="0.2">
      <c r="H865" s="114"/>
      <c r="I865" s="114"/>
    </row>
    <row r="866" spans="8:9" x14ac:dyDescent="0.2">
      <c r="H866" s="114"/>
      <c r="I866" s="114"/>
    </row>
    <row r="867" spans="8:9" x14ac:dyDescent="0.2">
      <c r="H867" s="114"/>
      <c r="I867" s="114"/>
    </row>
    <row r="868" spans="8:9" x14ac:dyDescent="0.2">
      <c r="H868" s="114"/>
      <c r="I868" s="114"/>
    </row>
    <row r="869" spans="8:9" x14ac:dyDescent="0.2">
      <c r="H869" s="114"/>
      <c r="I869" s="114"/>
    </row>
    <row r="870" spans="8:9" x14ac:dyDescent="0.2">
      <c r="H870" s="114"/>
      <c r="I870" s="114"/>
    </row>
    <row r="871" spans="8:9" x14ac:dyDescent="0.2">
      <c r="H871" s="114"/>
      <c r="I871" s="114"/>
    </row>
    <row r="872" spans="8:9" x14ac:dyDescent="0.2">
      <c r="H872" s="114"/>
      <c r="I872" s="114"/>
    </row>
    <row r="873" spans="8:9" x14ac:dyDescent="0.2">
      <c r="H873" s="114"/>
      <c r="I873" s="114"/>
    </row>
    <row r="874" spans="8:9" x14ac:dyDescent="0.2">
      <c r="H874" s="114"/>
      <c r="I874" s="114"/>
    </row>
    <row r="875" spans="8:9" x14ac:dyDescent="0.2">
      <c r="H875" s="114"/>
      <c r="I875" s="114"/>
    </row>
    <row r="876" spans="8:9" x14ac:dyDescent="0.2">
      <c r="H876" s="114"/>
      <c r="I876" s="114"/>
    </row>
    <row r="877" spans="8:9" x14ac:dyDescent="0.2">
      <c r="H877" s="114"/>
      <c r="I877" s="114"/>
    </row>
    <row r="878" spans="8:9" x14ac:dyDescent="0.2">
      <c r="H878" s="114"/>
      <c r="I878" s="114"/>
    </row>
    <row r="879" spans="8:9" x14ac:dyDescent="0.2">
      <c r="H879" s="114"/>
      <c r="I879" s="114"/>
    </row>
    <row r="880" spans="8:9" x14ac:dyDescent="0.2">
      <c r="H880" s="114"/>
      <c r="I880" s="114"/>
    </row>
    <row r="881" spans="8:9" x14ac:dyDescent="0.2">
      <c r="H881" s="114"/>
      <c r="I881" s="114"/>
    </row>
    <row r="882" spans="8:9" x14ac:dyDescent="0.2">
      <c r="H882" s="114"/>
      <c r="I882" s="114"/>
    </row>
    <row r="883" spans="8:9" x14ac:dyDescent="0.2">
      <c r="H883" s="114"/>
      <c r="I883" s="114"/>
    </row>
    <row r="884" spans="8:9" x14ac:dyDescent="0.2">
      <c r="H884" s="114"/>
      <c r="I884" s="114"/>
    </row>
    <row r="885" spans="8:9" x14ac:dyDescent="0.2">
      <c r="H885" s="114"/>
      <c r="I885" s="114"/>
    </row>
    <row r="886" spans="8:9" x14ac:dyDescent="0.2">
      <c r="H886" s="114"/>
      <c r="I886" s="114"/>
    </row>
    <row r="887" spans="8:9" x14ac:dyDescent="0.2">
      <c r="H887" s="114"/>
      <c r="I887" s="114"/>
    </row>
  </sheetData>
  <sortState ref="A14:GH24">
    <sortCondition ref="B14:B24"/>
    <sortCondition ref="C14:C24"/>
  </sortState>
  <mergeCells count="1">
    <mergeCell ref="H2:I2"/>
  </mergeCells>
  <phoneticPr fontId="6" type="noConversion"/>
  <pageMargins left="0.15748031496062992" right="0.19685039370078741" top="0.23622047244094491" bottom="0.23622047244094491" header="0.15748031496062992" footer="0.23622047244094491"/>
  <pageSetup paperSize="9" scale="61" fitToHeight="0" orientation="landscape" r:id="rId1"/>
  <headerFooter alignWithMargins="0">
    <oddHeader xml:space="preserve">&amp;R&amp;P+3 . strana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A2" sqref="A2"/>
    </sheetView>
  </sheetViews>
  <sheetFormatPr defaultRowHeight="12.75" x14ac:dyDescent="0.2"/>
  <cols>
    <col min="1" max="1" width="5.42578125" style="420" customWidth="1"/>
    <col min="2" max="2" width="56.5703125" style="420" bestFit="1" customWidth="1"/>
    <col min="3" max="3" width="17.7109375" style="420" customWidth="1"/>
    <col min="4" max="16384" width="9.140625" style="420"/>
  </cols>
  <sheetData>
    <row r="2" spans="1:3" s="541" customFormat="1" ht="18" x14ac:dyDescent="0.25">
      <c r="A2" s="665" t="s">
        <v>587</v>
      </c>
      <c r="B2" s="542" t="s">
        <v>567</v>
      </c>
      <c r="C2" s="543" t="s">
        <v>566</v>
      </c>
    </row>
    <row r="3" spans="1:3" x14ac:dyDescent="0.2">
      <c r="B3" s="419" t="s">
        <v>564</v>
      </c>
    </row>
    <row r="4" spans="1:3" x14ac:dyDescent="0.2">
      <c r="A4" s="531"/>
      <c r="B4" s="533" t="s">
        <v>7</v>
      </c>
      <c r="C4" s="532">
        <f>sumář!P9</f>
        <v>103445</v>
      </c>
    </row>
    <row r="5" spans="1:3" x14ac:dyDescent="0.2">
      <c r="A5" s="531"/>
      <c r="B5" s="533" t="s">
        <v>8</v>
      </c>
      <c r="C5" s="532">
        <f>sumář!P10</f>
        <v>31040</v>
      </c>
    </row>
    <row r="6" spans="1:3" x14ac:dyDescent="0.2">
      <c r="A6" s="531"/>
      <c r="B6" s="533" t="s">
        <v>9</v>
      </c>
      <c r="C6" s="532">
        <f>sumář!P11</f>
        <v>18097</v>
      </c>
    </row>
    <row r="7" spans="1:3" x14ac:dyDescent="0.2">
      <c r="A7" s="531"/>
      <c r="B7" s="533" t="s">
        <v>10</v>
      </c>
      <c r="C7" s="532">
        <f>sumář!P12</f>
        <v>33800</v>
      </c>
    </row>
    <row r="8" spans="1:3" x14ac:dyDescent="0.2">
      <c r="A8" s="531"/>
      <c r="B8" s="537" t="s">
        <v>11</v>
      </c>
      <c r="C8" s="530">
        <f>SUM(C4:C7)</f>
        <v>186382</v>
      </c>
    </row>
    <row r="10" spans="1:3" x14ac:dyDescent="0.2">
      <c r="A10" s="420" t="s">
        <v>563</v>
      </c>
      <c r="B10" s="419" t="s">
        <v>562</v>
      </c>
    </row>
    <row r="11" spans="1:3" x14ac:dyDescent="0.2">
      <c r="A11" s="531">
        <v>10</v>
      </c>
      <c r="B11" s="536" t="s">
        <v>67</v>
      </c>
      <c r="C11" s="535">
        <f>výdaje!AF5</f>
        <v>1388</v>
      </c>
    </row>
    <row r="12" spans="1:3" x14ac:dyDescent="0.2">
      <c r="A12" s="531">
        <v>21</v>
      </c>
      <c r="B12" s="536" t="s">
        <v>245</v>
      </c>
      <c r="C12" s="535">
        <f>výdaje!AF8</f>
        <v>1600</v>
      </c>
    </row>
    <row r="13" spans="1:3" x14ac:dyDescent="0.2">
      <c r="A13" s="531">
        <v>22</v>
      </c>
      <c r="B13" s="536" t="s">
        <v>70</v>
      </c>
      <c r="C13" s="535">
        <f>výdaje!AF14</f>
        <v>23212</v>
      </c>
    </row>
    <row r="14" spans="1:3" x14ac:dyDescent="0.2">
      <c r="A14" s="511">
        <v>31</v>
      </c>
      <c r="B14" s="536" t="s">
        <v>356</v>
      </c>
      <c r="C14" s="535">
        <f>výdaje!AF34</f>
        <v>19564</v>
      </c>
    </row>
    <row r="15" spans="1:3" x14ac:dyDescent="0.2">
      <c r="A15" s="511">
        <v>33</v>
      </c>
      <c r="B15" s="536" t="s">
        <v>71</v>
      </c>
      <c r="C15" s="535">
        <f>výdaje!AF48</f>
        <v>13735</v>
      </c>
    </row>
    <row r="16" spans="1:3" x14ac:dyDescent="0.2">
      <c r="A16" s="511">
        <v>34</v>
      </c>
      <c r="B16" s="536" t="s">
        <v>73</v>
      </c>
      <c r="C16" s="535">
        <f>výdaje!AF61</f>
        <v>13152</v>
      </c>
    </row>
    <row r="17" spans="1:3" x14ac:dyDescent="0.2">
      <c r="A17" s="511">
        <v>35</v>
      </c>
      <c r="B17" s="536" t="s">
        <v>113</v>
      </c>
      <c r="C17" s="535">
        <f>výdaje!AF69</f>
        <v>13309</v>
      </c>
    </row>
    <row r="18" spans="1:3" x14ac:dyDescent="0.2">
      <c r="A18" s="511">
        <v>36</v>
      </c>
      <c r="B18" s="536" t="s">
        <v>74</v>
      </c>
      <c r="C18" s="535">
        <f>výdaje!AF71</f>
        <v>24928</v>
      </c>
    </row>
    <row r="19" spans="1:3" x14ac:dyDescent="0.2">
      <c r="A19" s="511">
        <v>37</v>
      </c>
      <c r="B19" s="536" t="s">
        <v>114</v>
      </c>
      <c r="C19" s="535">
        <f>výdaje!AF92</f>
        <v>15720</v>
      </c>
    </row>
    <row r="20" spans="1:3" x14ac:dyDescent="0.2">
      <c r="A20" s="511">
        <v>43</v>
      </c>
      <c r="B20" s="536" t="s">
        <v>79</v>
      </c>
      <c r="C20" s="535">
        <f>výdaje!AF103</f>
        <v>10455</v>
      </c>
    </row>
    <row r="21" spans="1:3" x14ac:dyDescent="0.2">
      <c r="A21" s="511">
        <v>53</v>
      </c>
      <c r="B21" s="536" t="s">
        <v>103</v>
      </c>
      <c r="C21" s="535">
        <f>výdaje!AF109</f>
        <v>3300</v>
      </c>
    </row>
    <row r="22" spans="1:3" x14ac:dyDescent="0.2">
      <c r="A22" s="511">
        <v>61</v>
      </c>
      <c r="B22" s="536" t="s">
        <v>81</v>
      </c>
      <c r="C22" s="535">
        <f>výdaje!AF115</f>
        <v>64459</v>
      </c>
    </row>
    <row r="23" spans="1:3" x14ac:dyDescent="0.2">
      <c r="A23" s="511">
        <v>63</v>
      </c>
      <c r="B23" s="536" t="s">
        <v>84</v>
      </c>
      <c r="C23" s="535">
        <f>výdaje!AF122</f>
        <v>12273</v>
      </c>
    </row>
    <row r="24" spans="1:3" x14ac:dyDescent="0.2">
      <c r="A24" s="531"/>
      <c r="B24" s="534" t="s">
        <v>86</v>
      </c>
      <c r="C24" s="530">
        <f>SUM(C11:C23)</f>
        <v>217095</v>
      </c>
    </row>
    <row r="25" spans="1:3" x14ac:dyDescent="0.2">
      <c r="B25" s="419" t="s">
        <v>561</v>
      </c>
      <c r="C25" s="459">
        <f>C8-C24</f>
        <v>-30713</v>
      </c>
    </row>
    <row r="26" spans="1:3" x14ac:dyDescent="0.2">
      <c r="C26" s="318"/>
    </row>
    <row r="27" spans="1:3" x14ac:dyDescent="0.2">
      <c r="B27" s="419" t="s">
        <v>560</v>
      </c>
    </row>
    <row r="28" spans="1:3" x14ac:dyDescent="0.2">
      <c r="A28" s="531"/>
      <c r="B28" s="533" t="s">
        <v>313</v>
      </c>
      <c r="C28" s="532">
        <f>sumář!P21</f>
        <v>-4291</v>
      </c>
    </row>
    <row r="29" spans="1:3" x14ac:dyDescent="0.2">
      <c r="A29" s="531"/>
      <c r="B29" s="533" t="s">
        <v>326</v>
      </c>
      <c r="C29" s="532">
        <v>0</v>
      </c>
    </row>
    <row r="30" spans="1:3" x14ac:dyDescent="0.2">
      <c r="A30" s="531"/>
      <c r="B30" s="533" t="s">
        <v>565</v>
      </c>
      <c r="C30" s="532">
        <f>sumář!P18</f>
        <v>-30713</v>
      </c>
    </row>
    <row r="31" spans="1:3" x14ac:dyDescent="0.2">
      <c r="A31" s="538"/>
      <c r="B31" s="539" t="s">
        <v>18</v>
      </c>
      <c r="C31" s="540">
        <f>SUM(C28:C30)</f>
        <v>-35004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P37"/>
  <sheetViews>
    <sheetView workbookViewId="0">
      <selection activeCell="A2" sqref="A2"/>
    </sheetView>
  </sheetViews>
  <sheetFormatPr defaultColWidth="7.85546875" defaultRowHeight="12.75" x14ac:dyDescent="0.2"/>
  <cols>
    <col min="1" max="2" width="7.85546875" style="93" customWidth="1"/>
    <col min="3" max="3" width="4.28515625" style="93" customWidth="1"/>
    <col min="4" max="4" width="18" style="21" bestFit="1" customWidth="1"/>
    <col min="5" max="5" width="8.28515625" style="93" customWidth="1"/>
    <col min="6" max="6" width="7.85546875" style="93" customWidth="1"/>
    <col min="7" max="7" width="7.28515625" style="93" customWidth="1"/>
    <col min="8" max="9" width="7.85546875" style="93" customWidth="1"/>
    <col min="10" max="11" width="10" style="114" customWidth="1"/>
    <col min="12" max="16384" width="7.85546875" style="93"/>
  </cols>
  <sheetData>
    <row r="1" spans="1:16" ht="15.75" x14ac:dyDescent="0.25">
      <c r="A1" s="1" t="s">
        <v>398</v>
      </c>
      <c r="E1" s="202"/>
      <c r="G1" s="202"/>
      <c r="I1" s="202"/>
    </row>
    <row r="2" spans="1:16" x14ac:dyDescent="0.2">
      <c r="A2" s="114"/>
      <c r="B2" s="114"/>
      <c r="C2" s="114"/>
      <c r="D2" s="96"/>
      <c r="E2" s="202"/>
      <c r="G2" s="202"/>
      <c r="I2" s="202"/>
    </row>
    <row r="3" spans="1:16" ht="13.5" thickBot="1" x14ac:dyDescent="0.25">
      <c r="E3" s="202"/>
      <c r="G3" s="202"/>
      <c r="I3" s="202"/>
    </row>
    <row r="4" spans="1:16" ht="13.5" thickBot="1" x14ac:dyDescent="0.25">
      <c r="A4" s="266"/>
      <c r="B4" s="203"/>
      <c r="C4" s="203"/>
      <c r="D4" s="204"/>
      <c r="E4" s="205"/>
      <c r="F4" s="206" t="s">
        <v>203</v>
      </c>
      <c r="G4" s="207"/>
      <c r="H4" s="206" t="s">
        <v>204</v>
      </c>
      <c r="I4" s="208" t="s">
        <v>205</v>
      </c>
      <c r="J4" s="311"/>
      <c r="K4" s="312" t="s">
        <v>89</v>
      </c>
    </row>
    <row r="5" spans="1:16" x14ac:dyDescent="0.2">
      <c r="A5" s="174"/>
      <c r="B5" s="125"/>
      <c r="C5" s="125"/>
      <c r="D5" s="209"/>
      <c r="E5" s="637" t="s">
        <v>206</v>
      </c>
      <c r="F5" s="210"/>
      <c r="G5" s="637" t="s">
        <v>206</v>
      </c>
      <c r="H5" s="210"/>
      <c r="I5" s="637" t="s">
        <v>207</v>
      </c>
      <c r="J5" s="313"/>
      <c r="K5" s="653" t="s">
        <v>208</v>
      </c>
    </row>
    <row r="6" spans="1:16" ht="13.5" thickBot="1" x14ac:dyDescent="0.25">
      <c r="A6" s="178"/>
      <c r="B6" s="126"/>
      <c r="C6" s="126"/>
      <c r="D6" s="211"/>
      <c r="E6" s="638" t="s">
        <v>92</v>
      </c>
      <c r="F6" s="212" t="s">
        <v>209</v>
      </c>
      <c r="G6" s="638" t="s">
        <v>92</v>
      </c>
      <c r="H6" s="212" t="s">
        <v>209</v>
      </c>
      <c r="I6" s="638" t="s">
        <v>210</v>
      </c>
      <c r="J6" s="212" t="s">
        <v>209</v>
      </c>
      <c r="K6" s="654" t="s">
        <v>211</v>
      </c>
    </row>
    <row r="7" spans="1:16" x14ac:dyDescent="0.2">
      <c r="A7" s="175" t="s">
        <v>93</v>
      </c>
      <c r="B7" s="125"/>
      <c r="C7" s="125"/>
      <c r="D7" s="209"/>
      <c r="E7" s="639">
        <f>+příjmy!H41</f>
        <v>252</v>
      </c>
      <c r="F7" s="213">
        <f>+příjmy!O41</f>
        <v>1025.0114100000001</v>
      </c>
      <c r="G7" s="639">
        <f>výdaje!L6</f>
        <v>1528.569</v>
      </c>
      <c r="H7" s="213">
        <f>+výdaje!AA6</f>
        <v>1463.2057600000001</v>
      </c>
      <c r="I7" s="641"/>
      <c r="J7" s="213"/>
      <c r="K7" s="655"/>
    </row>
    <row r="8" spans="1:16" x14ac:dyDescent="0.2">
      <c r="A8" s="267"/>
      <c r="B8" s="127"/>
      <c r="C8" s="22" t="s">
        <v>212</v>
      </c>
      <c r="D8" s="214"/>
      <c r="E8" s="640">
        <f>SUM(E7:E7)</f>
        <v>252</v>
      </c>
      <c r="F8" s="215">
        <f>SUM(F7:F7)</f>
        <v>1025.0114100000001</v>
      </c>
      <c r="G8" s="640">
        <f>SUM(G7:G7)</f>
        <v>1528.569</v>
      </c>
      <c r="H8" s="215">
        <f>SUM(H7:H7)</f>
        <v>1463.2057600000001</v>
      </c>
      <c r="I8" s="640">
        <f>E8-G8</f>
        <v>-1276.569</v>
      </c>
      <c r="J8" s="215">
        <f>F8-H8</f>
        <v>-438.19434999999999</v>
      </c>
      <c r="K8" s="656">
        <f>J8-I8</f>
        <v>838.37464999999997</v>
      </c>
    </row>
    <row r="9" spans="1:16" x14ac:dyDescent="0.2">
      <c r="A9" s="268" t="s">
        <v>213</v>
      </c>
      <c r="B9" s="125"/>
      <c r="C9" s="125"/>
      <c r="D9" s="209"/>
      <c r="E9" s="637"/>
      <c r="F9" s="217"/>
      <c r="G9" s="637"/>
      <c r="H9" s="217"/>
      <c r="I9" s="637"/>
      <c r="J9" s="217"/>
      <c r="K9" s="657"/>
    </row>
    <row r="10" spans="1:16" x14ac:dyDescent="0.2">
      <c r="A10" s="269"/>
      <c r="B10" s="127"/>
      <c r="C10" s="127"/>
      <c r="D10" s="73"/>
      <c r="E10" s="640">
        <f>+příjmy!H64</f>
        <v>1390</v>
      </c>
      <c r="F10" s="216">
        <f>+příjmy!O64</f>
        <v>1466.7108000000001</v>
      </c>
      <c r="G10" s="640">
        <f>+výdaje!L10</f>
        <v>358</v>
      </c>
      <c r="H10" s="216">
        <f>+výdaje!AA10</f>
        <v>286.07495999999998</v>
      </c>
      <c r="I10" s="640">
        <f>E10-G10</f>
        <v>1032</v>
      </c>
      <c r="J10" s="215">
        <f>F10-H10</f>
        <v>1180.6358400000001</v>
      </c>
      <c r="K10" s="656">
        <f>J10-I10</f>
        <v>148.63584000000014</v>
      </c>
    </row>
    <row r="11" spans="1:16" x14ac:dyDescent="0.2">
      <c r="A11" s="175" t="s">
        <v>75</v>
      </c>
      <c r="B11" s="125"/>
      <c r="C11" s="125"/>
      <c r="D11" s="209"/>
      <c r="E11" s="641"/>
      <c r="F11" s="72"/>
      <c r="G11" s="641"/>
      <c r="H11" s="72"/>
      <c r="I11" s="641"/>
      <c r="J11" s="128"/>
      <c r="K11" s="655"/>
    </row>
    <row r="12" spans="1:16" x14ac:dyDescent="0.2">
      <c r="A12" s="174"/>
      <c r="B12" s="125"/>
      <c r="C12" s="125"/>
      <c r="D12" s="209" t="s">
        <v>233</v>
      </c>
      <c r="E12" s="641">
        <f>+příjmy!H67</f>
        <v>8509</v>
      </c>
      <c r="F12" s="213">
        <f>+příjmy!O67</f>
        <v>8201.7540000000008</v>
      </c>
      <c r="G12" s="639">
        <f>+výdaje!L72</f>
        <v>6559</v>
      </c>
      <c r="H12" s="213">
        <f>+výdaje!AA72</f>
        <v>3148.1773899999998</v>
      </c>
      <c r="I12" s="641">
        <f t="shared" ref="I12:J16" si="0">E12-G12</f>
        <v>1950</v>
      </c>
      <c r="J12" s="213">
        <f t="shared" si="0"/>
        <v>5053.576610000001</v>
      </c>
      <c r="K12" s="655"/>
      <c r="M12" s="110"/>
    </row>
    <row r="13" spans="1:16" x14ac:dyDescent="0.2">
      <c r="A13" s="174"/>
      <c r="B13" s="125"/>
      <c r="C13" s="125"/>
      <c r="D13" s="209" t="s">
        <v>214</v>
      </c>
      <c r="E13" s="641">
        <f>+příjmy!H51</f>
        <v>1960</v>
      </c>
      <c r="F13" s="213">
        <f>+příjmy!O51</f>
        <v>1739.76412</v>
      </c>
      <c r="G13" s="639">
        <f>+výdaje!L73</f>
        <v>1960</v>
      </c>
      <c r="H13" s="213">
        <f>+výdaje!AA73</f>
        <v>1963.22325</v>
      </c>
      <c r="I13" s="641">
        <f t="shared" si="0"/>
        <v>0</v>
      </c>
      <c r="J13" s="213">
        <f t="shared" si="0"/>
        <v>-223.45912999999996</v>
      </c>
      <c r="K13" s="655"/>
      <c r="M13" s="110"/>
    </row>
    <row r="14" spans="1:16" x14ac:dyDescent="0.2">
      <c r="A14" s="174"/>
      <c r="B14" s="125"/>
      <c r="C14" s="125"/>
      <c r="D14" s="209" t="s">
        <v>215</v>
      </c>
      <c r="E14" s="641">
        <f>+příjmy!H68</f>
        <v>609</v>
      </c>
      <c r="F14" s="213">
        <f>+příjmy!O68</f>
        <v>619.63499999999999</v>
      </c>
      <c r="G14" s="639">
        <f>+výdaje!L80</f>
        <v>309</v>
      </c>
      <c r="H14" s="213">
        <f>výdaje!AA80</f>
        <v>185.63453000000001</v>
      </c>
      <c r="I14" s="641">
        <f t="shared" si="0"/>
        <v>300</v>
      </c>
      <c r="J14" s="213">
        <f t="shared" si="0"/>
        <v>434.00046999999995</v>
      </c>
      <c r="K14" s="655"/>
      <c r="M14" s="110"/>
    </row>
    <row r="15" spans="1:16" x14ac:dyDescent="0.2">
      <c r="A15" s="174"/>
      <c r="B15" s="125"/>
      <c r="C15" s="125"/>
      <c r="D15" s="209" t="s">
        <v>216</v>
      </c>
      <c r="E15" s="641">
        <f>+příjmy!H52</f>
        <v>300</v>
      </c>
      <c r="F15" s="213">
        <f>+příjmy!O52</f>
        <v>247.958</v>
      </c>
      <c r="G15" s="639">
        <f>výdaje!L81</f>
        <v>300</v>
      </c>
      <c r="H15" s="213">
        <f>výdaje!AA81</f>
        <v>111.35469000000001</v>
      </c>
      <c r="I15" s="641">
        <f t="shared" si="0"/>
        <v>0</v>
      </c>
      <c r="J15" s="213">
        <f t="shared" si="0"/>
        <v>136.60330999999999</v>
      </c>
      <c r="K15" s="655"/>
      <c r="M15" s="110"/>
    </row>
    <row r="16" spans="1:16" x14ac:dyDescent="0.2">
      <c r="A16" s="267"/>
      <c r="B16" s="127"/>
      <c r="C16" s="22" t="s">
        <v>217</v>
      </c>
      <c r="D16" s="73"/>
      <c r="E16" s="640">
        <f>SUM(E12:E15)</f>
        <v>11378</v>
      </c>
      <c r="F16" s="216">
        <f>SUM(F12:F15)</f>
        <v>10809.111120000001</v>
      </c>
      <c r="G16" s="640">
        <f>SUM(G12:G15)</f>
        <v>9128</v>
      </c>
      <c r="H16" s="216">
        <f>SUM(H12:H15)</f>
        <v>5408.3898600000002</v>
      </c>
      <c r="I16" s="640">
        <f t="shared" si="0"/>
        <v>2250</v>
      </c>
      <c r="J16" s="215">
        <f t="shared" si="0"/>
        <v>5400.7212600000012</v>
      </c>
      <c r="K16" s="656">
        <f>J16-I16</f>
        <v>3150.7212600000012</v>
      </c>
      <c r="M16" s="110"/>
      <c r="P16" s="110"/>
    </row>
    <row r="17" spans="1:12" x14ac:dyDescent="0.2">
      <c r="A17" s="175" t="s">
        <v>218</v>
      </c>
      <c r="B17" s="125"/>
      <c r="C17" s="125"/>
      <c r="D17" s="209" t="s">
        <v>219</v>
      </c>
      <c r="E17" s="639">
        <f>+příjmy!H47</f>
        <v>100</v>
      </c>
      <c r="F17" s="213">
        <f>+příjmy!O47</f>
        <v>70.724999999999994</v>
      </c>
      <c r="G17" s="639">
        <f>+výdaje!L49</f>
        <v>1718</v>
      </c>
      <c r="H17" s="213">
        <f>+výdaje!AA49</f>
        <v>1544.14294</v>
      </c>
      <c r="I17" s="641"/>
      <c r="J17" s="213"/>
      <c r="K17" s="655"/>
    </row>
    <row r="18" spans="1:12" x14ac:dyDescent="0.2">
      <c r="A18" s="175"/>
      <c r="B18" s="125"/>
      <c r="C18" s="125"/>
      <c r="D18" s="209" t="s">
        <v>220</v>
      </c>
      <c r="E18" s="641"/>
      <c r="F18" s="128"/>
      <c r="G18" s="641"/>
      <c r="H18" s="128"/>
      <c r="I18" s="641"/>
      <c r="J18" s="128"/>
      <c r="K18" s="655"/>
    </row>
    <row r="19" spans="1:12" x14ac:dyDescent="0.2">
      <c r="A19" s="269"/>
      <c r="B19" s="127"/>
      <c r="C19" s="22" t="s">
        <v>66</v>
      </c>
      <c r="D19" s="214"/>
      <c r="E19" s="640">
        <f>SUM(E17:E18)</f>
        <v>100</v>
      </c>
      <c r="F19" s="216">
        <f>SUM(F17:F18)</f>
        <v>70.724999999999994</v>
      </c>
      <c r="G19" s="640">
        <f>SUM(G17:G18)</f>
        <v>1718</v>
      </c>
      <c r="H19" s="216">
        <f>SUM(H17:H18)</f>
        <v>1544.14294</v>
      </c>
      <c r="I19" s="640">
        <f>E19-G19</f>
        <v>-1618</v>
      </c>
      <c r="J19" s="215">
        <f>F19-H19</f>
        <v>-1473.41794</v>
      </c>
      <c r="K19" s="656">
        <f>J19-I19</f>
        <v>144.58205999999996</v>
      </c>
    </row>
    <row r="20" spans="1:12" x14ac:dyDescent="0.2">
      <c r="A20" s="175" t="s">
        <v>221</v>
      </c>
      <c r="B20" s="125"/>
      <c r="C20" s="125"/>
      <c r="D20" s="209" t="s">
        <v>222</v>
      </c>
      <c r="E20" s="639">
        <f>+příjmy!H49</f>
        <v>100</v>
      </c>
      <c r="F20" s="213">
        <f>+příjmy!O49</f>
        <v>90.733000000000004</v>
      </c>
      <c r="G20" s="641"/>
      <c r="H20" s="213"/>
      <c r="I20" s="641"/>
      <c r="J20" s="314"/>
      <c r="K20" s="655"/>
    </row>
    <row r="21" spans="1:12" x14ac:dyDescent="0.2">
      <c r="A21" s="174"/>
      <c r="B21" s="125"/>
      <c r="C21" s="125"/>
      <c r="D21" s="209" t="s">
        <v>223</v>
      </c>
      <c r="E21" s="639">
        <f>+příjmy!H48</f>
        <v>70</v>
      </c>
      <c r="F21" s="213">
        <f>+příjmy!O48</f>
        <v>63</v>
      </c>
      <c r="G21" s="641"/>
      <c r="H21" s="128"/>
      <c r="I21" s="641"/>
      <c r="J21" s="314"/>
      <c r="K21" s="655"/>
    </row>
    <row r="22" spans="1:12" x14ac:dyDescent="0.2">
      <c r="A22" s="267"/>
      <c r="B22" s="127"/>
      <c r="C22" s="22" t="s">
        <v>66</v>
      </c>
      <c r="D22" s="73"/>
      <c r="E22" s="642">
        <f>SUM(E20:E21)</f>
        <v>170</v>
      </c>
      <c r="F22" s="218">
        <f>SUM(F20:F21)</f>
        <v>153.733</v>
      </c>
      <c r="G22" s="640">
        <f>výdaje!L55</f>
        <v>341</v>
      </c>
      <c r="H22" s="215">
        <f>+výdaje!AA55</f>
        <v>273.68455999999998</v>
      </c>
      <c r="I22" s="642">
        <f>E22-G22</f>
        <v>-171</v>
      </c>
      <c r="J22" s="315">
        <f>F22-H22</f>
        <v>-119.95155999999997</v>
      </c>
      <c r="K22" s="658">
        <f>J22-I22</f>
        <v>51.048440000000028</v>
      </c>
    </row>
    <row r="23" spans="1:12" x14ac:dyDescent="0.2">
      <c r="A23" s="175" t="s">
        <v>224</v>
      </c>
      <c r="B23" s="125"/>
      <c r="C23" s="15"/>
      <c r="D23" s="209" t="s">
        <v>225</v>
      </c>
      <c r="E23" s="643">
        <f>příjmy!H30</f>
        <v>3200</v>
      </c>
      <c r="F23" s="219">
        <f>příjmy!O30</f>
        <v>3220.47435</v>
      </c>
      <c r="G23" s="643"/>
      <c r="H23" s="220"/>
      <c r="I23" s="649"/>
      <c r="J23" s="316"/>
      <c r="K23" s="659"/>
    </row>
    <row r="24" spans="1:12" x14ac:dyDescent="0.2">
      <c r="A24" s="174"/>
      <c r="B24" s="125"/>
      <c r="C24" s="15"/>
      <c r="D24" s="209" t="s">
        <v>226</v>
      </c>
      <c r="E24" s="643">
        <f>příjmy!H61</f>
        <v>1490</v>
      </c>
      <c r="F24" s="219">
        <f>příjmy!O61</f>
        <v>1569.3395</v>
      </c>
      <c r="G24" s="643"/>
      <c r="H24" s="220"/>
      <c r="I24" s="649"/>
      <c r="J24" s="316"/>
      <c r="K24" s="659"/>
    </row>
    <row r="25" spans="1:12" x14ac:dyDescent="0.2">
      <c r="A25" s="174"/>
      <c r="B25" s="125"/>
      <c r="C25" s="22" t="s">
        <v>66</v>
      </c>
      <c r="D25" s="209"/>
      <c r="E25" s="640">
        <f>SUM(E23:E24)</f>
        <v>4690</v>
      </c>
      <c r="F25" s="216">
        <f>SUM(F23:F24)</f>
        <v>4789.8138500000005</v>
      </c>
      <c r="G25" s="640">
        <f>+výdaje!L93</f>
        <v>7441</v>
      </c>
      <c r="H25" s="216">
        <f>+výdaje!AA93</f>
        <v>7466.0051200000007</v>
      </c>
      <c r="I25" s="640">
        <f>E25-G25</f>
        <v>-2751</v>
      </c>
      <c r="J25" s="215">
        <f>F25-H25</f>
        <v>-2676.1912700000003</v>
      </c>
      <c r="K25" s="656">
        <f>J25-I25</f>
        <v>74.808729999999741</v>
      </c>
    </row>
    <row r="26" spans="1:12" x14ac:dyDescent="0.2">
      <c r="A26" s="270" t="s">
        <v>38</v>
      </c>
      <c r="B26" s="129"/>
      <c r="C26" s="129"/>
      <c r="D26" s="222"/>
      <c r="E26" s="644"/>
      <c r="F26" s="221"/>
      <c r="G26" s="643"/>
      <c r="H26" s="220"/>
      <c r="I26" s="649"/>
      <c r="J26" s="316"/>
      <c r="K26" s="659"/>
    </row>
    <row r="27" spans="1:12" x14ac:dyDescent="0.2">
      <c r="A27" s="271"/>
      <c r="B27" s="127"/>
      <c r="C27" s="127"/>
      <c r="D27" s="89"/>
      <c r="E27" s="645">
        <f>příjmy!H53</f>
        <v>390</v>
      </c>
      <c r="F27" s="218">
        <f>příjmy!O53</f>
        <v>346.048</v>
      </c>
      <c r="G27" s="640">
        <f>+výdaje!L83</f>
        <v>950</v>
      </c>
      <c r="H27" s="215">
        <f>+výdaje!AA83</f>
        <v>694.56</v>
      </c>
      <c r="I27" s="642">
        <f>E27-G27</f>
        <v>-560</v>
      </c>
      <c r="J27" s="315">
        <f>F27-H27</f>
        <v>-348.51199999999994</v>
      </c>
      <c r="K27" s="658">
        <f>J27-I27</f>
        <v>211.48800000000006</v>
      </c>
    </row>
    <row r="28" spans="1:12" x14ac:dyDescent="0.2">
      <c r="A28" s="270" t="s">
        <v>227</v>
      </c>
      <c r="B28" s="129"/>
      <c r="C28" s="129"/>
      <c r="D28" s="223"/>
      <c r="E28" s="646"/>
      <c r="F28" s="224"/>
      <c r="G28" s="652"/>
      <c r="H28" s="225"/>
      <c r="I28" s="650"/>
      <c r="J28" s="317"/>
      <c r="K28" s="660"/>
    </row>
    <row r="29" spans="1:12" x14ac:dyDescent="0.2">
      <c r="A29" s="271"/>
      <c r="B29" s="127"/>
      <c r="C29" s="22" t="s">
        <v>66</v>
      </c>
      <c r="D29" s="73"/>
      <c r="E29" s="645">
        <f>+příjmy!H56</f>
        <v>30</v>
      </c>
      <c r="F29" s="218">
        <f>+příjmy!O56</f>
        <v>46.835000000000001</v>
      </c>
      <c r="G29" s="640">
        <f>+výdaje!J89</f>
        <v>405</v>
      </c>
      <c r="H29" s="215">
        <f>+výdaje!Y89</f>
        <v>412.64098999999999</v>
      </c>
      <c r="I29" s="642">
        <f>E29-G29</f>
        <v>-375</v>
      </c>
      <c r="J29" s="315">
        <f>F29-H29</f>
        <v>-365.80599000000001</v>
      </c>
      <c r="K29" s="658">
        <f>J29-I29</f>
        <v>9.1940099999999916</v>
      </c>
    </row>
    <row r="30" spans="1:12" x14ac:dyDescent="0.2">
      <c r="A30" s="270" t="s">
        <v>39</v>
      </c>
      <c r="B30" s="129"/>
      <c r="C30" s="129"/>
      <c r="D30" s="223" t="s">
        <v>274</v>
      </c>
      <c r="E30" s="647">
        <f>příjmy!H146+příjmy!H122</f>
        <v>3986.431</v>
      </c>
      <c r="F30" s="282">
        <f>příjmy!O146+příjmy!O122</f>
        <v>3986.431</v>
      </c>
      <c r="G30" s="652"/>
      <c r="H30" s="225">
        <f>výdaje!AA107</f>
        <v>6564.0160999999998</v>
      </c>
      <c r="I30" s="650"/>
      <c r="J30" s="317"/>
      <c r="K30" s="660"/>
    </row>
    <row r="31" spans="1:12" x14ac:dyDescent="0.2">
      <c r="A31" s="175"/>
      <c r="B31" s="125"/>
      <c r="C31" s="125"/>
      <c r="D31" s="209" t="s">
        <v>425</v>
      </c>
      <c r="E31" s="648">
        <f>příjmy!H135</f>
        <v>406</v>
      </c>
      <c r="F31" s="283">
        <f>příjmy!O135</f>
        <v>406.303</v>
      </c>
      <c r="G31" s="643"/>
      <c r="H31" s="220"/>
      <c r="I31" s="649"/>
      <c r="J31" s="316"/>
      <c r="K31" s="659"/>
    </row>
    <row r="32" spans="1:12" x14ac:dyDescent="0.2">
      <c r="A32" s="175"/>
      <c r="B32" s="125"/>
      <c r="C32" s="125"/>
      <c r="D32" s="209" t="s">
        <v>275</v>
      </c>
      <c r="E32" s="648">
        <f>příjmy!H57</f>
        <v>1174</v>
      </c>
      <c r="F32" s="283">
        <f>příjmy!O57</f>
        <v>1290.3736699999999</v>
      </c>
      <c r="G32" s="643"/>
      <c r="H32" s="220"/>
      <c r="I32" s="649"/>
      <c r="J32" s="316"/>
      <c r="K32" s="659"/>
      <c r="L32" s="114"/>
    </row>
    <row r="33" spans="1:12" x14ac:dyDescent="0.2">
      <c r="A33" s="272"/>
      <c r="B33" s="127"/>
      <c r="C33" s="22" t="s">
        <v>66</v>
      </c>
      <c r="D33" s="73"/>
      <c r="E33" s="645">
        <f>SUM(E30:E32)</f>
        <v>5566.4310000000005</v>
      </c>
      <c r="F33" s="218">
        <f>SUM(F30:F32)</f>
        <v>5683.1076700000003</v>
      </c>
      <c r="G33" s="640">
        <f>+výdaje!L107</f>
        <v>6647.4310000000005</v>
      </c>
      <c r="H33" s="215">
        <f>+výdaje!AA107</f>
        <v>6564.0160999999998</v>
      </c>
      <c r="I33" s="651">
        <f>E33-G33</f>
        <v>-1081</v>
      </c>
      <c r="J33" s="315">
        <f>F33-H33</f>
        <v>-880.9084299999995</v>
      </c>
      <c r="K33" s="658">
        <f>J33-I33</f>
        <v>200.0915700000005</v>
      </c>
      <c r="L33" s="114"/>
    </row>
    <row r="34" spans="1:12" x14ac:dyDescent="0.2">
      <c r="A34" s="175" t="s">
        <v>284</v>
      </c>
      <c r="B34" s="125"/>
      <c r="C34" s="125"/>
      <c r="D34" s="209" t="s">
        <v>286</v>
      </c>
      <c r="E34" s="639">
        <f>+příjmy!H87</f>
        <v>100</v>
      </c>
      <c r="F34" s="213">
        <f>+příjmy!O87</f>
        <v>3.5</v>
      </c>
      <c r="G34" s="639">
        <f>+výdaje!L112</f>
        <v>2323</v>
      </c>
      <c r="H34" s="213">
        <f>+výdaje!AA112</f>
        <v>1619.14121</v>
      </c>
      <c r="I34" s="641"/>
      <c r="J34" s="213"/>
      <c r="K34" s="655"/>
      <c r="L34" s="114"/>
    </row>
    <row r="35" spans="1:12" x14ac:dyDescent="0.2">
      <c r="A35" s="175"/>
      <c r="B35" s="125"/>
      <c r="C35" s="125"/>
      <c r="D35" s="209" t="s">
        <v>285</v>
      </c>
      <c r="E35" s="648">
        <f>+příjmy!H133</f>
        <v>125</v>
      </c>
      <c r="F35" s="283">
        <f>+příjmy!O133</f>
        <v>68.114999999999995</v>
      </c>
      <c r="G35" s="641"/>
      <c r="H35" s="128"/>
      <c r="I35" s="641"/>
      <c r="J35" s="128"/>
      <c r="K35" s="655"/>
      <c r="L35" s="114"/>
    </row>
    <row r="36" spans="1:12" x14ac:dyDescent="0.2">
      <c r="A36" s="269"/>
      <c r="B36" s="127"/>
      <c r="C36" s="22" t="s">
        <v>66</v>
      </c>
      <c r="D36" s="214"/>
      <c r="E36" s="640">
        <f>SUM(E34:E35)</f>
        <v>225</v>
      </c>
      <c r="F36" s="216">
        <f>SUM(F34:F35)</f>
        <v>71.614999999999995</v>
      </c>
      <c r="G36" s="640">
        <f>SUM(G34:G35)</f>
        <v>2323</v>
      </c>
      <c r="H36" s="216">
        <f>SUM(H34:H35)</f>
        <v>1619.14121</v>
      </c>
      <c r="I36" s="640">
        <f>E36-G36</f>
        <v>-2098</v>
      </c>
      <c r="J36" s="215">
        <f>F36-H36</f>
        <v>-1547.52621</v>
      </c>
      <c r="K36" s="656">
        <f>J36-I36</f>
        <v>550.47379000000001</v>
      </c>
      <c r="L36" s="114"/>
    </row>
    <row r="37" spans="1:12" x14ac:dyDescent="0.2">
      <c r="L37" s="114"/>
    </row>
  </sheetData>
  <phoneticPr fontId="6" type="noConversion"/>
  <pageMargins left="0.78740157499999996" right="0.17" top="0.984251969" bottom="0.984251969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workbookViewId="0">
      <selection activeCell="B4" sqref="B4"/>
    </sheetView>
  </sheetViews>
  <sheetFormatPr defaultRowHeight="12.75" x14ac:dyDescent="0.2"/>
  <cols>
    <col min="1" max="1" width="3.28515625" style="420" customWidth="1"/>
    <col min="2" max="2" width="28.7109375" style="501" customWidth="1"/>
    <col min="3" max="3" width="4.140625" style="501" customWidth="1"/>
    <col min="4" max="4" width="9.42578125" style="420" customWidth="1"/>
    <col min="5" max="5" width="11.85546875" style="420" customWidth="1"/>
    <col min="6" max="6" width="11.140625" style="420" customWidth="1"/>
    <col min="7" max="7" width="11" style="420" customWidth="1"/>
    <col min="8" max="8" width="9.140625" style="420" customWidth="1"/>
    <col min="9" max="9" width="9" style="420" customWidth="1"/>
    <col min="10" max="10" width="7.28515625" style="420" customWidth="1"/>
    <col min="11" max="11" width="8.42578125" style="420" bestFit="1" customWidth="1"/>
    <col min="12" max="13" width="6.42578125" style="336" customWidth="1"/>
    <col min="14" max="15" width="7.42578125" style="336" customWidth="1"/>
    <col min="16" max="18" width="6.85546875" style="336" customWidth="1"/>
    <col min="19" max="19" width="7" style="336" customWidth="1"/>
    <col min="20" max="20" width="6.5703125" style="336" bestFit="1" customWidth="1"/>
    <col min="21" max="21" width="13.140625" style="420" customWidth="1"/>
    <col min="22" max="22" width="3.5703125" style="420" customWidth="1"/>
    <col min="23" max="25" width="9.140625" style="420"/>
    <col min="26" max="26" width="6.42578125" style="420" customWidth="1"/>
    <col min="27" max="16384" width="9.140625" style="420"/>
  </cols>
  <sheetData>
    <row r="1" spans="1:27" ht="18" x14ac:dyDescent="0.25">
      <c r="B1" s="499" t="s">
        <v>506</v>
      </c>
      <c r="C1" s="499"/>
      <c r="D1" s="500"/>
    </row>
    <row r="2" spans="1:27" ht="13.5" thickBot="1" x14ac:dyDescent="0.25">
      <c r="B2" s="501" t="s">
        <v>568</v>
      </c>
    </row>
    <row r="3" spans="1:27" s="544" customFormat="1" ht="82.5" customHeight="1" x14ac:dyDescent="0.2">
      <c r="B3" s="545" t="s">
        <v>507</v>
      </c>
      <c r="C3" s="546" t="s">
        <v>569</v>
      </c>
      <c r="D3" s="547" t="s">
        <v>508</v>
      </c>
      <c r="E3" s="547" t="s">
        <v>509</v>
      </c>
      <c r="F3" s="547" t="s">
        <v>510</v>
      </c>
      <c r="G3" s="547" t="s">
        <v>570</v>
      </c>
      <c r="H3" s="547" t="s">
        <v>571</v>
      </c>
      <c r="I3" s="547" t="s">
        <v>572</v>
      </c>
      <c r="J3" s="547" t="s">
        <v>511</v>
      </c>
      <c r="K3" s="547" t="s">
        <v>512</v>
      </c>
      <c r="L3" s="669" t="s">
        <v>513</v>
      </c>
      <c r="M3" s="670"/>
      <c r="N3" s="670"/>
      <c r="O3" s="670"/>
      <c r="P3" s="670"/>
      <c r="Q3" s="670"/>
      <c r="R3" s="670"/>
      <c r="S3" s="670"/>
      <c r="T3" s="671"/>
      <c r="U3" s="547" t="s">
        <v>361</v>
      </c>
      <c r="V3" s="548"/>
    </row>
    <row r="4" spans="1:27" s="500" customFormat="1" ht="32.25" customHeight="1" thickBot="1" x14ac:dyDescent="0.25">
      <c r="B4" s="502"/>
      <c r="C4" s="503"/>
      <c r="D4" s="504"/>
      <c r="E4" s="504" t="s">
        <v>514</v>
      </c>
      <c r="F4" s="504"/>
      <c r="G4" s="504"/>
      <c r="H4" s="504"/>
      <c r="I4" s="504"/>
      <c r="J4" s="504" t="s">
        <v>219</v>
      </c>
      <c r="K4" s="504"/>
      <c r="L4" s="505" t="s">
        <v>515</v>
      </c>
      <c r="M4" s="505">
        <v>2016</v>
      </c>
      <c r="N4" s="505">
        <v>2017</v>
      </c>
      <c r="O4" s="505">
        <v>2018</v>
      </c>
      <c r="P4" s="505">
        <v>2019</v>
      </c>
      <c r="Q4" s="505">
        <v>2020</v>
      </c>
      <c r="R4" s="505">
        <v>2021</v>
      </c>
      <c r="S4" s="505">
        <v>2022</v>
      </c>
      <c r="T4" s="505">
        <v>2023</v>
      </c>
      <c r="U4" s="506"/>
      <c r="V4" s="507"/>
    </row>
    <row r="5" spans="1:27" ht="13.5" thickBot="1" x14ac:dyDescent="0.25"/>
    <row r="6" spans="1:27" ht="30.75" customHeight="1" x14ac:dyDescent="0.2">
      <c r="A6" s="572">
        <v>1</v>
      </c>
      <c r="B6" s="560" t="s">
        <v>516</v>
      </c>
      <c r="C6" s="593" t="s">
        <v>517</v>
      </c>
      <c r="D6" s="589" t="s">
        <v>518</v>
      </c>
      <c r="E6" s="566"/>
      <c r="F6" s="549" t="s">
        <v>519</v>
      </c>
      <c r="G6" s="508">
        <v>27738</v>
      </c>
      <c r="H6" s="508"/>
      <c r="I6" s="508">
        <f>G6-J6</f>
        <v>15338</v>
      </c>
      <c r="J6" s="508">
        <v>12400</v>
      </c>
      <c r="K6" s="509" t="s">
        <v>573</v>
      </c>
      <c r="L6" s="508">
        <v>118</v>
      </c>
      <c r="M6" s="508">
        <v>0</v>
      </c>
      <c r="N6" s="508">
        <v>252</v>
      </c>
      <c r="O6" s="508">
        <v>93</v>
      </c>
      <c r="P6" s="508">
        <v>-6359</v>
      </c>
      <c r="Q6" s="508">
        <v>8006</v>
      </c>
      <c r="R6" s="508">
        <v>9228</v>
      </c>
      <c r="S6" s="508">
        <f>I6-L6-M6-N6-O6-P6-Q6-R6</f>
        <v>4000</v>
      </c>
      <c r="T6" s="508"/>
      <c r="U6" s="550"/>
      <c r="V6" s="510" t="s">
        <v>520</v>
      </c>
      <c r="W6" s="336"/>
      <c r="X6" s="336"/>
      <c r="Y6" s="336"/>
      <c r="Z6" s="336"/>
      <c r="AA6" s="336"/>
    </row>
    <row r="7" spans="1:27" ht="30.75" customHeight="1" x14ac:dyDescent="0.2">
      <c r="A7" s="572">
        <v>2</v>
      </c>
      <c r="B7" s="561" t="s">
        <v>521</v>
      </c>
      <c r="C7" s="594" t="s">
        <v>517</v>
      </c>
      <c r="D7" s="590" t="s">
        <v>518</v>
      </c>
      <c r="E7" s="567"/>
      <c r="F7" s="551" t="s">
        <v>522</v>
      </c>
      <c r="G7" s="511"/>
      <c r="H7" s="511"/>
      <c r="I7" s="511"/>
      <c r="J7" s="511"/>
      <c r="K7" s="512"/>
      <c r="L7" s="511">
        <f>7763+364+425</f>
        <v>8552</v>
      </c>
      <c r="M7" s="511"/>
      <c r="N7" s="511"/>
      <c r="O7" s="511"/>
      <c r="P7" s="511"/>
      <c r="Q7" s="511">
        <v>200</v>
      </c>
      <c r="R7" s="511">
        <v>850</v>
      </c>
      <c r="S7" s="511">
        <v>350</v>
      </c>
      <c r="T7" s="511"/>
      <c r="U7" s="552"/>
      <c r="V7" s="513"/>
      <c r="W7" s="336"/>
      <c r="X7" s="336"/>
      <c r="Y7" s="336"/>
      <c r="Z7" s="336"/>
      <c r="AA7" s="336"/>
    </row>
    <row r="8" spans="1:27" ht="30.75" customHeight="1" x14ac:dyDescent="0.2">
      <c r="A8" s="572">
        <v>3</v>
      </c>
      <c r="B8" s="562" t="s">
        <v>523</v>
      </c>
      <c r="C8" s="594" t="s">
        <v>517</v>
      </c>
      <c r="D8" s="590" t="s">
        <v>518</v>
      </c>
      <c r="E8" s="568"/>
      <c r="F8" s="551" t="s">
        <v>524</v>
      </c>
      <c r="G8" s="511"/>
      <c r="H8" s="511"/>
      <c r="I8" s="511"/>
      <c r="J8" s="511"/>
      <c r="K8" s="512" t="s">
        <v>574</v>
      </c>
      <c r="L8" s="511"/>
      <c r="M8" s="511"/>
      <c r="N8" s="511">
        <v>0</v>
      </c>
      <c r="O8" s="511">
        <v>4</v>
      </c>
      <c r="P8" s="511">
        <v>0</v>
      </c>
      <c r="Q8" s="511">
        <v>0</v>
      </c>
      <c r="R8" s="511">
        <v>100</v>
      </c>
      <c r="S8" s="511">
        <v>100</v>
      </c>
      <c r="T8" s="511"/>
      <c r="U8" s="552"/>
      <c r="V8" s="513" t="s">
        <v>520</v>
      </c>
    </row>
    <row r="9" spans="1:27" ht="30.75" customHeight="1" x14ac:dyDescent="0.2">
      <c r="A9" s="572">
        <v>4</v>
      </c>
      <c r="B9" s="563" t="s">
        <v>525</v>
      </c>
      <c r="C9" s="595" t="s">
        <v>526</v>
      </c>
      <c r="D9" s="590" t="s">
        <v>518</v>
      </c>
      <c r="E9" s="569" t="s">
        <v>527</v>
      </c>
      <c r="F9" s="553" t="s">
        <v>528</v>
      </c>
      <c r="G9" s="511">
        <f>18586+1500+600+478+24583+1800</f>
        <v>47547</v>
      </c>
      <c r="H9" s="511"/>
      <c r="I9" s="511">
        <f>G9-J9</f>
        <v>26922</v>
      </c>
      <c r="J9" s="511">
        <f>7966+32+12627</f>
        <v>20625</v>
      </c>
      <c r="K9" s="512" t="s">
        <v>529</v>
      </c>
      <c r="L9" s="511"/>
      <c r="M9" s="511"/>
      <c r="N9" s="511"/>
      <c r="O9" s="511"/>
      <c r="P9" s="511">
        <v>478</v>
      </c>
      <c r="Q9" s="511">
        <v>12187</v>
      </c>
      <c r="R9" s="511">
        <v>13744</v>
      </c>
      <c r="S9" s="511">
        <v>600</v>
      </c>
      <c r="T9" s="511"/>
      <c r="U9" s="552" t="s">
        <v>530</v>
      </c>
      <c r="V9" s="513" t="s">
        <v>520</v>
      </c>
    </row>
    <row r="10" spans="1:27" ht="30.75" customHeight="1" x14ac:dyDescent="0.2">
      <c r="A10" s="572">
        <v>5</v>
      </c>
      <c r="B10" s="564" t="s">
        <v>588</v>
      </c>
      <c r="C10" s="594" t="s">
        <v>526</v>
      </c>
      <c r="D10" s="590" t="s">
        <v>518</v>
      </c>
      <c r="E10" s="569" t="s">
        <v>527</v>
      </c>
      <c r="F10" s="551" t="s">
        <v>519</v>
      </c>
      <c r="G10" s="511">
        <v>11000</v>
      </c>
      <c r="H10" s="511"/>
      <c r="I10" s="511">
        <v>11000</v>
      </c>
      <c r="J10" s="511"/>
      <c r="K10" s="588">
        <v>2022</v>
      </c>
      <c r="L10" s="511"/>
      <c r="M10" s="511"/>
      <c r="N10" s="511"/>
      <c r="O10" s="511"/>
      <c r="P10" s="511"/>
      <c r="Q10" s="511"/>
      <c r="R10" s="511">
        <v>11000</v>
      </c>
      <c r="S10" s="511"/>
      <c r="T10" s="511"/>
      <c r="U10" s="552" t="s">
        <v>530</v>
      </c>
      <c r="V10" s="513" t="s">
        <v>520</v>
      </c>
    </row>
    <row r="11" spans="1:27" ht="30.75" customHeight="1" x14ac:dyDescent="0.2">
      <c r="A11" s="572">
        <v>6</v>
      </c>
      <c r="B11" s="562" t="s">
        <v>531</v>
      </c>
      <c r="C11" s="596" t="s">
        <v>517</v>
      </c>
      <c r="D11" s="591" t="s">
        <v>518</v>
      </c>
      <c r="E11" s="570"/>
      <c r="F11" s="551" t="s">
        <v>532</v>
      </c>
      <c r="G11" s="511">
        <v>22848</v>
      </c>
      <c r="H11" s="511"/>
      <c r="I11" s="511">
        <f>G11-J11</f>
        <v>20664</v>
      </c>
      <c r="J11" s="511">
        <f>847+1053+284</f>
        <v>2184</v>
      </c>
      <c r="K11" s="512" t="s">
        <v>575</v>
      </c>
      <c r="L11" s="511"/>
      <c r="M11" s="511"/>
      <c r="N11" s="511"/>
      <c r="O11" s="511">
        <f>1616+2841</f>
        <v>4457</v>
      </c>
      <c r="P11" s="511">
        <v>2462</v>
      </c>
      <c r="Q11" s="511">
        <v>2462</v>
      </c>
      <c r="R11" s="511">
        <v>2462</v>
      </c>
      <c r="S11" s="511">
        <v>2462</v>
      </c>
      <c r="T11" s="511">
        <v>2462</v>
      </c>
      <c r="U11" s="554"/>
      <c r="V11" s="513" t="s">
        <v>533</v>
      </c>
    </row>
    <row r="12" spans="1:27" ht="30.75" customHeight="1" x14ac:dyDescent="0.2">
      <c r="A12" s="572">
        <v>7</v>
      </c>
      <c r="B12" s="562" t="s">
        <v>378</v>
      </c>
      <c r="C12" s="596" t="s">
        <v>517</v>
      </c>
      <c r="D12" s="591"/>
      <c r="E12" s="570"/>
      <c r="F12" s="551" t="s">
        <v>534</v>
      </c>
      <c r="G12" s="511">
        <v>3660</v>
      </c>
      <c r="H12" s="511"/>
      <c r="I12" s="511">
        <v>3660</v>
      </c>
      <c r="J12" s="511"/>
      <c r="K12" s="512" t="s">
        <v>576</v>
      </c>
      <c r="L12" s="511"/>
      <c r="M12" s="511"/>
      <c r="N12" s="511"/>
      <c r="O12" s="511"/>
      <c r="P12" s="511"/>
      <c r="Q12" s="511"/>
      <c r="R12" s="511">
        <v>1830</v>
      </c>
      <c r="S12" s="511">
        <f>I12-R12</f>
        <v>1830</v>
      </c>
      <c r="T12" s="511"/>
      <c r="U12" s="555" t="s">
        <v>535</v>
      </c>
      <c r="V12" s="513" t="s">
        <v>533</v>
      </c>
    </row>
    <row r="13" spans="1:27" ht="30.75" customHeight="1" x14ac:dyDescent="0.2">
      <c r="A13" s="572">
        <v>8</v>
      </c>
      <c r="B13" s="563" t="s">
        <v>306</v>
      </c>
      <c r="C13" s="595" t="s">
        <v>526</v>
      </c>
      <c r="D13" s="590" t="s">
        <v>518</v>
      </c>
      <c r="E13" s="569" t="s">
        <v>536</v>
      </c>
      <c r="F13" s="553" t="s">
        <v>594</v>
      </c>
      <c r="G13" s="511">
        <v>18700</v>
      </c>
      <c r="H13" s="511">
        <f>11170+2735</f>
        <v>13905</v>
      </c>
      <c r="I13" s="511">
        <f>G13-H13</f>
        <v>4795</v>
      </c>
      <c r="J13" s="511"/>
      <c r="K13" s="512" t="s">
        <v>593</v>
      </c>
      <c r="L13" s="511"/>
      <c r="M13" s="511"/>
      <c r="N13" s="511"/>
      <c r="O13" s="511"/>
      <c r="P13" s="511">
        <v>4885</v>
      </c>
      <c r="Q13" s="511">
        <v>9815</v>
      </c>
      <c r="R13" s="511">
        <v>-11905</v>
      </c>
      <c r="S13" s="511">
        <f>I13-P13-Q13-R13</f>
        <v>2000</v>
      </c>
      <c r="T13" s="511"/>
      <c r="U13" s="556" t="s">
        <v>596</v>
      </c>
      <c r="V13" s="513" t="s">
        <v>537</v>
      </c>
    </row>
    <row r="14" spans="1:27" ht="30.75" customHeight="1" x14ac:dyDescent="0.2">
      <c r="A14" s="572">
        <v>9</v>
      </c>
      <c r="B14" s="563" t="s">
        <v>337</v>
      </c>
      <c r="C14" s="595" t="s">
        <v>517</v>
      </c>
      <c r="D14" s="590" t="s">
        <v>518</v>
      </c>
      <c r="E14" s="569" t="s">
        <v>591</v>
      </c>
      <c r="F14" s="551" t="s">
        <v>594</v>
      </c>
      <c r="G14" s="511">
        <f>74+983</f>
        <v>1057</v>
      </c>
      <c r="H14" s="511">
        <f>663-31</f>
        <v>632</v>
      </c>
      <c r="I14" s="511">
        <f>G14-H14</f>
        <v>425</v>
      </c>
      <c r="J14" s="511"/>
      <c r="K14" s="512" t="s">
        <v>592</v>
      </c>
      <c r="L14" s="511"/>
      <c r="M14" s="511"/>
      <c r="N14" s="511"/>
      <c r="O14" s="511"/>
      <c r="P14" s="511"/>
      <c r="Q14" s="511">
        <v>74</v>
      </c>
      <c r="R14" s="511">
        <f>983-663</f>
        <v>320</v>
      </c>
      <c r="S14" s="511">
        <v>31</v>
      </c>
      <c r="T14" s="511"/>
      <c r="U14" s="556" t="s">
        <v>595</v>
      </c>
      <c r="V14" s="513"/>
    </row>
    <row r="15" spans="1:27" ht="30.75" customHeight="1" x14ac:dyDescent="0.2">
      <c r="A15" s="572">
        <v>10</v>
      </c>
      <c r="B15" s="563" t="s">
        <v>577</v>
      </c>
      <c r="C15" s="595" t="s">
        <v>517</v>
      </c>
      <c r="D15" s="590" t="s">
        <v>540</v>
      </c>
      <c r="E15" s="569"/>
      <c r="F15" s="551" t="s">
        <v>541</v>
      </c>
      <c r="G15" s="511">
        <v>50000</v>
      </c>
      <c r="H15" s="511"/>
      <c r="I15" s="511"/>
      <c r="J15" s="511"/>
      <c r="K15" s="512" t="s">
        <v>542</v>
      </c>
      <c r="L15" s="511"/>
      <c r="M15" s="511"/>
      <c r="N15" s="511"/>
      <c r="O15" s="511"/>
      <c r="P15" s="511"/>
      <c r="Q15" s="511">
        <v>2500</v>
      </c>
      <c r="R15" s="511"/>
      <c r="S15" s="511">
        <v>5000</v>
      </c>
      <c r="T15" s="511"/>
      <c r="U15" s="552"/>
      <c r="V15" s="513"/>
    </row>
    <row r="16" spans="1:27" ht="30.75" customHeight="1" x14ac:dyDescent="0.2">
      <c r="A16" s="572">
        <v>11</v>
      </c>
      <c r="B16" s="563" t="s">
        <v>578</v>
      </c>
      <c r="C16" s="595" t="s">
        <v>517</v>
      </c>
      <c r="D16" s="591" t="s">
        <v>518</v>
      </c>
      <c r="E16" s="569"/>
      <c r="F16" s="551" t="s">
        <v>541</v>
      </c>
      <c r="G16" s="511">
        <v>45000</v>
      </c>
      <c r="H16" s="511"/>
      <c r="I16" s="511"/>
      <c r="J16" s="511"/>
      <c r="K16" s="512" t="s">
        <v>579</v>
      </c>
      <c r="L16" s="511"/>
      <c r="M16" s="511"/>
      <c r="N16" s="511"/>
      <c r="O16" s="511"/>
      <c r="P16" s="511"/>
      <c r="Q16" s="511"/>
      <c r="R16" s="511">
        <v>695</v>
      </c>
      <c r="S16" s="511">
        <v>5380</v>
      </c>
      <c r="T16" s="511"/>
      <c r="U16" s="552"/>
      <c r="V16" s="513" t="s">
        <v>520</v>
      </c>
    </row>
    <row r="17" spans="1:22" ht="36" customHeight="1" x14ac:dyDescent="0.2">
      <c r="A17" s="572">
        <v>12</v>
      </c>
      <c r="B17" s="563" t="s">
        <v>580</v>
      </c>
      <c r="C17" s="595" t="s">
        <v>517</v>
      </c>
      <c r="D17" s="591" t="s">
        <v>518</v>
      </c>
      <c r="E17" s="569"/>
      <c r="F17" s="551" t="s">
        <v>581</v>
      </c>
      <c r="G17" s="511">
        <v>34000</v>
      </c>
      <c r="H17" s="511"/>
      <c r="I17" s="511"/>
      <c r="J17" s="511"/>
      <c r="K17" s="512" t="s">
        <v>579</v>
      </c>
      <c r="L17" s="511"/>
      <c r="M17" s="511"/>
      <c r="N17" s="511"/>
      <c r="O17" s="511"/>
      <c r="P17" s="511"/>
      <c r="Q17" s="511"/>
      <c r="R17" s="511">
        <v>587</v>
      </c>
      <c r="S17" s="511">
        <v>700</v>
      </c>
      <c r="T17" s="511"/>
      <c r="U17" s="552"/>
      <c r="V17" s="513" t="s">
        <v>520</v>
      </c>
    </row>
    <row r="18" spans="1:22" ht="30.75" customHeight="1" x14ac:dyDescent="0.2">
      <c r="A18" s="572">
        <v>13</v>
      </c>
      <c r="B18" s="563" t="s">
        <v>543</v>
      </c>
      <c r="C18" s="597" t="s">
        <v>544</v>
      </c>
      <c r="D18" s="590" t="s">
        <v>518</v>
      </c>
      <c r="E18" s="569"/>
      <c r="F18" s="553" t="s">
        <v>519</v>
      </c>
      <c r="G18" s="511">
        <f>Q18+R18+S18</f>
        <v>5411</v>
      </c>
      <c r="H18" s="511"/>
      <c r="I18" s="511"/>
      <c r="J18" s="511"/>
      <c r="K18" s="512" t="s">
        <v>582</v>
      </c>
      <c r="L18" s="511"/>
      <c r="M18" s="511"/>
      <c r="N18" s="511"/>
      <c r="O18" s="511"/>
      <c r="P18" s="511"/>
      <c r="Q18" s="511">
        <v>2967</v>
      </c>
      <c r="R18" s="511">
        <v>144</v>
      </c>
      <c r="S18" s="511">
        <v>2300</v>
      </c>
      <c r="T18" s="511"/>
      <c r="U18" s="556"/>
      <c r="V18" s="513" t="s">
        <v>545</v>
      </c>
    </row>
    <row r="19" spans="1:22" ht="30.75" customHeight="1" thickBot="1" x14ac:dyDescent="0.25">
      <c r="A19" s="572">
        <v>14</v>
      </c>
      <c r="B19" s="563" t="s">
        <v>320</v>
      </c>
      <c r="C19" s="597" t="s">
        <v>544</v>
      </c>
      <c r="D19" s="592" t="s">
        <v>518</v>
      </c>
      <c r="E19" s="569" t="s">
        <v>583</v>
      </c>
      <c r="F19" s="553" t="s">
        <v>584</v>
      </c>
      <c r="G19" s="511">
        <v>17000</v>
      </c>
      <c r="H19" s="511"/>
      <c r="I19" s="511"/>
      <c r="J19" s="511"/>
      <c r="K19" s="512" t="s">
        <v>585</v>
      </c>
      <c r="L19" s="511"/>
      <c r="M19" s="511"/>
      <c r="N19" s="511"/>
      <c r="O19" s="511"/>
      <c r="P19" s="511">
        <v>296</v>
      </c>
      <c r="Q19" s="511">
        <v>0</v>
      </c>
      <c r="R19" s="511">
        <v>51</v>
      </c>
      <c r="S19" s="511">
        <v>7650</v>
      </c>
      <c r="T19" s="511">
        <v>8500</v>
      </c>
      <c r="U19" s="556"/>
      <c r="V19" s="513" t="s">
        <v>545</v>
      </c>
    </row>
    <row r="20" spans="1:22" s="500" customFormat="1" ht="17.25" customHeight="1" thickBot="1" x14ac:dyDescent="0.25">
      <c r="B20" s="514" t="s">
        <v>546</v>
      </c>
      <c r="C20" s="515"/>
      <c r="D20" s="516"/>
      <c r="E20" s="516"/>
      <c r="F20" s="516"/>
      <c r="G20" s="517">
        <f t="shared" ref="G20:T20" si="0">SUM(G5:G19)</f>
        <v>283961</v>
      </c>
      <c r="H20" s="517">
        <f t="shared" si="0"/>
        <v>14537</v>
      </c>
      <c r="I20" s="517">
        <f t="shared" si="0"/>
        <v>82804</v>
      </c>
      <c r="J20" s="517">
        <f t="shared" si="0"/>
        <v>35209</v>
      </c>
      <c r="K20" s="517">
        <f t="shared" si="0"/>
        <v>2022</v>
      </c>
      <c r="L20" s="517">
        <f t="shared" si="0"/>
        <v>8670</v>
      </c>
      <c r="M20" s="517">
        <f t="shared" si="0"/>
        <v>0</v>
      </c>
      <c r="N20" s="517">
        <f t="shared" si="0"/>
        <v>252</v>
      </c>
      <c r="O20" s="517">
        <f t="shared" si="0"/>
        <v>4554</v>
      </c>
      <c r="P20" s="517">
        <f t="shared" si="0"/>
        <v>1762</v>
      </c>
      <c r="Q20" s="517">
        <f t="shared" si="0"/>
        <v>38211</v>
      </c>
      <c r="R20" s="517">
        <f t="shared" si="0"/>
        <v>29106</v>
      </c>
      <c r="S20" s="517">
        <f t="shared" si="0"/>
        <v>32403</v>
      </c>
      <c r="T20" s="517">
        <f t="shared" si="0"/>
        <v>10962</v>
      </c>
      <c r="U20" s="557"/>
      <c r="V20" s="518"/>
    </row>
    <row r="21" spans="1:22" s="500" customFormat="1" ht="17.25" customHeight="1" thickBot="1" x14ac:dyDescent="0.25">
      <c r="B21" s="519"/>
      <c r="C21" s="519"/>
      <c r="D21" s="519"/>
      <c r="E21" s="519"/>
      <c r="F21" s="519"/>
      <c r="G21" s="520"/>
      <c r="H21" s="520"/>
      <c r="I21" s="520"/>
      <c r="J21" s="520"/>
      <c r="K21" s="520"/>
      <c r="L21" s="520"/>
      <c r="M21" s="520"/>
      <c r="N21" s="520"/>
      <c r="O21" s="520"/>
      <c r="P21" s="520"/>
      <c r="Q21" s="520"/>
      <c r="R21" s="520"/>
      <c r="S21" s="520"/>
      <c r="T21" s="520"/>
      <c r="U21" s="558"/>
      <c r="V21" s="519"/>
    </row>
    <row r="22" spans="1:22" ht="26.25" customHeight="1" thickBot="1" x14ac:dyDescent="0.25">
      <c r="B22" s="521" t="s">
        <v>547</v>
      </c>
      <c r="C22" s="522"/>
      <c r="D22" s="523"/>
      <c r="E22" s="523"/>
      <c r="F22" s="524" t="s">
        <v>209</v>
      </c>
      <c r="G22" s="524" t="s">
        <v>548</v>
      </c>
      <c r="H22" s="524" t="s">
        <v>549</v>
      </c>
      <c r="I22" s="524" t="s">
        <v>550</v>
      </c>
      <c r="J22" s="525"/>
      <c r="K22" s="525"/>
      <c r="L22" s="526">
        <v>2015</v>
      </c>
      <c r="M22" s="526">
        <v>2016</v>
      </c>
      <c r="N22" s="526">
        <v>2017</v>
      </c>
      <c r="O22" s="526">
        <v>2018</v>
      </c>
      <c r="P22" s="526">
        <v>2019</v>
      </c>
      <c r="Q22" s="526">
        <v>2020</v>
      </c>
      <c r="R22" s="526">
        <v>2021</v>
      </c>
      <c r="S22" s="526">
        <v>2022</v>
      </c>
      <c r="T22" s="526">
        <v>2023</v>
      </c>
      <c r="U22" s="559"/>
      <c r="V22" s="527"/>
    </row>
    <row r="23" spans="1:22" ht="33.75" x14ac:dyDescent="0.2">
      <c r="A23" s="572">
        <v>1</v>
      </c>
      <c r="B23" s="565" t="s">
        <v>551</v>
      </c>
      <c r="C23" s="594" t="s">
        <v>517</v>
      </c>
      <c r="D23" s="590" t="s">
        <v>518</v>
      </c>
      <c r="E23" s="598" t="s">
        <v>552</v>
      </c>
      <c r="F23" s="571" t="s">
        <v>455</v>
      </c>
      <c r="G23" s="511">
        <f>SUM(L23:Q23)</f>
        <v>27906</v>
      </c>
      <c r="H23" s="511"/>
      <c r="I23" s="511">
        <f>G23-J23</f>
        <v>27906</v>
      </c>
      <c r="J23" s="511"/>
      <c r="K23" s="512" t="s">
        <v>553</v>
      </c>
      <c r="L23" s="511">
        <v>538</v>
      </c>
      <c r="M23" s="511">
        <v>4972</v>
      </c>
      <c r="N23" s="511">
        <v>3115</v>
      </c>
      <c r="O23" s="511">
        <v>2028</v>
      </c>
      <c r="P23" s="511">
        <v>17053</v>
      </c>
      <c r="Q23" s="511">
        <v>200</v>
      </c>
      <c r="R23" s="511"/>
      <c r="S23" s="511"/>
      <c r="T23" s="511"/>
      <c r="U23" s="552" t="s">
        <v>554</v>
      </c>
      <c r="V23" s="513" t="s">
        <v>520</v>
      </c>
    </row>
    <row r="24" spans="1:22" ht="25.5" x14ac:dyDescent="0.2">
      <c r="A24" s="572">
        <v>2</v>
      </c>
      <c r="B24" s="563" t="s">
        <v>555</v>
      </c>
      <c r="C24" s="595" t="s">
        <v>517</v>
      </c>
      <c r="D24" s="590" t="s">
        <v>518</v>
      </c>
      <c r="E24" s="599" t="s">
        <v>556</v>
      </c>
      <c r="F24" s="571" t="s">
        <v>455</v>
      </c>
      <c r="G24" s="511">
        <f>7143+744</f>
        <v>7887</v>
      </c>
      <c r="H24" s="511">
        <v>5464</v>
      </c>
      <c r="I24" s="511">
        <f>G24-H24</f>
        <v>2423</v>
      </c>
      <c r="J24" s="511"/>
      <c r="K24" s="512" t="s">
        <v>557</v>
      </c>
      <c r="L24" s="511">
        <v>10</v>
      </c>
      <c r="M24" s="511">
        <v>70</v>
      </c>
      <c r="N24" s="511">
        <v>0</v>
      </c>
      <c r="O24" s="511">
        <v>54</v>
      </c>
      <c r="P24" s="511">
        <v>7009</v>
      </c>
      <c r="Q24" s="511">
        <f>I24-L24-M24-N24-O24-P24</f>
        <v>-4720</v>
      </c>
      <c r="R24" s="511"/>
      <c r="S24" s="511"/>
      <c r="T24" s="511"/>
      <c r="U24" s="552"/>
      <c r="V24" s="513" t="s">
        <v>558</v>
      </c>
    </row>
    <row r="25" spans="1:22" ht="25.5" customHeight="1" x14ac:dyDescent="0.2">
      <c r="A25" s="572">
        <v>3</v>
      </c>
      <c r="B25" s="563" t="s">
        <v>317</v>
      </c>
      <c r="C25" s="595" t="s">
        <v>517</v>
      </c>
      <c r="D25" s="590" t="s">
        <v>518</v>
      </c>
      <c r="E25" s="599" t="s">
        <v>538</v>
      </c>
      <c r="F25" s="571" t="s">
        <v>455</v>
      </c>
      <c r="G25" s="511">
        <v>4727</v>
      </c>
      <c r="H25" s="511">
        <v>3713</v>
      </c>
      <c r="I25" s="511">
        <f>SUM(P25:R25)</f>
        <v>1014</v>
      </c>
      <c r="J25" s="511"/>
      <c r="K25" s="512" t="s">
        <v>539</v>
      </c>
      <c r="L25" s="511"/>
      <c r="M25" s="511"/>
      <c r="N25" s="511"/>
      <c r="O25" s="511"/>
      <c r="P25" s="511">
        <v>147</v>
      </c>
      <c r="Q25" s="511">
        <v>3628</v>
      </c>
      <c r="R25" s="511">
        <f>952-3713</f>
        <v>-2761</v>
      </c>
      <c r="S25" s="511"/>
      <c r="T25" s="511"/>
      <c r="U25" s="556"/>
      <c r="V25" s="513" t="s">
        <v>537</v>
      </c>
    </row>
    <row r="26" spans="1:22" x14ac:dyDescent="0.2">
      <c r="B26" s="528"/>
    </row>
    <row r="27" spans="1:22" x14ac:dyDescent="0.2">
      <c r="B27" s="528"/>
    </row>
    <row r="28" spans="1:22" x14ac:dyDescent="0.2">
      <c r="B28" s="528"/>
    </row>
    <row r="29" spans="1:22" x14ac:dyDescent="0.2">
      <c r="B29" s="528"/>
    </row>
    <row r="34" spans="2:20" x14ac:dyDescent="0.2">
      <c r="B34" s="420"/>
      <c r="C34" s="420"/>
      <c r="L34" s="420"/>
      <c r="M34" s="420"/>
      <c r="N34" s="420"/>
      <c r="O34" s="420"/>
      <c r="P34" s="420"/>
      <c r="Q34" s="420"/>
      <c r="R34" s="420"/>
      <c r="S34" s="420"/>
      <c r="T34" s="420"/>
    </row>
    <row r="35" spans="2:20" x14ac:dyDescent="0.2">
      <c r="B35" s="420"/>
      <c r="C35" s="420"/>
      <c r="L35" s="420"/>
      <c r="M35" s="420"/>
      <c r="N35" s="420"/>
      <c r="O35" s="420"/>
      <c r="P35" s="420"/>
      <c r="Q35" s="420"/>
      <c r="R35" s="420"/>
      <c r="S35" s="420"/>
      <c r="T35" s="420"/>
    </row>
    <row r="36" spans="2:20" x14ac:dyDescent="0.2">
      <c r="B36" s="420"/>
      <c r="C36" s="420"/>
      <c r="L36" s="420"/>
      <c r="M36" s="420"/>
      <c r="N36" s="420"/>
      <c r="O36" s="420"/>
      <c r="P36" s="420"/>
      <c r="Q36" s="420"/>
      <c r="R36" s="420"/>
      <c r="S36" s="420"/>
      <c r="T36" s="420"/>
    </row>
    <row r="37" spans="2:20" x14ac:dyDescent="0.2">
      <c r="B37" s="420"/>
      <c r="C37" s="420"/>
      <c r="L37" s="420"/>
      <c r="M37" s="420"/>
      <c r="N37" s="420"/>
      <c r="O37" s="420"/>
      <c r="P37" s="420"/>
      <c r="Q37" s="420"/>
      <c r="R37" s="420"/>
      <c r="S37" s="420"/>
      <c r="T37" s="420"/>
    </row>
  </sheetData>
  <mergeCells count="1">
    <mergeCell ref="L3:T3"/>
  </mergeCells>
  <pageMargins left="0.17" right="0.17" top="0.44" bottom="0.78740157480314965" header="0.31496062992125984" footer="0.31496062992125984"/>
  <pageSetup paperSize="9"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sumář</vt:lpstr>
      <vt:lpstr>příjmy</vt:lpstr>
      <vt:lpstr>výdaje</vt:lpstr>
      <vt:lpstr>Závazné ukazatele</vt:lpstr>
      <vt:lpstr>okruhy rozpočtu</vt:lpstr>
      <vt:lpstr>Projekty</vt:lpstr>
      <vt:lpstr>příjmy!Názvy_tisku</vt:lpstr>
      <vt:lpstr>výdaje!Názvy_tisku</vt:lpstr>
      <vt:lpstr>Projekty!Oblast_tisku</vt:lpstr>
      <vt:lpstr>příjmy!Oblast_tisku</vt:lpstr>
      <vt:lpstr>výdaje!Oblast_tisku</vt:lpstr>
    </vt:vector>
  </TitlesOfParts>
  <Company>Jilemnice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Jilemnice</dc:creator>
  <cp:lastModifiedBy>Trojanová Hana, Ing.</cp:lastModifiedBy>
  <cp:lastPrinted>2022-02-09T15:58:54Z</cp:lastPrinted>
  <dcterms:created xsi:type="dcterms:W3CDTF">1999-02-03T10:11:29Z</dcterms:created>
  <dcterms:modified xsi:type="dcterms:W3CDTF">2022-02-15T08:02:23Z</dcterms:modified>
</cp:coreProperties>
</file>