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505" yWindow="-15" windowWidth="14310" windowHeight="14265" tabRatio="689" activeTab="2"/>
  </bookViews>
  <sheets>
    <sheet name="sumář" sheetId="1" r:id="rId1"/>
    <sheet name="příjmy" sheetId="2" r:id="rId2"/>
    <sheet name="výdaje" sheetId="3" r:id="rId3"/>
  </sheets>
  <definedNames>
    <definedName name="_xlnm.Print_Titles" localSheetId="1">příjmy!$A:$E,příjmy!$1:$3</definedName>
    <definedName name="_xlnm.Print_Titles" localSheetId="2">výdaje!$A:$D,výdaje!$1:$4</definedName>
    <definedName name="_xlnm.Print_Area" localSheetId="1">příjmy!$A$1:$L$124</definedName>
    <definedName name="_xlnm.Print_Area" localSheetId="2">výdaje!$A$1:$J$118</definedName>
  </definedNames>
  <calcPr calcId="145621"/>
</workbook>
</file>

<file path=xl/calcChain.xml><?xml version="1.0" encoding="utf-8"?>
<calcChain xmlns="http://schemas.openxmlformats.org/spreadsheetml/2006/main">
  <c r="G63" i="3" l="1"/>
  <c r="F92" i="3" l="1"/>
  <c r="E92" i="3"/>
  <c r="F117" i="3"/>
  <c r="E117" i="3"/>
  <c r="F22" i="3" l="1"/>
  <c r="G21" i="3"/>
  <c r="G56" i="3"/>
  <c r="I56" i="2" l="1"/>
  <c r="F103" i="3"/>
  <c r="G117" i="3"/>
  <c r="G116" i="3"/>
  <c r="G115" i="3"/>
  <c r="G114" i="3"/>
  <c r="G113" i="3"/>
  <c r="G112" i="3"/>
  <c r="G111" i="3"/>
  <c r="F110" i="3"/>
  <c r="G109" i="3"/>
  <c r="G108" i="3"/>
  <c r="G107" i="3"/>
  <c r="G105" i="3"/>
  <c r="E104" i="3"/>
  <c r="G104" i="3" s="1"/>
  <c r="F102" i="3"/>
  <c r="G102" i="3" s="1"/>
  <c r="G101" i="3"/>
  <c r="E100" i="3"/>
  <c r="G100" i="3" s="1"/>
  <c r="E99" i="3"/>
  <c r="G99" i="3" s="1"/>
  <c r="G97" i="3"/>
  <c r="F96" i="3"/>
  <c r="E96" i="3"/>
  <c r="F95" i="3"/>
  <c r="E95" i="3"/>
  <c r="E94" i="3"/>
  <c r="G94" i="3" s="1"/>
  <c r="G92" i="3"/>
  <c r="G91" i="3"/>
  <c r="G90" i="3"/>
  <c r="G89" i="3"/>
  <c r="E88" i="3"/>
  <c r="G88" i="3" s="1"/>
  <c r="G87" i="3"/>
  <c r="G86" i="3"/>
  <c r="E85" i="3"/>
  <c r="G85" i="3" s="1"/>
  <c r="G84" i="3"/>
  <c r="F83" i="3"/>
  <c r="E82" i="3"/>
  <c r="G82" i="3" s="1"/>
  <c r="G81" i="3"/>
  <c r="E80" i="3"/>
  <c r="G80" i="3" s="1"/>
  <c r="G79" i="3"/>
  <c r="G78" i="3"/>
  <c r="G77" i="3"/>
  <c r="G76" i="3"/>
  <c r="G75" i="3"/>
  <c r="G74" i="3"/>
  <c r="E73" i="3"/>
  <c r="G72" i="3"/>
  <c r="G71" i="3"/>
  <c r="G70" i="3"/>
  <c r="F69" i="3"/>
  <c r="G69" i="3" s="1"/>
  <c r="G68" i="3"/>
  <c r="G67" i="3"/>
  <c r="G66" i="3"/>
  <c r="G65" i="3"/>
  <c r="F62" i="3"/>
  <c r="E62" i="3"/>
  <c r="G61" i="3"/>
  <c r="E60" i="3"/>
  <c r="G60" i="3" s="1"/>
  <c r="G59" i="3"/>
  <c r="G58" i="3"/>
  <c r="F57" i="3"/>
  <c r="F54" i="3" s="1"/>
  <c r="G55" i="3"/>
  <c r="G53" i="3"/>
  <c r="G52" i="3"/>
  <c r="G51" i="3"/>
  <c r="G50" i="3"/>
  <c r="G49" i="3"/>
  <c r="E48" i="3"/>
  <c r="G48" i="3" s="1"/>
  <c r="G47" i="3"/>
  <c r="G46" i="3"/>
  <c r="G45" i="3"/>
  <c r="E44" i="3"/>
  <c r="G44" i="3" s="1"/>
  <c r="G43" i="3"/>
  <c r="E42" i="3"/>
  <c r="G42" i="3" s="1"/>
  <c r="F41" i="3"/>
  <c r="G40" i="3"/>
  <c r="G39" i="3"/>
  <c r="G38" i="3"/>
  <c r="G37" i="3"/>
  <c r="G36" i="3"/>
  <c r="G35" i="3"/>
  <c r="G34" i="3"/>
  <c r="G33" i="3"/>
  <c r="E32" i="3"/>
  <c r="G32" i="3" s="1"/>
  <c r="G31" i="3"/>
  <c r="E30" i="3"/>
  <c r="G29" i="3"/>
  <c r="G28" i="3"/>
  <c r="F27" i="3"/>
  <c r="G26" i="3"/>
  <c r="G25" i="3"/>
  <c r="G24" i="3"/>
  <c r="G23" i="3"/>
  <c r="G22" i="3"/>
  <c r="G20" i="3"/>
  <c r="F19" i="3"/>
  <c r="G18" i="3"/>
  <c r="E17" i="3"/>
  <c r="E15" i="3" s="1"/>
  <c r="F16" i="3"/>
  <c r="G16" i="3" s="1"/>
  <c r="G14" i="3"/>
  <c r="G13" i="3"/>
  <c r="E12" i="3"/>
  <c r="G12" i="3" s="1"/>
  <c r="E11" i="3"/>
  <c r="G11" i="3" s="1"/>
  <c r="G10" i="3"/>
  <c r="F9" i="3"/>
  <c r="G8" i="3"/>
  <c r="G7" i="3"/>
  <c r="E6" i="3"/>
  <c r="G6" i="3" s="1"/>
  <c r="F5" i="3"/>
  <c r="L117" i="2"/>
  <c r="J117" i="2"/>
  <c r="J110" i="2"/>
  <c r="J123" i="2" s="1"/>
  <c r="J95" i="2"/>
  <c r="J120" i="2" s="1"/>
  <c r="J93" i="2"/>
  <c r="J122" i="2" s="1"/>
  <c r="J83" i="2"/>
  <c r="J81" i="2"/>
  <c r="J73" i="2"/>
  <c r="J58" i="2"/>
  <c r="J38" i="2"/>
  <c r="J33" i="2"/>
  <c r="J25" i="2"/>
  <c r="J14" i="2"/>
  <c r="J5" i="2"/>
  <c r="F110" i="2"/>
  <c r="F123" i="2" s="1"/>
  <c r="F106" i="2"/>
  <c r="F105" i="2"/>
  <c r="F100" i="2"/>
  <c r="F89" i="2"/>
  <c r="F93" i="2" s="1"/>
  <c r="F122" i="2" s="1"/>
  <c r="F83" i="2"/>
  <c r="F81" i="2"/>
  <c r="F75" i="2"/>
  <c r="F73" i="2" s="1"/>
  <c r="F69" i="2"/>
  <c r="F65" i="2"/>
  <c r="F60" i="2"/>
  <c r="F57" i="2"/>
  <c r="F53" i="2"/>
  <c r="F52" i="2"/>
  <c r="F49" i="2"/>
  <c r="F33" i="2"/>
  <c r="F28" i="2"/>
  <c r="F25" i="2"/>
  <c r="F22" i="2"/>
  <c r="F17" i="2"/>
  <c r="F9" i="2"/>
  <c r="F7" i="2"/>
  <c r="F6" i="2"/>
  <c r="E110" i="3" l="1"/>
  <c r="E27" i="3"/>
  <c r="F64" i="3"/>
  <c r="G96" i="3"/>
  <c r="G95" i="3"/>
  <c r="F15" i="3"/>
  <c r="G62" i="3"/>
  <c r="E64" i="3"/>
  <c r="F93" i="3"/>
  <c r="G98" i="3"/>
  <c r="E54" i="3"/>
  <c r="G57" i="3"/>
  <c r="G54" i="3" s="1"/>
  <c r="E83" i="3"/>
  <c r="G110" i="3"/>
  <c r="G19" i="3"/>
  <c r="G83" i="3"/>
  <c r="G5" i="3"/>
  <c r="G9" i="3"/>
  <c r="G41" i="3"/>
  <c r="E5" i="3"/>
  <c r="G30" i="3"/>
  <c r="G27" i="3" s="1"/>
  <c r="E41" i="3"/>
  <c r="G73" i="3"/>
  <c r="G64" i="3" s="1"/>
  <c r="E93" i="3"/>
  <c r="E98" i="3"/>
  <c r="E9" i="3"/>
  <c r="G17" i="3"/>
  <c r="F98" i="3"/>
  <c r="F38" i="2"/>
  <c r="J35" i="2"/>
  <c r="J118" i="2" s="1"/>
  <c r="J85" i="2"/>
  <c r="J119" i="2" s="1"/>
  <c r="J114" i="2"/>
  <c r="F95" i="2"/>
  <c r="F114" i="2" s="1"/>
  <c r="F14" i="2"/>
  <c r="F5" i="2"/>
  <c r="F58" i="2"/>
  <c r="F120" i="2" l="1"/>
  <c r="G93" i="3"/>
  <c r="F118" i="3"/>
  <c r="G15" i="3"/>
  <c r="F85" i="2"/>
  <c r="F119" i="2" s="1"/>
  <c r="J121" i="2"/>
  <c r="J124" i="2" s="1"/>
  <c r="J115" i="2"/>
  <c r="F35" i="2"/>
  <c r="F115" i="2" l="1"/>
  <c r="G106" i="3"/>
  <c r="G103" i="3" s="1"/>
  <c r="G118" i="3" s="1"/>
  <c r="E103" i="3"/>
  <c r="E118" i="3" s="1"/>
  <c r="F118" i="2"/>
  <c r="F121" i="2" s="1"/>
  <c r="F124" i="2" s="1"/>
  <c r="L97" i="2" l="1"/>
  <c r="L99" i="2"/>
  <c r="L100" i="2"/>
  <c r="L101" i="2"/>
  <c r="L102" i="2"/>
  <c r="L104" i="2"/>
  <c r="K66" i="2" l="1"/>
  <c r="H88" i="2" l="1"/>
  <c r="H80" i="2" l="1"/>
  <c r="H79" i="2"/>
  <c r="H77" i="2"/>
  <c r="H76" i="2"/>
  <c r="H74" i="2"/>
  <c r="I97" i="2" l="1"/>
  <c r="H82" i="2" l="1"/>
  <c r="H75" i="2" l="1"/>
  <c r="H78" i="2"/>
  <c r="H91" i="2" l="1"/>
  <c r="H12" i="2"/>
  <c r="I101" i="2" l="1"/>
  <c r="I91" i="2"/>
  <c r="I104" i="2"/>
  <c r="I102" i="2"/>
  <c r="I106" i="2"/>
  <c r="I105" i="2"/>
  <c r="I112" i="2"/>
  <c r="K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L25" i="2"/>
  <c r="K27" i="2"/>
  <c r="L27" i="2"/>
  <c r="L28" i="2"/>
  <c r="K28" i="2"/>
  <c r="K29" i="2"/>
  <c r="L29" i="2"/>
  <c r="K30" i="2"/>
  <c r="L30" i="2"/>
  <c r="K31" i="2"/>
  <c r="L31" i="2"/>
  <c r="K32" i="2"/>
  <c r="L32" i="2"/>
  <c r="K33" i="2"/>
  <c r="K34" i="2"/>
  <c r="L34" i="2"/>
  <c r="K38" i="2"/>
  <c r="K39" i="2"/>
  <c r="L39" i="2"/>
  <c r="K40" i="2"/>
  <c r="L40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K54" i="2"/>
  <c r="L54" i="2"/>
  <c r="K55" i="2"/>
  <c r="L55" i="2"/>
  <c r="L57" i="2"/>
  <c r="K57" i="2"/>
  <c r="K59" i="2"/>
  <c r="L59" i="2"/>
  <c r="K60" i="2"/>
  <c r="L60" i="2"/>
  <c r="K62" i="2"/>
  <c r="L62" i="2"/>
  <c r="K63" i="2"/>
  <c r="L63" i="2"/>
  <c r="K64" i="2"/>
  <c r="L64" i="2"/>
  <c r="K65" i="2"/>
  <c r="L66" i="2"/>
  <c r="K67" i="2"/>
  <c r="L67" i="2"/>
  <c r="K68" i="2"/>
  <c r="L68" i="2"/>
  <c r="L69" i="2"/>
  <c r="K70" i="2"/>
  <c r="L70" i="2"/>
  <c r="K71" i="2"/>
  <c r="L71" i="2"/>
  <c r="K72" i="2"/>
  <c r="L72" i="2"/>
  <c r="K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L81" i="2"/>
  <c r="K81" i="2"/>
  <c r="L83" i="2"/>
  <c r="K83" i="2"/>
  <c r="H84" i="2"/>
  <c r="H83" i="2" s="1"/>
  <c r="K88" i="2"/>
  <c r="L88" i="2"/>
  <c r="K90" i="2"/>
  <c r="L90" i="2"/>
  <c r="K92" i="2"/>
  <c r="L92" i="2"/>
  <c r="K93" i="2"/>
  <c r="L96" i="2"/>
  <c r="L109" i="2"/>
  <c r="L105" i="2"/>
  <c r="L106" i="2"/>
  <c r="L123" i="2"/>
  <c r="L110" i="2"/>
  <c r="D11" i="1"/>
  <c r="D12" i="1"/>
  <c r="K95" i="2"/>
  <c r="L53" i="2"/>
  <c r="L65" i="2"/>
  <c r="K14" i="2"/>
  <c r="L14" i="2"/>
  <c r="H5" i="2"/>
  <c r="K25" i="2"/>
  <c r="L33" i="2"/>
  <c r="L5" i="2"/>
  <c r="L120" i="2"/>
  <c r="L93" i="2"/>
  <c r="L122" i="2"/>
  <c r="K58" i="2"/>
  <c r="L73" i="2"/>
  <c r="K110" i="2"/>
  <c r="K122" i="2"/>
  <c r="L38" i="2"/>
  <c r="H14" i="2"/>
  <c r="I16" i="2"/>
  <c r="K69" i="2"/>
  <c r="K120" i="2"/>
  <c r="I100" i="2" l="1"/>
  <c r="I32" i="2"/>
  <c r="I29" i="2"/>
  <c r="H110" i="2"/>
  <c r="H123" i="2" s="1"/>
  <c r="I109" i="2"/>
  <c r="I90" i="2"/>
  <c r="H69" i="2"/>
  <c r="H33" i="2"/>
  <c r="K114" i="2"/>
  <c r="I23" i="2"/>
  <c r="K35" i="2"/>
  <c r="I99" i="2"/>
  <c r="I96" i="2"/>
  <c r="I68" i="2"/>
  <c r="H38" i="2"/>
  <c r="K119" i="2"/>
  <c r="K85" i="2"/>
  <c r="I62" i="2"/>
  <c r="I22" i="2"/>
  <c r="I64" i="2"/>
  <c r="I20" i="2"/>
  <c r="L35" i="2"/>
  <c r="I6" i="2"/>
  <c r="I53" i="2"/>
  <c r="H73" i="2"/>
  <c r="I47" i="2"/>
  <c r="I27" i="2"/>
  <c r="I10" i="2"/>
  <c r="I18" i="2"/>
  <c r="I9" i="2"/>
  <c r="I46" i="2"/>
  <c r="I24" i="2"/>
  <c r="I8" i="2"/>
  <c r="I15" i="2"/>
  <c r="L95" i="2"/>
  <c r="I80" i="2"/>
  <c r="K118" i="2"/>
  <c r="I48" i="2"/>
  <c r="I40" i="2"/>
  <c r="L114" i="2"/>
  <c r="H81" i="2"/>
  <c r="I82" i="2"/>
  <c r="I76" i="2"/>
  <c r="I12" i="2"/>
  <c r="L85" i="2"/>
  <c r="I31" i="2"/>
  <c r="I11" i="2"/>
  <c r="I7" i="2"/>
  <c r="I79" i="2"/>
  <c r="I59" i="2"/>
  <c r="I70" i="2"/>
  <c r="I19" i="2"/>
  <c r="L58" i="2"/>
  <c r="I43" i="2"/>
  <c r="L118" i="2"/>
  <c r="D9" i="1"/>
  <c r="I21" i="2"/>
  <c r="I84" i="2"/>
  <c r="I83" i="2" s="1"/>
  <c r="I88" i="2"/>
  <c r="I77" i="2"/>
  <c r="I75" i="2"/>
  <c r="I74" i="2"/>
  <c r="I52" i="2"/>
  <c r="I78" i="2"/>
  <c r="I39" i="2"/>
  <c r="I66" i="2"/>
  <c r="I57" i="2"/>
  <c r="I45" i="2"/>
  <c r="I17" i="2"/>
  <c r="I71" i="2"/>
  <c r="I55" i="2"/>
  <c r="I54" i="2"/>
  <c r="I50" i="2"/>
  <c r="I49" i="2"/>
  <c r="I30" i="2"/>
  <c r="I44" i="2"/>
  <c r="I113" i="2"/>
  <c r="I72" i="2"/>
  <c r="I67" i="2"/>
  <c r="I63" i="2"/>
  <c r="I60" i="2"/>
  <c r="I51" i="2"/>
  <c r="I34" i="2" l="1"/>
  <c r="I33" i="2" s="1"/>
  <c r="I111" i="2"/>
  <c r="I110" i="2" s="1"/>
  <c r="I123" i="2" s="1"/>
  <c r="I92" i="2"/>
  <c r="I93" i="2" s="1"/>
  <c r="I122" i="2" s="1"/>
  <c r="H93" i="2"/>
  <c r="H122" i="2" s="1"/>
  <c r="H35" i="2"/>
  <c r="H118" i="2" s="1"/>
  <c r="K124" i="2"/>
  <c r="I25" i="2"/>
  <c r="L115" i="2"/>
  <c r="I14" i="2"/>
  <c r="K121" i="2"/>
  <c r="K115" i="2"/>
  <c r="D15" i="1"/>
  <c r="L119" i="2"/>
  <c r="D10" i="1"/>
  <c r="I81" i="2"/>
  <c r="I5" i="2"/>
  <c r="I73" i="2"/>
  <c r="I38" i="2"/>
  <c r="I28" i="2"/>
  <c r="I69" i="2"/>
  <c r="H58" i="2"/>
  <c r="H85" i="2" s="1"/>
  <c r="I65" i="2"/>
  <c r="I58" i="2" s="1"/>
  <c r="I95" i="2"/>
  <c r="H95" i="2"/>
  <c r="D14" i="1"/>
  <c r="D13" i="1" l="1"/>
  <c r="E10" i="1" s="1"/>
  <c r="FN48" i="3"/>
  <c r="I35" i="2"/>
  <c r="I118" i="2" s="1"/>
  <c r="L124" i="2"/>
  <c r="L121" i="2"/>
  <c r="I85" i="2"/>
  <c r="I119" i="2" s="1"/>
  <c r="I120" i="2"/>
  <c r="I114" i="2"/>
  <c r="H119" i="2"/>
  <c r="H120" i="2"/>
  <c r="H114" i="2"/>
  <c r="H115" i="2" s="1"/>
  <c r="D16" i="1"/>
  <c r="E15" i="1" l="1"/>
  <c r="E12" i="1"/>
  <c r="E11" i="1"/>
  <c r="E9" i="1"/>
  <c r="E14" i="1"/>
  <c r="I115" i="2"/>
  <c r="I121" i="2"/>
  <c r="I124" i="2" s="1"/>
  <c r="H121" i="2"/>
  <c r="H124" i="2" s="1"/>
  <c r="D18" i="1"/>
  <c r="D29" i="1" s="1"/>
  <c r="D27" i="1" s="1"/>
  <c r="E13" i="1" l="1"/>
</calcChain>
</file>

<file path=xl/comments1.xml><?xml version="1.0" encoding="utf-8"?>
<comments xmlns="http://schemas.openxmlformats.org/spreadsheetml/2006/main">
  <authors>
    <author>Ing. Miroslava Kynčlová</author>
    <author>Kynčlová</author>
    <author>Město Jilemnice</author>
  </authors>
  <commentList>
    <comment ref="E15" authorId="0">
      <text>
        <r>
          <rPr>
            <sz val="8"/>
            <color indexed="81"/>
            <rFont val="Tahoma"/>
            <family val="2"/>
            <charset val="238"/>
          </rPr>
          <t>3-trvalý pobyt
4-ověřování
6-změna jména
8-sňatky
9-video</t>
        </r>
      </text>
    </comment>
    <comment ref="E17" authorId="1">
      <text>
        <r>
          <rPr>
            <sz val="10"/>
            <color indexed="81"/>
            <rFont val="Tahoma"/>
            <family val="2"/>
            <charset val="238"/>
          </rPr>
          <t>10 rybářské lístky</t>
        </r>
        <r>
          <rPr>
            <sz val="10"/>
            <color indexed="81"/>
            <rFont val="Tahoma"/>
            <family val="2"/>
            <charset val="238"/>
          </rPr>
          <t xml:space="preserve">
23 životní prostředí </t>
        </r>
      </text>
    </comment>
    <comment ref="E22" authorId="0">
      <text>
        <r>
          <rPr>
            <sz val="8"/>
            <color indexed="81"/>
            <rFont val="Tahoma"/>
            <family val="2"/>
            <charset val="238"/>
          </rPr>
          <t xml:space="preserve">32-pasy
33-občanské průkazy
</t>
        </r>
      </text>
    </comment>
    <comment ref="F49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21 org. 21
69 org. 319
</t>
        </r>
      </text>
    </comment>
    <comment ref="F53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70 služby sňatky 
30 ostatní</t>
        </r>
      </text>
    </comment>
    <comment ref="E75" authorId="1">
      <text>
        <r>
          <rPr>
            <sz val="8"/>
            <color indexed="81"/>
            <rFont val="Tahoma"/>
            <family val="2"/>
            <charset val="238"/>
          </rPr>
          <t>33 občanské průkazy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14 přestupky
13 památky
</t>
        </r>
      </text>
    </comment>
    <comment ref="F75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65 přestupky
7 OP, CD</t>
        </r>
      </text>
    </comment>
    <comment ref="F96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v tom 5*29=145 tis. na opatrovance</t>
        </r>
      </text>
    </comment>
    <comment ref="F100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192 MP
180 pečovatelská služba
540 veřejná zeleň
</t>
        </r>
      </text>
    </comment>
    <comment ref="F105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130 přestupky
50 rušení tr. pobytů</t>
        </r>
      </text>
    </comment>
  </commentList>
</comments>
</file>

<file path=xl/comments2.xml><?xml version="1.0" encoding="utf-8"?>
<comments xmlns="http://schemas.openxmlformats.org/spreadsheetml/2006/main">
  <authors>
    <author>Město Jilemnice</author>
    <author>Notebook pracovní</author>
    <author>Jilemnice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rekonstrukce soc. zařízení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1687 doplatek VHS  vodovod
370 projekce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400 odkup komunikace pro 5 RD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238"/>
          </rPr>
          <t>parkoviště:
U Zolmana,před gymnáziem,
Poštovní, Jungmanova, Tyršovo náměstí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3000 střecha čp.103,101
1000 reko WC v čp. 103</t>
        </r>
      </text>
    </comment>
    <comment ref="F33" authorId="1">
      <text>
        <r>
          <rPr>
            <b/>
            <sz val="9"/>
            <color indexed="81"/>
            <rFont val="Tahoma"/>
            <family val="2"/>
            <charset val="238"/>
          </rPr>
          <t>1100 úč. Dotace na horolezeckou stěnu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4" authorId="1">
      <text>
        <r>
          <rPr>
            <sz val="9"/>
            <color indexed="81"/>
            <rFont val="Tahoma"/>
            <family val="2"/>
            <charset val="238"/>
          </rPr>
          <t xml:space="preserve">100 na projekci a VŘ
</t>
        </r>
      </text>
    </comment>
    <comment ref="H44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UZ 34054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6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422 energie, služby
</t>
        </r>
      </text>
    </comment>
    <comment ref="F6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1500 kotelna
2000 prostory pro knihovnu</t>
        </r>
      </text>
    </comment>
    <comment ref="E8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21 voda org.21
69 voda org.319</t>
        </r>
      </text>
    </comment>
    <comment ref="E85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z toho 607 příspěvek na koupi pozemku DSO Jilemnicko</t>
        </r>
      </text>
    </comment>
    <comment ref="F9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700 na přestavbu na odlehčovací služby
</t>
        </r>
      </text>
    </comment>
    <comment ref="F9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100 dokončení projekce, VŘ
</t>
        </r>
      </text>
    </comment>
  </commentList>
</comments>
</file>

<file path=xl/sharedStrings.xml><?xml version="1.0" encoding="utf-8"?>
<sst xmlns="http://schemas.openxmlformats.org/spreadsheetml/2006/main" count="572" uniqueCount="406">
  <si>
    <t xml:space="preserve">                                 </t>
  </si>
  <si>
    <t xml:space="preserve">                           </t>
  </si>
  <si>
    <t>Rozpočet</t>
  </si>
  <si>
    <t>%</t>
  </si>
  <si>
    <t>Plnění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</si>
  <si>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</si>
  <si>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</si>
  <si>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</si>
  <si>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</si>
  <si>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</si>
  <si>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5 - Běžné výdaje</t>
  </si>
  <si>
    <t>Třída 6 - Kapitálové výdaje</t>
  </si>
  <si>
    <t>Výdaje celkem</t>
  </si>
  <si>
    <t>Saldo: Příjmy - výdaje</t>
  </si>
  <si>
    <t>pol.</t>
  </si>
  <si>
    <t>Třída 8 - financování</t>
  </si>
  <si>
    <t>Celkem financování</t>
  </si>
  <si>
    <t>poznámka</t>
  </si>
  <si>
    <t>polož.</t>
  </si>
  <si>
    <t>§</t>
  </si>
  <si>
    <t>org.</t>
  </si>
  <si>
    <t>název</t>
  </si>
  <si>
    <t>1a) BĚŽNÉ</t>
  </si>
  <si>
    <t>DAŇOVÉ  - TŘÍDA  1</t>
  </si>
  <si>
    <t>11-daně z příjmů, zisku a kap. výnosů</t>
  </si>
  <si>
    <t>z toho:</t>
  </si>
  <si>
    <t>13-poplatky a daně z vybraných činností</t>
  </si>
  <si>
    <t>Matriční poplatky</t>
  </si>
  <si>
    <t>Živnostenské listy</t>
  </si>
  <si>
    <t>Hrací automaty</t>
  </si>
  <si>
    <t>15-majetkové daně</t>
  </si>
  <si>
    <t>bez</t>
  </si>
  <si>
    <t>Daňové příjmy celkem:</t>
  </si>
  <si>
    <t>NEDAŇOVÉ - TŘÍDA 2</t>
  </si>
  <si>
    <t>21-příjmy z vlastní činnosti</t>
  </si>
  <si>
    <t>Prodej zpravodaje</t>
  </si>
  <si>
    <t>Pohřebnictví</t>
  </si>
  <si>
    <t>Pečovatelská služba</t>
  </si>
  <si>
    <t>Příjmy z reklam ( zpravodaj, rozhlas)</t>
  </si>
  <si>
    <t>Nájemné:</t>
  </si>
  <si>
    <t>BH - Nájemné nebyt. prost.</t>
  </si>
  <si>
    <t>Nájemné Zásobování teplem s.r.o.</t>
  </si>
  <si>
    <t>Pokuty městská policie</t>
  </si>
  <si>
    <t>Nedaňové příjmy celkem:</t>
  </si>
  <si>
    <t>TŘÍDA  3</t>
  </si>
  <si>
    <t>31-příjmy z prodeje investičního majetku</t>
  </si>
  <si>
    <t>Kapitálové příjmy celkem:</t>
  </si>
  <si>
    <t xml:space="preserve">2)PŘIJATÉ DOTACE </t>
  </si>
  <si>
    <t>TŘÍDA  4</t>
  </si>
  <si>
    <t>2a) Běžné</t>
  </si>
  <si>
    <t>2b) Kapitálové</t>
  </si>
  <si>
    <t>Přijaté dotace celkem:</t>
  </si>
  <si>
    <t>Rekapitulace příjmů:</t>
  </si>
  <si>
    <t>Tř. 1 - Daňové příjmy</t>
  </si>
  <si>
    <t>Tř. 2. - Nedaňové příjmy</t>
  </si>
  <si>
    <t>Ze tř. 4 - Dotace běžné</t>
  </si>
  <si>
    <t>Vlastní příjmy celkem</t>
  </si>
  <si>
    <t>Tř. 3 - Kapitálové příjmy</t>
  </si>
  <si>
    <t>Ze tř. 4. - Dotace kapitálové</t>
  </si>
  <si>
    <t>Celkem příjmy</t>
  </si>
  <si>
    <t>sk</t>
  </si>
  <si>
    <t>Popis paragrafu</t>
  </si>
  <si>
    <t>běžné</t>
  </si>
  <si>
    <t>kap.</t>
  </si>
  <si>
    <t>celkem</t>
  </si>
  <si>
    <t>Zeměděl. a lesní hospodářství</t>
  </si>
  <si>
    <t>Morávková</t>
  </si>
  <si>
    <t>Doprava,vodovody,kanalizace</t>
  </si>
  <si>
    <t>Kynčlová</t>
  </si>
  <si>
    <t>Vzdělání</t>
  </si>
  <si>
    <t>Kultura, církve a sdělovací  prostř.</t>
  </si>
  <si>
    <t>Vydávání zpravodaje</t>
  </si>
  <si>
    <t>Tělovýchova a zájmová činnost</t>
  </si>
  <si>
    <t>Bydlení, komunální služby a územní rozvoj</t>
  </si>
  <si>
    <t>Veřejné osvětlení- provoz ,opravy</t>
  </si>
  <si>
    <t>Sběr a svoz komun. odpadů</t>
  </si>
  <si>
    <t>Péče o vzhled obcí a veřejnou zeleň</t>
  </si>
  <si>
    <t>Sociální péče</t>
  </si>
  <si>
    <t>Šimková</t>
  </si>
  <si>
    <t xml:space="preserve">Obecní policie </t>
  </si>
  <si>
    <t>Státní správa, územní samospráva</t>
  </si>
  <si>
    <t>Místní zastupitelské orgány</t>
  </si>
  <si>
    <t>63,64</t>
  </si>
  <si>
    <t>Finanční operace, ostatní činnosti</t>
  </si>
  <si>
    <t>Daň z příjmu práv. osob za obce</t>
  </si>
  <si>
    <t>Celkem výdaje</t>
  </si>
  <si>
    <t>Příjmy z úroků a fin. majetku</t>
  </si>
  <si>
    <t>Výkup pozemků</t>
  </si>
  <si>
    <t>Příjem z veřejných WC</t>
  </si>
  <si>
    <t>Lesní hospodářství</t>
  </si>
  <si>
    <t>Opravy pronajímaných nebyt. prostor</t>
  </si>
  <si>
    <t>Projekty do 60000,-/ nad 60000</t>
  </si>
  <si>
    <t xml:space="preserve">Činnost místní správy </t>
  </si>
  <si>
    <t xml:space="preserve">SPOZ </t>
  </si>
  <si>
    <t>Popl. za komunální odpad</t>
  </si>
  <si>
    <t>Bezpečnost, požár. ochrana</t>
  </si>
  <si>
    <t>k sestavení rozpočtu</t>
  </si>
  <si>
    <t>Poplatek ze psů</t>
  </si>
  <si>
    <t>Popl. za užívání veřejného prostranství</t>
  </si>
  <si>
    <t>DPFO - závislá činnost</t>
  </si>
  <si>
    <t xml:space="preserve">DPH </t>
  </si>
  <si>
    <t>DPFO - srážková daň</t>
  </si>
  <si>
    <t>DP - právnických osob</t>
  </si>
  <si>
    <t>DP práv. osob za obce</t>
  </si>
  <si>
    <t>daň sdílená</t>
  </si>
  <si>
    <t>Zdravotnictví</t>
  </si>
  <si>
    <t>Životní prostředí</t>
  </si>
  <si>
    <t xml:space="preserve">Knihovna </t>
  </si>
  <si>
    <t>Šnorbert</t>
  </si>
  <si>
    <t xml:space="preserve">Dopravní obslužnost </t>
  </si>
  <si>
    <t>Kompenzace za tříděný odpad</t>
  </si>
  <si>
    <t>Provoz parkoviště , park. automaty</t>
  </si>
  <si>
    <t>DPFO-závisl. činnost 1,5% podíl</t>
  </si>
  <si>
    <t>Opravy, údržba komunikací</t>
  </si>
  <si>
    <t>Byty -  opravy z nájemného</t>
  </si>
  <si>
    <t>Byty - platby za služby</t>
  </si>
  <si>
    <t>Nebytové pr. - opravy</t>
  </si>
  <si>
    <t>Nebytové pr. - služby</t>
  </si>
  <si>
    <t>Zvelebilová</t>
  </si>
  <si>
    <t>Přebytek ( - ),   ztráta  (+)</t>
  </si>
  <si>
    <t>24- přijaté splátky půjček</t>
  </si>
  <si>
    <t>23-příjmy z prodeje majetku a ost.nedaňové příjmy</t>
  </si>
  <si>
    <t xml:space="preserve">22-přijaté sankční platby </t>
  </si>
  <si>
    <t>Pasy, obč. průkazy</t>
  </si>
  <si>
    <t xml:space="preserve">Pokuty dopravní </t>
  </si>
  <si>
    <t>Pokuty životní prostředí</t>
  </si>
  <si>
    <t>Odvod z výtěžku hracích přístrojů</t>
  </si>
  <si>
    <t>3,4,6,8,9</t>
  </si>
  <si>
    <t>Pokuty živnost.úřad</t>
  </si>
  <si>
    <t>Krizové řízení, ochrana obyvatelstva</t>
  </si>
  <si>
    <t>uz</t>
  </si>
  <si>
    <t>Zachov. a obn.kult. památek města</t>
  </si>
  <si>
    <t>Rezerva rozpočtová</t>
  </si>
  <si>
    <t>BH - Nájemné byt. prostory vč. penále</t>
  </si>
  <si>
    <t xml:space="preserve">Pečovatelská služba </t>
  </si>
  <si>
    <t>Příjmy - výdaje = - financování</t>
  </si>
  <si>
    <t>Příjmy místního hospodářství</t>
  </si>
  <si>
    <t>Příjmy z poskytování služeb a výrobků</t>
  </si>
  <si>
    <t>Správní poplatky</t>
  </si>
  <si>
    <t xml:space="preserve">Místní poplatky </t>
  </si>
  <si>
    <t>1b) KAPITÁLOVÉ -</t>
  </si>
  <si>
    <t>rozpočtu</t>
  </si>
  <si>
    <t>správce</t>
  </si>
  <si>
    <t>Provoz veř. WC</t>
  </si>
  <si>
    <t>daň vlastní</t>
  </si>
  <si>
    <t>operace</t>
  </si>
  <si>
    <t>Vojtíšek</t>
  </si>
  <si>
    <t>Zelinka</t>
  </si>
  <si>
    <t>Augustin</t>
  </si>
  <si>
    <t>Němcová</t>
  </si>
  <si>
    <t>Cerman</t>
  </si>
  <si>
    <t>Platby do svazků obcí, sdružení</t>
  </si>
  <si>
    <t>příkazce</t>
  </si>
  <si>
    <t>Exnerová</t>
  </si>
  <si>
    <t>Hartigová</t>
  </si>
  <si>
    <t>Pokuty stavební úřad</t>
  </si>
  <si>
    <t>Stavební poplatky</t>
  </si>
  <si>
    <t>Propagace města, výročí, zahr.spolupráce</t>
  </si>
  <si>
    <t>Životní prostředí poplatky</t>
  </si>
  <si>
    <t>Zvl. užívání místních komun.</t>
  </si>
  <si>
    <t>Dopravní poplatky</t>
  </si>
  <si>
    <t>Areál služeb</t>
  </si>
  <si>
    <t>Městská knihovna</t>
  </si>
  <si>
    <t>Parkovné</t>
  </si>
  <si>
    <t>Nájemné z reklamních ploch</t>
  </si>
  <si>
    <t>Nájemné z ost. nemovitostí</t>
  </si>
  <si>
    <t>Grantový program města</t>
  </si>
  <si>
    <t>Daň z nemovitostí</t>
  </si>
  <si>
    <t>BH - služby byt. prostory</t>
  </si>
  <si>
    <t>BH - služby nebyt. prostory</t>
  </si>
  <si>
    <t>Kopírování, ost příjmy správy</t>
  </si>
  <si>
    <t>Příjmy z úroků - akce Roztocká</t>
  </si>
  <si>
    <t>Prodej pozemků</t>
  </si>
  <si>
    <t>Prodej nemovitostí - bytů,domů</t>
  </si>
  <si>
    <t>Inv. příspěvky 32b.j.</t>
  </si>
  <si>
    <t xml:space="preserve">Souhrnná neinvestiční dotace </t>
  </si>
  <si>
    <t>dle rozpisu položek v tabulce správa</t>
  </si>
  <si>
    <t>3769,6171</t>
  </si>
  <si>
    <t>Veřejnopr. smlouvy policie</t>
  </si>
  <si>
    <t xml:space="preserve">Komunální služby </t>
  </si>
  <si>
    <t>Nájemné z pozemků</t>
  </si>
  <si>
    <t xml:space="preserve">Areál služeb </t>
  </si>
  <si>
    <t>Rozdíl</t>
  </si>
  <si>
    <t>Pěstební činnost v lesnictví</t>
  </si>
  <si>
    <t xml:space="preserve">Požární ochrana </t>
  </si>
  <si>
    <t>Pojistění majetku města</t>
  </si>
  <si>
    <t>stejná v příjmech</t>
  </si>
  <si>
    <t>Zkoušky OZ řidičské průkazy</t>
  </si>
  <si>
    <t>DPFO - přiznání - sdílená část</t>
  </si>
  <si>
    <r>
      <t>F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ri</t>
    </r>
  </si>
  <si>
    <r>
      <t>M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llerová</t>
    </r>
  </si>
  <si>
    <t>Műllerová</t>
  </si>
  <si>
    <t>Čechová</t>
  </si>
  <si>
    <t>Opravy budov škol</t>
  </si>
  <si>
    <t>Výdaje,daň za prodej majetku</t>
  </si>
  <si>
    <t>Mečíř</t>
  </si>
  <si>
    <t>Bedrníková</t>
  </si>
  <si>
    <t>Územní plánování</t>
  </si>
  <si>
    <t xml:space="preserve">Ost. sociální péče </t>
  </si>
  <si>
    <t>Ouhrabková</t>
  </si>
  <si>
    <t>MŠ Jilemnice - příspěvek na provoz</t>
  </si>
  <si>
    <t>ZŠ Komenského- příspěvek na provoz</t>
  </si>
  <si>
    <t>ZŠ Harracha- příspěvek na provoz</t>
  </si>
  <si>
    <t>Czech Point poplatky</t>
  </si>
  <si>
    <t>Příjmy z věcných břemen pozemků</t>
  </si>
  <si>
    <t>Chodník Čsl. Legií - zvýšení bezpečnosti</t>
  </si>
  <si>
    <t>Dotace od ÚP</t>
  </si>
  <si>
    <t>Obnova a zachování kult. hodnot</t>
  </si>
  <si>
    <t>Opravy budov MÚ</t>
  </si>
  <si>
    <t>Právní zastoupení města</t>
  </si>
  <si>
    <t>Péče o stromovou zeleň</t>
  </si>
  <si>
    <t xml:space="preserve">ZŠ spec. a MŠ spec.- příspěvek na provoz </t>
  </si>
  <si>
    <t>Dětské centrum příspěvek na provoz</t>
  </si>
  <si>
    <t>Platba DPH za ekonomické činnosti</t>
  </si>
  <si>
    <t>Pokuty správní odbor, přestupky</t>
  </si>
  <si>
    <t>Odvody příspěvkových organizací</t>
  </si>
  <si>
    <t>Příspěvek na odpisy svěř. majetku MŠ</t>
  </si>
  <si>
    <t>Příspěvek na odpisy svěř. majetku ZŠ</t>
  </si>
  <si>
    <t>Příspěvek na odpisy svěř. majetku ZUŠ</t>
  </si>
  <si>
    <t>Příspěvek na odpisy svěř. majetku SDJ</t>
  </si>
  <si>
    <t>312,orj.10</t>
  </si>
  <si>
    <t>103, orj1,2,3,4,1111</t>
  </si>
  <si>
    <t>Stavebnictví, cestovní ruch, služby</t>
  </si>
  <si>
    <t>Územní rozvoj ( Zdravá města)</t>
  </si>
  <si>
    <t>Veřejnopr. smlouvy správní odbor</t>
  </si>
  <si>
    <t>SD Jilm - příspěvek na provoz</t>
  </si>
  <si>
    <t>Příspěvek na činnost Krkonošského muzea</t>
  </si>
  <si>
    <t xml:space="preserve">poznámka k rozpočtu </t>
  </si>
  <si>
    <t>Provoz informačního centra pro mládež</t>
  </si>
  <si>
    <t xml:space="preserve">Odvody z vybraných činností </t>
  </si>
  <si>
    <t xml:space="preserve">Odhad </t>
  </si>
  <si>
    <t>Příjmy za služby pronajímaných prostor</t>
  </si>
  <si>
    <t>Služby pronajímaných prostor</t>
  </si>
  <si>
    <t>Nájemné restaurace pod radnicí</t>
  </si>
  <si>
    <t>Opravy restaurace pod radnicí</t>
  </si>
  <si>
    <t>Přijaté dary a ost. příjmy</t>
  </si>
  <si>
    <t>560Kč/os/rok</t>
  </si>
  <si>
    <t>Stravovadlo - Scolarest, ZŠ</t>
  </si>
  <si>
    <t>Příprava území k bytové výstavbě</t>
  </si>
  <si>
    <t>Nájemné PO města</t>
  </si>
  <si>
    <t>Kozáková</t>
  </si>
  <si>
    <t>Nováková</t>
  </si>
  <si>
    <t>Informační systém</t>
  </si>
  <si>
    <t>Příjmy z úroků ( vč. fondů)</t>
  </si>
  <si>
    <t>Kompostárna - provoz (příspěvek svazku)</t>
  </si>
  <si>
    <t>Požární nádrž Kozinec</t>
  </si>
  <si>
    <t>Zámecký park - podium, cesty</t>
  </si>
  <si>
    <t>Kuříková</t>
  </si>
  <si>
    <t>Jandurová</t>
  </si>
  <si>
    <t xml:space="preserve">akce města u SPOZ </t>
  </si>
  <si>
    <t>Steinerová</t>
  </si>
  <si>
    <t>3349</t>
  </si>
  <si>
    <t>Projekt Hraběnka</t>
  </si>
  <si>
    <t>z toho 100 tis. nadále propagace</t>
  </si>
  <si>
    <t>vč. akcí města</t>
  </si>
  <si>
    <t>Vinklář</t>
  </si>
  <si>
    <t>Vávrová</t>
  </si>
  <si>
    <t>700,701,702</t>
  </si>
  <si>
    <t>Ulice Žižkova - rekonstrukce</t>
  </si>
  <si>
    <t>bez plakátovacích ploch</t>
  </si>
  <si>
    <t>Revitalizace parku v Dolení ul.</t>
  </si>
  <si>
    <t>Projekt SFŽP</t>
  </si>
  <si>
    <t>Dotace LK na projekt Hraběnka</t>
  </si>
  <si>
    <t>příspěvek spolku</t>
  </si>
  <si>
    <t>Dotace na výkon st. správy -  soc. práci</t>
  </si>
  <si>
    <t>Vébrová</t>
  </si>
  <si>
    <t>RM,ZM</t>
  </si>
  <si>
    <t>Vohnická</t>
  </si>
  <si>
    <t>saldo 0</t>
  </si>
  <si>
    <t>700-702</t>
  </si>
  <si>
    <t>Cyklostezka "Za prací" - projekce</t>
  </si>
  <si>
    <t>Nouzov - pokračování z r.2015</t>
  </si>
  <si>
    <t>dle spl. kalendáře</t>
  </si>
  <si>
    <t>Novotná</t>
  </si>
  <si>
    <t>Fűri</t>
  </si>
  <si>
    <t>garant</t>
  </si>
  <si>
    <t>org</t>
  </si>
  <si>
    <t xml:space="preserve">Dotace LK na pečovatelskou službu </t>
  </si>
  <si>
    <t>Příjmy z úroků -z poskytn. půjček, divident</t>
  </si>
  <si>
    <t>Vaněk</t>
  </si>
  <si>
    <t xml:space="preserve">Pokuty ostatní </t>
  </si>
  <si>
    <t>MMN,a.s. - příplatek mimo zákl. kapitál</t>
  </si>
  <si>
    <t>Langová</t>
  </si>
  <si>
    <t>Obnova zahr. domku a vytvoření expozice</t>
  </si>
  <si>
    <t>přesun již  z roku 2015</t>
  </si>
  <si>
    <t>VHS - příspěvky (úroky k úvěru Čistá Jizera)</t>
  </si>
  <si>
    <t xml:space="preserve">Rekonstrukce čp.64 - rozvoj soc. služeb </t>
  </si>
  <si>
    <t>Šolcová</t>
  </si>
  <si>
    <t>Chodník ul. Roztocká - projekce</t>
  </si>
  <si>
    <t>ul. Na Kozinci - chodník a veř. osvětlení</t>
  </si>
  <si>
    <t>Projekt "Rozvoj MA21 v Jilemnici"</t>
  </si>
  <si>
    <t>Dotace Min. vnitra ČR na požární cisternu</t>
  </si>
  <si>
    <t>doplatek dotace LK</t>
  </si>
  <si>
    <t>Projekt "Podpora sociální práce v Jilenici"</t>
  </si>
  <si>
    <t>projekt OPLZZ</t>
  </si>
  <si>
    <t>Dotace na projekt "Rozvoj MA21 v Jilemnici"</t>
  </si>
  <si>
    <t>Dotace na projekt "Podpopra sociální práce v Jilemnici"</t>
  </si>
  <si>
    <t>Prodej automobilu</t>
  </si>
  <si>
    <t>včetně pouti</t>
  </si>
  <si>
    <t>Popl. z ubytovacích kapacit a rekreační pobyt</t>
  </si>
  <si>
    <t>vlastní podíl města</t>
  </si>
  <si>
    <t>Revitalizace sídliště Spořilov - projekty</t>
  </si>
  <si>
    <t>Lom - revitalizace</t>
  </si>
  <si>
    <t>Bulušek</t>
  </si>
  <si>
    <t>2018</t>
  </si>
  <si>
    <t>odhad-R17</t>
  </si>
  <si>
    <t>Rozpočet 2018</t>
  </si>
  <si>
    <t>Dotace LK na obnovu požární cisterny</t>
  </si>
  <si>
    <t>Finanční vypořádání z minulých let</t>
  </si>
  <si>
    <t>Dotace na výkon st. správy - soc. právní ochranu dětí</t>
  </si>
  <si>
    <t>1381,1382,1383</t>
  </si>
  <si>
    <t>prodej pozemku u pošty</t>
  </si>
  <si>
    <t>Modernizace odpadového systému</t>
  </si>
  <si>
    <t>Individuální dotace sport. klubům</t>
  </si>
  <si>
    <t>Provoz čp. 259 (staré gymnázium)</t>
  </si>
  <si>
    <t>Volby prezidenta</t>
  </si>
  <si>
    <t>Dotace na volby do Parlamentu a prezidenta</t>
  </si>
  <si>
    <t>Rekonstrukce lesní cesty</t>
  </si>
  <si>
    <t>400 automobil</t>
  </si>
  <si>
    <t>300 přístavba kolumbária - přesun</t>
  </si>
  <si>
    <t>Prodej pozemků Nouzov</t>
  </si>
  <si>
    <t>Nájemné ZŠ Libereckého kraje</t>
  </si>
  <si>
    <t>Služby ZŠ Libereckého kraje</t>
  </si>
  <si>
    <t>Služby nájemníků čp. 259</t>
  </si>
  <si>
    <r>
      <t>M</t>
    </r>
    <r>
      <rPr>
        <sz val="9"/>
        <rFont val="Times New Roman"/>
        <family val="1"/>
        <charset val="238"/>
      </rPr>
      <t>ű</t>
    </r>
    <r>
      <rPr>
        <sz val="9"/>
        <rFont val="Arial CE"/>
        <family val="2"/>
        <charset val="238"/>
      </rPr>
      <t>llerová</t>
    </r>
  </si>
  <si>
    <t>4000 dotace akce Bátovka (celkem 6000)</t>
  </si>
  <si>
    <t>Obnova starého hřbitova</t>
  </si>
  <si>
    <t>Dotace LK na obnovu zahradního domku</t>
  </si>
  <si>
    <t>smlouva podepsaná</t>
  </si>
  <si>
    <t>z toho 300 dotace na soc. služby</t>
  </si>
  <si>
    <t>6329nákup cisterny+750 vyprošť. zařízení</t>
  </si>
  <si>
    <t>350 auto+100 vybavení</t>
  </si>
  <si>
    <t>Izolace střechy kina</t>
  </si>
  <si>
    <t xml:space="preserve">opět přesun </t>
  </si>
  <si>
    <t>požární auto</t>
  </si>
  <si>
    <t>vliv prodejů pozemků Nouzov</t>
  </si>
  <si>
    <t>Revitalizace parku U Labutě</t>
  </si>
  <si>
    <t>Dotace na projekt revitalizace parku U Labutě</t>
  </si>
  <si>
    <t xml:space="preserve">Nová parkoviště </t>
  </si>
  <si>
    <t>převod z r. 2017</t>
  </si>
  <si>
    <t>Úprava kontejnerových stání tříděného odpadu</t>
  </si>
  <si>
    <t>Dotace LK na úpravu kontejnerových stání tř. odpadu</t>
  </si>
  <si>
    <t>bez čp. 85, 300 na opravu čp. 1</t>
  </si>
  <si>
    <t>pokračování</t>
  </si>
  <si>
    <t>ZUŠ - příspěvek na provoz, čp. 85</t>
  </si>
  <si>
    <t>5500 rekonstrukce  budova čp. 85</t>
  </si>
  <si>
    <t>přesun z r. 2017</t>
  </si>
  <si>
    <t>žádost výzva MAS, celkem projekt 7960</t>
  </si>
  <si>
    <t>Projekt EPC</t>
  </si>
  <si>
    <t>smlouva na 3 roky do r. 2019</t>
  </si>
  <si>
    <t>projekt OPŽP - pokračování</t>
  </si>
  <si>
    <t>Dotace na projekt "Modernizace odpadového systému</t>
  </si>
  <si>
    <t>dle splátkového kalendáře do r. 2026</t>
  </si>
  <si>
    <t>z toho 548 dotace na sportoviště</t>
  </si>
  <si>
    <t>3000 střecha čp. 103,101, 1000 WC čp. 103</t>
  </si>
  <si>
    <t>Sportovní centrum Jilemnice, s.r.o</t>
  </si>
  <si>
    <t>ZŠ Harracha - projekt IROP</t>
  </si>
  <si>
    <t>350 kamerový systém ukončen</t>
  </si>
  <si>
    <t>vyrovnávací platba</t>
  </si>
  <si>
    <t>saldo 2250 (v roce 2017 bylo 3000)</t>
  </si>
  <si>
    <t>saldo 450  ( v roce 2017 bylo 475)</t>
  </si>
  <si>
    <t>Legie, Hraběnka</t>
  </si>
  <si>
    <t>Rekonstrukce budovy čp. 85</t>
  </si>
  <si>
    <t>607 dotace na koupi pozemku v Hrabačově</t>
  </si>
  <si>
    <t>Dotace  "Krkonošské pivní slavnosti","Podvečery", "Dech hor"</t>
  </si>
  <si>
    <t>Nonnerová</t>
  </si>
  <si>
    <t>60 dotace Svazku, 40 na pivní slavnosti, 40 dech hor</t>
  </si>
  <si>
    <t>Lambertová</t>
  </si>
  <si>
    <t>Jónová</t>
  </si>
  <si>
    <t>přesun z roku 2017</t>
  </si>
  <si>
    <t>vlastní podíl města, 1500 dešť. kanalizace,dotace 23100</t>
  </si>
  <si>
    <t>Poplatek za odnětí ZPF (Hraběnka)</t>
  </si>
  <si>
    <t>Areál Hraběnka - provoz</t>
  </si>
  <si>
    <t>700 na přestavbu pro odlehčovací služby</t>
  </si>
  <si>
    <t>z toho 1000 na vybavení</t>
  </si>
  <si>
    <t>z toho 80 mobilní rozhlas</t>
  </si>
  <si>
    <t>z toho 276 dotace na sportoviště a 1000 hor. stěna</t>
  </si>
  <si>
    <t>U Zollmana, před gymn., Poštovní, Jungmanova, Tyršovo nám.</t>
  </si>
  <si>
    <t>1687 doplatek VHS, 370 projekce</t>
  </si>
  <si>
    <t>R 2019</t>
  </si>
  <si>
    <t>rozp 19/</t>
  </si>
  <si>
    <t>plnění 18</t>
  </si>
  <si>
    <t>R 19/18</t>
  </si>
  <si>
    <t>odhad 2018</t>
  </si>
  <si>
    <t>O-R18</t>
  </si>
  <si>
    <t>R18/ plnění17</t>
  </si>
  <si>
    <t>Zůstatek z roku 2017</t>
  </si>
  <si>
    <t>viz usn ZM 108/17</t>
  </si>
  <si>
    <t>Příjem z pohledávky za zrušenou  přísp. org. SC</t>
  </si>
  <si>
    <t>Sportovní centrum Jilemnice, s.r.o splacení ZK</t>
  </si>
  <si>
    <t xml:space="preserve">SC,s.r.o -obnova a investice sportovních zařízení </t>
  </si>
  <si>
    <t>splacení základního kapitálu</t>
  </si>
  <si>
    <t>příplatek mimo základní kapitál</t>
  </si>
  <si>
    <t>ul. Metyšova - obnova vodohosp. sítí</t>
  </si>
  <si>
    <t>dotace VHS na spolufinancování</t>
  </si>
  <si>
    <t>Návrh rozpočtu na rok 2018 projednán ve FV dne 6.2.2018</t>
  </si>
  <si>
    <t>Návrh rozpočtu na rok 2018 schválen vedením města  dne 30.1.2018</t>
  </si>
  <si>
    <t xml:space="preserve">Návrh rozpočtu na rok 2018 projednán v RM dne 7.2.2018 </t>
  </si>
  <si>
    <t>Rozpočet na rok 2018 schválen ZM dne 28.2.2018 pod. č.usn. 10/18</t>
  </si>
  <si>
    <t>MĚSTO JILEMNICE -  Rozpočet 2018</t>
  </si>
  <si>
    <t>V Jilemnici 2.3.2018</t>
  </si>
  <si>
    <t>Ing. Miroslava Kynčlová</t>
  </si>
  <si>
    <t>vedoucí finančního odboru</t>
  </si>
  <si>
    <t>prodej čp. 21 , 1000, 1001</t>
  </si>
  <si>
    <t>MĚSTO JILEMNICE -   Schválený rozpočet 2018 - výdaje</t>
  </si>
  <si>
    <t>MĚSTO JILEMNICE -  Schválený rozpočet 2018 - 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</si>
</sst>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6" formatCode="#,##0.0000000"/>
    <numFmt numFmtId="167" formatCode="#,##0.000000"/>
    <numFmt numFmtId="168" formatCode="#,##0.00000"/>
    <numFmt numFmtId="169" formatCode="#,##0.000"/>
    <numFmt numFmtId="171" formatCode="#,##0_ ;[Red]\-#,##0\ "/>
    <numFmt numFmtId="173" formatCode="d/m/yy;@"/>
    <numFmt numFmtId="174" formatCode="0.0000"/>
    <numFmt numFmtId="175" formatCode="0.0000000000000000E+00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8"/>
      <color indexed="8"/>
      <name val="Arial CE"/>
      <charset val="238"/>
    </font>
    <font>
      <sz val="8"/>
      <name val="Arial"/>
      <family val="2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5" fillId="0" borderId="0"/>
    <xf numFmtId="9" fontId="1" fillId="0" borderId="0" applyFont="0" applyFill="0" applyBorder="0" applyAlignment="0" applyProtection="0"/>
  </cellStyleXfs>
  <cellXfs count="33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" fontId="3" fillId="0" borderId="5" xfId="0" applyNumberFormat="1" applyFont="1" applyBorder="1" applyAlignment="1">
      <alignment horizontal="center"/>
    </xf>
    <xf numFmtId="3" fontId="5" fillId="0" borderId="7" xfId="0" applyNumberFormat="1" applyFont="1" applyBorder="1"/>
    <xf numFmtId="0" fontId="3" fillId="0" borderId="9" xfId="0" applyFont="1" applyBorder="1"/>
    <xf numFmtId="3" fontId="4" fillId="0" borderId="7" xfId="0" applyNumberFormat="1" applyFont="1" applyBorder="1"/>
    <xf numFmtId="0" fontId="3" fillId="0" borderId="0" xfId="0" applyFont="1" applyBorder="1"/>
    <xf numFmtId="3" fontId="5" fillId="0" borderId="10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164" fontId="5" fillId="0" borderId="0" xfId="0" applyNumberFormat="1" applyFont="1"/>
    <xf numFmtId="0" fontId="5" fillId="0" borderId="0" xfId="0" applyFont="1"/>
    <xf numFmtId="0" fontId="5" fillId="0" borderId="0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/>
    <xf numFmtId="164" fontId="4" fillId="0" borderId="11" xfId="0" applyNumberFormat="1" applyFont="1" applyFill="1" applyBorder="1" applyAlignment="1" applyProtection="1">
      <alignment horizontal="right"/>
    </xf>
    <xf numFmtId="0" fontId="4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right"/>
    </xf>
    <xf numFmtId="0" fontId="5" fillId="0" borderId="10" xfId="0" applyNumberFormat="1" applyFont="1" applyFill="1" applyBorder="1" applyAlignment="1" applyProtection="1"/>
    <xf numFmtId="164" fontId="9" fillId="2" borderId="10" xfId="0" applyNumberFormat="1" applyFont="1" applyFill="1" applyBorder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/>
    <xf numFmtId="164" fontId="10" fillId="2" borderId="1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/>
    <xf numFmtId="3" fontId="5" fillId="0" borderId="9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3" fontId="4" fillId="0" borderId="6" xfId="0" applyNumberFormat="1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/>
    <xf numFmtId="3" fontId="4" fillId="0" borderId="2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8" xfId="0" applyNumberFormat="1" applyFont="1" applyFill="1" applyBorder="1" applyAlignment="1" applyProtection="1"/>
    <xf numFmtId="3" fontId="5" fillId="0" borderId="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3" fontId="5" fillId="0" borderId="21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3" fontId="5" fillId="0" borderId="22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/>
    <xf numFmtId="0" fontId="5" fillId="0" borderId="21" xfId="0" applyNumberFormat="1" applyFont="1" applyFill="1" applyBorder="1" applyAlignment="1" applyProtection="1"/>
    <xf numFmtId="4" fontId="5" fillId="0" borderId="0" xfId="0" applyNumberFormat="1" applyFont="1"/>
    <xf numFmtId="4" fontId="4" fillId="0" borderId="0" xfId="0" applyNumberFormat="1" applyFont="1"/>
    <xf numFmtId="0" fontId="4" fillId="0" borderId="2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>
      <alignment horizontal="right"/>
    </xf>
    <xf numFmtId="3" fontId="9" fillId="0" borderId="10" xfId="0" applyNumberFormat="1" applyFont="1" applyFill="1" applyBorder="1" applyAlignment="1" applyProtection="1">
      <alignment horizontal="right"/>
    </xf>
    <xf numFmtId="3" fontId="9" fillId="0" borderId="13" xfId="0" applyNumberFormat="1" applyFont="1" applyFill="1" applyBorder="1" applyAlignment="1" applyProtection="1">
      <alignment horizontal="right"/>
    </xf>
    <xf numFmtId="3" fontId="10" fillId="2" borderId="10" xfId="0" applyNumberFormat="1" applyFont="1" applyFill="1" applyBorder="1" applyAlignment="1" applyProtection="1">
      <alignment horizontal="right"/>
    </xf>
    <xf numFmtId="0" fontId="16" fillId="0" borderId="8" xfId="0" applyFont="1" applyBorder="1"/>
    <xf numFmtId="3" fontId="9" fillId="2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/>
    <xf numFmtId="3" fontId="5" fillId="0" borderId="24" xfId="0" applyNumberFormat="1" applyFont="1" applyBorder="1"/>
    <xf numFmtId="0" fontId="3" fillId="0" borderId="6" xfId="0" applyFont="1" applyBorder="1"/>
    <xf numFmtId="9" fontId="5" fillId="0" borderId="8" xfId="0" applyNumberFormat="1" applyFont="1" applyBorder="1"/>
    <xf numFmtId="9" fontId="4" fillId="0" borderId="8" xfId="0" applyNumberFormat="1" applyFont="1" applyBorder="1"/>
    <xf numFmtId="0" fontId="5" fillId="0" borderId="8" xfId="0" applyFont="1" applyBorder="1"/>
    <xf numFmtId="0" fontId="4" fillId="0" borderId="8" xfId="0" applyFont="1" applyBorder="1"/>
    <xf numFmtId="3" fontId="4" fillId="0" borderId="8" xfId="0" applyNumberFormat="1" applyFont="1" applyBorder="1"/>
    <xf numFmtId="0" fontId="5" fillId="0" borderId="6" xfId="0" applyFont="1" applyBorder="1"/>
    <xf numFmtId="0" fontId="4" fillId="0" borderId="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/>
    <xf numFmtId="3" fontId="4" fillId="0" borderId="10" xfId="0" applyNumberFormat="1" applyFont="1" applyFill="1" applyBorder="1"/>
    <xf numFmtId="0" fontId="16" fillId="0" borderId="0" xfId="0" applyFont="1"/>
    <xf numFmtId="0" fontId="3" fillId="0" borderId="10" xfId="0" applyNumberFormat="1" applyFont="1" applyFill="1" applyBorder="1" applyAlignment="1" applyProtection="1"/>
    <xf numFmtId="0" fontId="5" fillId="0" borderId="0" xfId="0" applyFont="1" applyFill="1"/>
    <xf numFmtId="0" fontId="4" fillId="0" borderId="18" xfId="0" applyNumberFormat="1" applyFont="1" applyFill="1" applyBorder="1" applyAlignment="1" applyProtection="1"/>
    <xf numFmtId="0" fontId="16" fillId="0" borderId="9" xfId="0" applyFont="1" applyBorder="1"/>
    <xf numFmtId="164" fontId="16" fillId="0" borderId="0" xfId="0" applyNumberFormat="1" applyFont="1"/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164" fontId="16" fillId="0" borderId="0" xfId="0" applyNumberFormat="1" applyFont="1" applyFill="1" applyBorder="1" applyAlignment="1" applyProtection="1">
      <alignment horizontal="right"/>
    </xf>
    <xf numFmtId="0" fontId="16" fillId="0" borderId="10" xfId="0" applyNumberFormat="1" applyFont="1" applyFill="1" applyBorder="1" applyAlignment="1" applyProtection="1"/>
    <xf numFmtId="0" fontId="3" fillId="2" borderId="10" xfId="0" applyNumberFormat="1" applyFont="1" applyFill="1" applyBorder="1" applyAlignment="1" applyProtection="1"/>
    <xf numFmtId="164" fontId="3" fillId="2" borderId="10" xfId="0" applyNumberFormat="1" applyFont="1" applyFill="1" applyBorder="1" applyAlignment="1" applyProtection="1"/>
    <xf numFmtId="0" fontId="5" fillId="0" borderId="10" xfId="0" applyNumberFormat="1" applyFont="1" applyFill="1" applyBorder="1" applyAlignment="1" applyProtection="1">
      <alignment horizontal="right"/>
    </xf>
    <xf numFmtId="3" fontId="16" fillId="0" borderId="0" xfId="0" applyNumberFormat="1" applyFont="1"/>
    <xf numFmtId="0" fontId="5" fillId="0" borderId="1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/>
    <xf numFmtId="0" fontId="4" fillId="0" borderId="13" xfId="0" applyNumberFormat="1" applyFont="1" applyFill="1" applyBorder="1" applyAlignment="1" applyProtection="1"/>
    <xf numFmtId="0" fontId="16" fillId="0" borderId="0" xfId="0" applyFont="1" applyFill="1"/>
    <xf numFmtId="0" fontId="5" fillId="0" borderId="13" xfId="0" applyNumberFormat="1" applyFont="1" applyFill="1" applyBorder="1" applyAlignment="1" applyProtection="1"/>
    <xf numFmtId="0" fontId="16" fillId="0" borderId="13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/>
    <xf numFmtId="3" fontId="4" fillId="0" borderId="13" xfId="0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4" fontId="16" fillId="0" borderId="0" xfId="0" applyNumberFormat="1" applyFont="1"/>
    <xf numFmtId="3" fontId="9" fillId="3" borderId="12" xfId="0" applyNumberFormat="1" applyFont="1" applyFill="1" applyBorder="1" applyAlignment="1" applyProtection="1">
      <alignment horizontal="right"/>
    </xf>
    <xf numFmtId="0" fontId="16" fillId="0" borderId="4" xfId="0" applyFont="1" applyBorder="1"/>
    <xf numFmtId="0" fontId="16" fillId="0" borderId="0" xfId="0" applyFont="1" applyBorder="1"/>
    <xf numFmtId="0" fontId="4" fillId="0" borderId="26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4" fillId="0" borderId="19" xfId="0" applyNumberFormat="1" applyFont="1" applyFill="1" applyBorder="1" applyAlignment="1" applyProtection="1"/>
    <xf numFmtId="0" fontId="16" fillId="0" borderId="21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>
      <alignment horizontal="center"/>
    </xf>
    <xf numFmtId="169" fontId="16" fillId="0" borderId="0" xfId="0" applyNumberFormat="1" applyFont="1" applyFill="1"/>
    <xf numFmtId="3" fontId="16" fillId="0" borderId="0" xfId="0" applyNumberFormat="1" applyFont="1" applyFill="1"/>
    <xf numFmtId="3" fontId="5" fillId="0" borderId="27" xfId="0" applyNumberFormat="1" applyFont="1" applyFill="1" applyBorder="1" applyAlignment="1" applyProtection="1"/>
    <xf numFmtId="3" fontId="10" fillId="0" borderId="14" xfId="0" applyNumberFormat="1" applyFont="1" applyFill="1" applyBorder="1" applyAlignment="1" applyProtection="1">
      <alignment horizontal="right"/>
    </xf>
    <xf numFmtId="3" fontId="5" fillId="0" borderId="14" xfId="0" applyNumberFormat="1" applyFont="1" applyFill="1" applyBorder="1" applyAlignment="1" applyProtection="1">
      <alignment horizontal="right"/>
    </xf>
    <xf numFmtId="3" fontId="16" fillId="0" borderId="0" xfId="0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/>
    <xf numFmtId="9" fontId="16" fillId="0" borderId="0" xfId="2" applyFont="1"/>
    <xf numFmtId="9" fontId="16" fillId="0" borderId="0" xfId="2" applyFont="1" applyFill="1" applyBorder="1" applyAlignment="1" applyProtection="1">
      <alignment horizontal="right"/>
    </xf>
    <xf numFmtId="9" fontId="4" fillId="0" borderId="5" xfId="2" applyFont="1" applyFill="1" applyBorder="1" applyAlignment="1" applyProtection="1">
      <alignment horizontal="right"/>
    </xf>
    <xf numFmtId="9" fontId="9" fillId="2" borderId="10" xfId="2" applyFont="1" applyFill="1" applyBorder="1" applyAlignment="1" applyProtection="1">
      <alignment horizontal="right"/>
    </xf>
    <xf numFmtId="9" fontId="9" fillId="0" borderId="10" xfId="2" applyFont="1" applyFill="1" applyBorder="1" applyAlignment="1" applyProtection="1">
      <alignment horizontal="right"/>
    </xf>
    <xf numFmtId="9" fontId="10" fillId="0" borderId="10" xfId="2" applyFont="1" applyFill="1" applyBorder="1" applyAlignment="1" applyProtection="1">
      <alignment horizontal="right"/>
    </xf>
    <xf numFmtId="9" fontId="9" fillId="0" borderId="13" xfId="2" applyFont="1" applyFill="1" applyBorder="1" applyAlignment="1" applyProtection="1">
      <alignment horizontal="right"/>
    </xf>
    <xf numFmtId="9" fontId="10" fillId="2" borderId="10" xfId="2" applyFont="1" applyFill="1" applyBorder="1" applyAlignment="1" applyProtection="1">
      <alignment horizontal="right"/>
    </xf>
    <xf numFmtId="9" fontId="4" fillId="0" borderId="28" xfId="2" applyFont="1" applyFill="1" applyBorder="1" applyAlignment="1" applyProtection="1">
      <alignment horizontal="center"/>
    </xf>
    <xf numFmtId="9" fontId="10" fillId="0" borderId="14" xfId="2" applyFont="1" applyFill="1" applyBorder="1" applyAlignment="1" applyProtection="1">
      <alignment horizontal="right"/>
    </xf>
    <xf numFmtId="9" fontId="13" fillId="0" borderId="14" xfId="2" applyFont="1" applyFill="1" applyBorder="1" applyAlignment="1" applyProtection="1">
      <alignment horizontal="right"/>
    </xf>
    <xf numFmtId="9" fontId="13" fillId="0" borderId="17" xfId="2" applyFont="1" applyFill="1" applyBorder="1" applyAlignment="1" applyProtection="1">
      <alignment horizontal="right"/>
    </xf>
    <xf numFmtId="9" fontId="4" fillId="0" borderId="11" xfId="2" applyFont="1" applyFill="1" applyBorder="1" applyAlignment="1" applyProtection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29" xfId="0" applyNumberFormat="1" applyFont="1" applyFill="1" applyBorder="1" applyAlignment="1" applyProtection="1">
      <alignment horizontal="center"/>
    </xf>
    <xf numFmtId="3" fontId="4" fillId="0" borderId="11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49" fontId="4" fillId="4" borderId="5" xfId="0" applyNumberFormat="1" applyFont="1" applyFill="1" applyBorder="1" applyAlignment="1" applyProtection="1">
      <alignment horizontal="center"/>
    </xf>
    <xf numFmtId="164" fontId="16" fillId="4" borderId="0" xfId="0" applyNumberFormat="1" applyFont="1" applyFill="1"/>
    <xf numFmtId="3" fontId="4" fillId="0" borderId="14" xfId="0" applyNumberFormat="1" applyFont="1" applyFill="1" applyBorder="1" applyAlignment="1" applyProtection="1">
      <alignment horizontal="right"/>
    </xf>
    <xf numFmtId="3" fontId="5" fillId="3" borderId="8" xfId="0" applyNumberFormat="1" applyFont="1" applyFill="1" applyBorder="1" applyAlignment="1" applyProtection="1"/>
    <xf numFmtId="0" fontId="5" fillId="0" borderId="31" xfId="0" applyNumberFormat="1" applyFont="1" applyFill="1" applyBorder="1" applyAlignment="1" applyProtection="1"/>
    <xf numFmtId="3" fontId="7" fillId="0" borderId="0" xfId="0" applyNumberFormat="1" applyFont="1"/>
    <xf numFmtId="9" fontId="9" fillId="3" borderId="12" xfId="2" applyFont="1" applyFill="1" applyBorder="1" applyAlignment="1" applyProtection="1">
      <alignment horizontal="right"/>
    </xf>
    <xf numFmtId="9" fontId="21" fillId="0" borderId="10" xfId="2" applyFont="1" applyFill="1" applyBorder="1" applyAlignment="1" applyProtection="1">
      <alignment horizontal="right"/>
    </xf>
    <xf numFmtId="9" fontId="16" fillId="0" borderId="0" xfId="2" applyFont="1" applyBorder="1"/>
    <xf numFmtId="164" fontId="16" fillId="4" borderId="0" xfId="0" applyNumberFormat="1" applyFont="1" applyFill="1" applyBorder="1"/>
    <xf numFmtId="0" fontId="3" fillId="0" borderId="30" xfId="0" applyFont="1" applyBorder="1"/>
    <xf numFmtId="0" fontId="3" fillId="0" borderId="32" xfId="0" applyFont="1" applyBorder="1"/>
    <xf numFmtId="0" fontId="16" fillId="0" borderId="33" xfId="0" applyFont="1" applyBorder="1"/>
    <xf numFmtId="0" fontId="3" fillId="0" borderId="33" xfId="0" applyFont="1" applyBorder="1"/>
    <xf numFmtId="0" fontId="3" fillId="0" borderId="33" xfId="0" applyFont="1" applyBorder="1" applyAlignment="1">
      <alignment horizontal="right"/>
    </xf>
    <xf numFmtId="49" fontId="16" fillId="0" borderId="33" xfId="0" applyNumberFormat="1" applyFont="1" applyBorder="1" applyAlignment="1">
      <alignment horizontal="right"/>
    </xf>
    <xf numFmtId="0" fontId="16" fillId="0" borderId="32" xfId="0" applyFont="1" applyBorder="1"/>
    <xf numFmtId="0" fontId="5" fillId="0" borderId="0" xfId="0" applyFont="1" applyFill="1" applyAlignment="1"/>
    <xf numFmtId="3" fontId="5" fillId="0" borderId="0" xfId="0" applyNumberFormat="1" applyFont="1" applyFill="1" applyAlignment="1"/>
    <xf numFmtId="4" fontId="5" fillId="0" borderId="0" xfId="0" applyNumberFormat="1" applyFont="1" applyFill="1" applyAlignment="1"/>
    <xf numFmtId="9" fontId="5" fillId="0" borderId="0" xfId="2" applyFont="1" applyBorder="1"/>
    <xf numFmtId="49" fontId="16" fillId="0" borderId="10" xfId="0" applyNumberFormat="1" applyFont="1" applyFill="1" applyBorder="1" applyAlignment="1" applyProtection="1">
      <alignment horizontal="left"/>
    </xf>
    <xf numFmtId="0" fontId="3" fillId="0" borderId="0" xfId="0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right"/>
    </xf>
    <xf numFmtId="0" fontId="16" fillId="0" borderId="28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168" fontId="16" fillId="0" borderId="14" xfId="0" applyNumberFormat="1" applyFont="1" applyBorder="1" applyAlignment="1">
      <alignment horizontal="right"/>
    </xf>
    <xf numFmtId="4" fontId="16" fillId="0" borderId="14" xfId="0" applyNumberFormat="1" applyFont="1" applyBorder="1" applyAlignment="1">
      <alignment horizontal="right"/>
    </xf>
    <xf numFmtId="0" fontId="16" fillId="0" borderId="17" xfId="0" applyFont="1" applyBorder="1" applyAlignment="1">
      <alignment horizontal="righ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9" fontId="5" fillId="0" borderId="10" xfId="0" applyNumberFormat="1" applyFont="1" applyFill="1" applyBorder="1" applyAlignment="1" applyProtection="1"/>
    <xf numFmtId="1" fontId="4" fillId="4" borderId="11" xfId="0" applyNumberFormat="1" applyFont="1" applyFill="1" applyBorder="1" applyAlignment="1" applyProtection="1">
      <alignment horizontal="center"/>
    </xf>
    <xf numFmtId="171" fontId="10" fillId="4" borderId="10" xfId="0" applyNumberFormat="1" applyFont="1" applyFill="1" applyBorder="1" applyAlignment="1" applyProtection="1">
      <alignment horizontal="right"/>
    </xf>
    <xf numFmtId="171" fontId="4" fillId="4" borderId="10" xfId="0" applyNumberFormat="1" applyFont="1" applyFill="1" applyBorder="1" applyAlignment="1" applyProtection="1"/>
    <xf numFmtId="171" fontId="4" fillId="4" borderId="28" xfId="0" applyNumberFormat="1" applyFont="1" applyFill="1" applyBorder="1" applyAlignment="1" applyProtection="1">
      <alignment horizontal="right"/>
    </xf>
    <xf numFmtId="171" fontId="8" fillId="0" borderId="10" xfId="0" applyNumberFormat="1" applyFont="1" applyFill="1" applyBorder="1" applyAlignment="1" applyProtection="1"/>
    <xf numFmtId="0" fontId="0" fillId="0" borderId="0" xfId="0" applyBorder="1" applyAlignment="1"/>
    <xf numFmtId="0" fontId="0" fillId="0" borderId="0" xfId="0" applyFill="1" applyBorder="1" applyAlignment="1"/>
    <xf numFmtId="0" fontId="16" fillId="0" borderId="29" xfId="0" applyFont="1" applyBorder="1"/>
    <xf numFmtId="3" fontId="5" fillId="5" borderId="8" xfId="0" applyNumberFormat="1" applyFont="1" applyFill="1" applyBorder="1" applyAlignment="1" applyProtection="1"/>
    <xf numFmtId="3" fontId="5" fillId="4" borderId="8" xfId="0" applyNumberFormat="1" applyFont="1" applyFill="1" applyBorder="1" applyAlignment="1" applyProtection="1"/>
    <xf numFmtId="3" fontId="5" fillId="2" borderId="8" xfId="0" applyNumberFormat="1" applyFont="1" applyFill="1" applyBorder="1" applyAlignment="1" applyProtection="1"/>
    <xf numFmtId="3" fontId="5" fillId="4" borderId="22" xfId="0" applyNumberFormat="1" applyFont="1" applyFill="1" applyBorder="1" applyAlignment="1" applyProtection="1"/>
    <xf numFmtId="3" fontId="5" fillId="5" borderId="22" xfId="0" applyNumberFormat="1" applyFont="1" applyFill="1" applyBorder="1" applyAlignment="1" applyProtection="1"/>
    <xf numFmtId="0" fontId="5" fillId="7" borderId="8" xfId="0" applyNumberFormat="1" applyFont="1" applyFill="1" applyBorder="1" applyAlignment="1" applyProtection="1"/>
    <xf numFmtId="0" fontId="16" fillId="0" borderId="20" xfId="0" applyFont="1" applyBorder="1"/>
    <xf numFmtId="0" fontId="5" fillId="6" borderId="8" xfId="0" applyFont="1" applyFill="1" applyBorder="1"/>
    <xf numFmtId="3" fontId="5" fillId="8" borderId="8" xfId="0" applyNumberFormat="1" applyFont="1" applyFill="1" applyBorder="1" applyAlignment="1" applyProtection="1"/>
    <xf numFmtId="3" fontId="5" fillId="6" borderId="9" xfId="0" applyNumberFormat="1" applyFont="1" applyFill="1" applyBorder="1" applyAlignment="1" applyProtection="1"/>
    <xf numFmtId="3" fontId="5" fillId="2" borderId="9" xfId="0" applyNumberFormat="1" applyFont="1" applyFill="1" applyBorder="1" applyAlignment="1" applyProtection="1"/>
    <xf numFmtId="3" fontId="5" fillId="4" borderId="21" xfId="0" applyNumberFormat="1" applyFont="1" applyFill="1" applyBorder="1" applyAlignment="1" applyProtection="1"/>
    <xf numFmtId="0" fontId="5" fillId="5" borderId="9" xfId="0" applyNumberFormat="1" applyFont="1" applyFill="1" applyBorder="1" applyAlignment="1" applyProtection="1"/>
    <xf numFmtId="3" fontId="5" fillId="4" borderId="9" xfId="0" applyNumberFormat="1" applyFont="1" applyFill="1" applyBorder="1" applyAlignment="1" applyProtection="1"/>
    <xf numFmtId="3" fontId="5" fillId="0" borderId="19" xfId="0" applyNumberFormat="1" applyFont="1" applyFill="1" applyBorder="1" applyAlignment="1" applyProtection="1"/>
    <xf numFmtId="0" fontId="5" fillId="4" borderId="9" xfId="0" applyNumberFormat="1" applyFont="1" applyFill="1" applyBorder="1" applyAlignment="1" applyProtection="1"/>
    <xf numFmtId="3" fontId="5" fillId="8" borderId="9" xfId="0" applyNumberFormat="1" applyFont="1" applyFill="1" applyBorder="1" applyAlignment="1" applyProtection="1"/>
    <xf numFmtId="0" fontId="5" fillId="3" borderId="9" xfId="0" applyFont="1" applyFill="1" applyBorder="1"/>
    <xf numFmtId="3" fontId="5" fillId="7" borderId="9" xfId="0" applyNumberFormat="1" applyFont="1" applyFill="1" applyBorder="1" applyAlignment="1" applyProtection="1"/>
    <xf numFmtId="3" fontId="5" fillId="9" borderId="9" xfId="0" applyNumberFormat="1" applyFont="1" applyFill="1" applyBorder="1" applyAlignment="1" applyProtection="1"/>
    <xf numFmtId="3" fontId="5" fillId="5" borderId="9" xfId="0" applyNumberFormat="1" applyFont="1" applyFill="1" applyBorder="1" applyAlignment="1" applyProtection="1"/>
    <xf numFmtId="3" fontId="1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164" fontId="16" fillId="0" borderId="0" xfId="0" applyNumberFormat="1" applyFont="1" applyFill="1"/>
    <xf numFmtId="0" fontId="16" fillId="0" borderId="0" xfId="0" applyFont="1" applyFill="1" applyBorder="1"/>
    <xf numFmtId="3" fontId="1" fillId="0" borderId="0" xfId="0" applyNumberFormat="1" applyFont="1" applyFill="1"/>
    <xf numFmtId="171" fontId="19" fillId="4" borderId="10" xfId="0" applyNumberFormat="1" applyFont="1" applyFill="1" applyBorder="1" applyAlignment="1" applyProtection="1">
      <alignment horizontal="right"/>
    </xf>
    <xf numFmtId="171" fontId="5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>
      <alignment horizontal="right"/>
    </xf>
    <xf numFmtId="171" fontId="9" fillId="4" borderId="13" xfId="0" applyNumberFormat="1" applyFont="1" applyFill="1" applyBorder="1" applyAlignment="1" applyProtection="1">
      <alignment horizontal="right"/>
    </xf>
    <xf numFmtId="171" fontId="3" fillId="2" borderId="10" xfId="0" applyNumberFormat="1" applyFont="1" applyFill="1" applyBorder="1" applyAlignment="1" applyProtection="1"/>
    <xf numFmtId="171" fontId="4" fillId="0" borderId="10" xfId="0" applyNumberFormat="1" applyFont="1" applyFill="1" applyBorder="1" applyAlignment="1" applyProtection="1"/>
    <xf numFmtId="168" fontId="16" fillId="0" borderId="0" xfId="0" applyNumberFormat="1" applyFont="1" applyAlignment="1">
      <alignment horizontal="right"/>
    </xf>
    <xf numFmtId="0" fontId="20" fillId="9" borderId="9" xfId="0" applyFont="1" applyFill="1" applyBorder="1"/>
    <xf numFmtId="9" fontId="19" fillId="0" borderId="10" xfId="2" applyFont="1" applyFill="1" applyBorder="1" applyAlignment="1" applyProtection="1">
      <alignment horizontal="right"/>
    </xf>
    <xf numFmtId="0" fontId="5" fillId="0" borderId="14" xfId="0" applyFont="1" applyFill="1" applyBorder="1" applyAlignment="1">
      <alignment horizontal="right"/>
    </xf>
    <xf numFmtId="169" fontId="7" fillId="0" borderId="0" xfId="0" applyNumberFormat="1" applyFont="1" applyFill="1"/>
    <xf numFmtId="164" fontId="7" fillId="0" borderId="0" xfId="0" applyNumberFormat="1" applyFont="1" applyFill="1"/>
    <xf numFmtId="0" fontId="7" fillId="0" borderId="0" xfId="0" applyFont="1" applyFill="1" applyBorder="1"/>
    <xf numFmtId="164" fontId="8" fillId="0" borderId="0" xfId="0" applyNumberFormat="1" applyFont="1" applyFill="1" applyAlignment="1">
      <alignment horizontal="right"/>
    </xf>
    <xf numFmtId="169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/>
    <xf numFmtId="169" fontId="1" fillId="0" borderId="0" xfId="0" applyNumberFormat="1" applyFont="1" applyFill="1"/>
    <xf numFmtId="169" fontId="6" fillId="0" borderId="0" xfId="0" applyNumberFormat="1" applyFont="1" applyFill="1"/>
    <xf numFmtId="171" fontId="9" fillId="0" borderId="10" xfId="0" applyNumberFormat="1" applyFont="1" applyFill="1" applyBorder="1" applyAlignment="1" applyProtection="1">
      <alignment horizontal="right"/>
    </xf>
    <xf numFmtId="171" fontId="9" fillId="0" borderId="13" xfId="0" applyNumberFormat="1" applyFont="1" applyFill="1" applyBorder="1" applyAlignment="1" applyProtection="1">
      <alignment horizontal="right"/>
    </xf>
    <xf numFmtId="171" fontId="9" fillId="3" borderId="12" xfId="0" applyNumberFormat="1" applyFont="1" applyFill="1" applyBorder="1" applyAlignment="1" applyProtection="1">
      <alignment horizontal="right"/>
    </xf>
    <xf numFmtId="171" fontId="10" fillId="4" borderId="14" xfId="0" applyNumberFormat="1" applyFont="1" applyFill="1" applyBorder="1" applyAlignment="1" applyProtection="1">
      <alignment horizontal="right"/>
    </xf>
    <xf numFmtId="171" fontId="19" fillId="4" borderId="14" xfId="0" applyNumberFormat="1" applyFont="1" applyFill="1" applyBorder="1" applyAlignment="1" applyProtection="1">
      <alignment horizontal="right"/>
    </xf>
    <xf numFmtId="171" fontId="19" fillId="4" borderId="17" xfId="0" applyNumberFormat="1" applyFont="1" applyFill="1" applyBorder="1" applyAlignment="1" applyProtection="1">
      <alignment horizontal="right"/>
    </xf>
    <xf numFmtId="3" fontId="5" fillId="0" borderId="14" xfId="0" applyNumberFormat="1" applyFont="1" applyFill="1" applyBorder="1" applyAlignment="1" applyProtection="1"/>
    <xf numFmtId="3" fontId="3" fillId="0" borderId="17" xfId="0" applyNumberFormat="1" applyFont="1" applyFill="1" applyBorder="1" applyAlignment="1" applyProtection="1">
      <alignment horizontal="right"/>
    </xf>
    <xf numFmtId="4" fontId="16" fillId="0" borderId="0" xfId="0" applyNumberFormat="1" applyFont="1" applyBorder="1"/>
    <xf numFmtId="0" fontId="6" fillId="0" borderId="31" xfId="0" applyNumberFormat="1" applyFont="1" applyFill="1" applyBorder="1" applyAlignment="1" applyProtection="1"/>
    <xf numFmtId="169" fontId="16" fillId="0" borderId="0" xfId="0" applyNumberFormat="1" applyFont="1"/>
    <xf numFmtId="0" fontId="4" fillId="0" borderId="9" xfId="0" applyNumberFormat="1" applyFont="1" applyFill="1" applyBorder="1" applyAlignment="1" applyProtection="1">
      <alignment horizontal="left"/>
    </xf>
    <xf numFmtId="9" fontId="4" fillId="0" borderId="4" xfId="2" applyFont="1" applyFill="1" applyBorder="1" applyAlignment="1" applyProtection="1">
      <alignment horizontal="left"/>
    </xf>
    <xf numFmtId="4" fontId="5" fillId="0" borderId="0" xfId="0" applyNumberFormat="1" applyFont="1" applyBorder="1"/>
    <xf numFmtId="169" fontId="5" fillId="0" borderId="0" xfId="0" applyNumberFormat="1" applyFont="1" applyBorder="1"/>
    <xf numFmtId="164" fontId="16" fillId="0" borderId="0" xfId="0" applyNumberFormat="1" applyFont="1" applyBorder="1"/>
    <xf numFmtId="4" fontId="16" fillId="0" borderId="0" xfId="0" applyNumberFormat="1" applyFont="1" applyFill="1" applyBorder="1" applyAlignment="1" applyProtection="1"/>
    <xf numFmtId="1" fontId="16" fillId="0" borderId="10" xfId="0" applyNumberFormat="1" applyFont="1" applyFill="1" applyBorder="1" applyAlignment="1" applyProtection="1">
      <alignment horizontal="right"/>
    </xf>
    <xf numFmtId="173" fontId="4" fillId="0" borderId="5" xfId="0" applyNumberFormat="1" applyFont="1" applyFill="1" applyBorder="1" applyAlignment="1" applyProtection="1">
      <alignment horizontal="center"/>
    </xf>
    <xf numFmtId="3" fontId="21" fillId="0" borderId="10" xfId="0" applyNumberFormat="1" applyFont="1" applyFill="1" applyBorder="1" applyAlignment="1" applyProtection="1">
      <alignment horizontal="right"/>
    </xf>
    <xf numFmtId="0" fontId="5" fillId="2" borderId="8" xfId="0" applyNumberFormat="1" applyFont="1" applyFill="1" applyBorder="1" applyAlignment="1" applyProtection="1"/>
    <xf numFmtId="169" fontId="5" fillId="0" borderId="0" xfId="0" applyNumberFormat="1" applyFont="1"/>
    <xf numFmtId="0" fontId="4" fillId="0" borderId="31" xfId="0" applyNumberFormat="1" applyFont="1" applyFill="1" applyBorder="1" applyAlignment="1" applyProtection="1"/>
    <xf numFmtId="3" fontId="21" fillId="9" borderId="8" xfId="0" applyNumberFormat="1" applyFont="1" applyFill="1" applyBorder="1" applyAlignment="1" applyProtection="1">
      <alignment horizontal="left"/>
    </xf>
    <xf numFmtId="3" fontId="6" fillId="9" borderId="9" xfId="0" applyNumberFormat="1" applyFont="1" applyFill="1" applyBorder="1" applyAlignment="1" applyProtection="1"/>
    <xf numFmtId="0" fontId="5" fillId="0" borderId="31" xfId="0" applyFont="1" applyFill="1" applyBorder="1"/>
    <xf numFmtId="0" fontId="4" fillId="0" borderId="31" xfId="0" applyNumberFormat="1" applyFont="1" applyFill="1" applyBorder="1" applyAlignment="1" applyProtection="1">
      <alignment horizontal="center"/>
    </xf>
    <xf numFmtId="0" fontId="4" fillId="0" borderId="41" xfId="0" applyNumberFormat="1" applyFont="1" applyFill="1" applyBorder="1" applyAlignment="1" applyProtection="1">
      <alignment horizontal="center"/>
    </xf>
    <xf numFmtId="0" fontId="4" fillId="0" borderId="42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2" borderId="31" xfId="0" applyNumberFormat="1" applyFont="1" applyFill="1" applyBorder="1" applyAlignment="1" applyProtection="1"/>
    <xf numFmtId="0" fontId="5" fillId="4" borderId="21" xfId="0" applyNumberFormat="1" applyFont="1" applyFill="1" applyBorder="1" applyAlignment="1" applyProtection="1"/>
    <xf numFmtId="3" fontId="5" fillId="2" borderId="22" xfId="0" applyNumberFormat="1" applyFont="1" applyFill="1" applyBorder="1" applyAlignment="1" applyProtection="1"/>
    <xf numFmtId="0" fontId="4" fillId="0" borderId="26" xfId="0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Border="1"/>
    <xf numFmtId="0" fontId="5" fillId="5" borderId="9" xfId="0" applyFont="1" applyFill="1" applyBorder="1"/>
    <xf numFmtId="0" fontId="5" fillId="5" borderId="21" xfId="0" applyFont="1" applyFill="1" applyBorder="1"/>
    <xf numFmtId="0" fontId="5" fillId="0" borderId="10" xfId="0" applyFont="1" applyFill="1" applyBorder="1"/>
    <xf numFmtId="4" fontId="7" fillId="0" borderId="0" xfId="0" applyNumberFormat="1" applyFont="1" applyFill="1"/>
    <xf numFmtId="173" fontId="4" fillId="0" borderId="16" xfId="0" applyNumberFormat="1" applyFont="1" applyFill="1" applyBorder="1" applyAlignment="1" applyProtection="1">
      <alignment horizontal="center"/>
    </xf>
    <xf numFmtId="0" fontId="0" fillId="0" borderId="10" xfId="0" applyNumberFormat="1" applyFont="1" applyFill="1" applyBorder="1" applyAlignment="1" applyProtection="1"/>
    <xf numFmtId="4" fontId="16" fillId="0" borderId="0" xfId="0" applyNumberFormat="1" applyFont="1" applyFill="1"/>
    <xf numFmtId="49" fontId="4" fillId="0" borderId="28" xfId="0" applyNumberFormat="1" applyFont="1" applyFill="1" applyBorder="1" applyAlignment="1" applyProtection="1">
      <alignment horizontal="center"/>
    </xf>
    <xf numFmtId="9" fontId="10" fillId="0" borderId="10" xfId="2" applyNumberFormat="1" applyFont="1" applyFill="1" applyBorder="1" applyAlignment="1" applyProtection="1">
      <alignment horizontal="right"/>
    </xf>
    <xf numFmtId="4" fontId="3" fillId="0" borderId="0" xfId="0" applyNumberFormat="1" applyFont="1"/>
    <xf numFmtId="175" fontId="16" fillId="0" borderId="0" xfId="0" applyNumberFormat="1" applyFont="1"/>
    <xf numFmtId="0" fontId="26" fillId="0" borderId="21" xfId="0" applyNumberFormat="1" applyFont="1" applyFill="1" applyBorder="1" applyAlignment="1" applyProtection="1"/>
    <xf numFmtId="0" fontId="26" fillId="0" borderId="12" xfId="0" applyNumberFormat="1" applyFont="1" applyFill="1" applyBorder="1" applyAlignment="1" applyProtection="1"/>
    <xf numFmtId="0" fontId="26" fillId="5" borderId="21" xfId="0" applyFont="1" applyFill="1" applyBorder="1"/>
    <xf numFmtId="3" fontId="26" fillId="5" borderId="22" xfId="0" applyNumberFormat="1" applyFont="1" applyFill="1" applyBorder="1" applyAlignment="1" applyProtection="1"/>
    <xf numFmtId="0" fontId="26" fillId="0" borderId="0" xfId="0" applyFont="1"/>
    <xf numFmtId="0" fontId="5" fillId="10" borderId="31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4" fontId="0" fillId="0" borderId="0" xfId="0" applyNumberFormat="1" applyFill="1" applyBorder="1" applyAlignment="1"/>
    <xf numFmtId="169" fontId="0" fillId="0" borderId="0" xfId="0" applyNumberFormat="1" applyFont="1"/>
    <xf numFmtId="168" fontId="16" fillId="0" borderId="0" xfId="0" applyNumberFormat="1" applyFont="1" applyFill="1" applyBorder="1"/>
    <xf numFmtId="168" fontId="4" fillId="0" borderId="38" xfId="0" applyNumberFormat="1" applyFont="1" applyFill="1" applyBorder="1" applyAlignment="1" applyProtection="1">
      <alignment horizontal="center"/>
    </xf>
    <xf numFmtId="3" fontId="9" fillId="3" borderId="13" xfId="0" applyNumberFormat="1" applyFont="1" applyFill="1" applyBorder="1" applyAlignment="1" applyProtection="1">
      <alignment horizontal="right"/>
    </xf>
    <xf numFmtId="0" fontId="5" fillId="0" borderId="16" xfId="0" applyNumberFormat="1" applyFont="1" applyFill="1" applyBorder="1" applyAlignment="1" applyProtection="1"/>
    <xf numFmtId="0" fontId="11" fillId="3" borderId="39" xfId="0" applyNumberFormat="1" applyFont="1" applyFill="1" applyBorder="1" applyAlignment="1" applyProtection="1"/>
    <xf numFmtId="164" fontId="12" fillId="3" borderId="13" xfId="0" applyNumberFormat="1" applyFont="1" applyFill="1" applyBorder="1" applyAlignment="1" applyProtection="1"/>
    <xf numFmtId="4" fontId="10" fillId="3" borderId="34" xfId="0" applyNumberFormat="1" applyFont="1" applyFill="1" applyBorder="1" applyAlignment="1" applyProtection="1">
      <alignment horizontal="right"/>
    </xf>
    <xf numFmtId="1" fontId="4" fillId="4" borderId="43" xfId="0" applyNumberFormat="1" applyFont="1" applyFill="1" applyBorder="1" applyAlignment="1" applyProtection="1">
      <alignment horizontal="center"/>
    </xf>
    <xf numFmtId="49" fontId="4" fillId="4" borderId="24" xfId="0" applyNumberFormat="1" applyFont="1" applyFill="1" applyBorder="1" applyAlignment="1" applyProtection="1">
      <alignment horizontal="center"/>
    </xf>
    <xf numFmtId="164" fontId="3" fillId="2" borderId="7" xfId="0" applyNumberFormat="1" applyFont="1" applyFill="1" applyBorder="1" applyAlignment="1" applyProtection="1"/>
    <xf numFmtId="171" fontId="19" fillId="4" borderId="7" xfId="0" applyNumberFormat="1" applyFont="1" applyFill="1" applyBorder="1" applyAlignment="1" applyProtection="1">
      <alignment horizontal="right"/>
    </xf>
    <xf numFmtId="171" fontId="8" fillId="4" borderId="7" xfId="0" applyNumberFormat="1" applyFont="1" applyFill="1" applyBorder="1" applyAlignment="1" applyProtection="1"/>
    <xf numFmtId="171" fontId="4" fillId="4" borderId="7" xfId="0" applyNumberFormat="1" applyFont="1" applyFill="1" applyBorder="1" applyAlignment="1" applyProtection="1"/>
    <xf numFmtId="171" fontId="6" fillId="4" borderId="7" xfId="0" applyNumberFormat="1" applyFont="1" applyFill="1" applyBorder="1" applyAlignment="1" applyProtection="1"/>
    <xf numFmtId="171" fontId="9" fillId="4" borderId="40" xfId="0" applyNumberFormat="1" applyFont="1" applyFill="1" applyBorder="1" applyAlignment="1" applyProtection="1">
      <alignment horizontal="right"/>
    </xf>
    <xf numFmtId="171" fontId="3" fillId="2" borderId="7" xfId="0" applyNumberFormat="1" applyFont="1" applyFill="1" applyBorder="1" applyAlignment="1" applyProtection="1"/>
    <xf numFmtId="171" fontId="4" fillId="0" borderId="7" xfId="0" applyNumberFormat="1" applyFont="1" applyFill="1" applyBorder="1" applyAlignment="1" applyProtection="1"/>
    <xf numFmtId="3" fontId="9" fillId="0" borderId="40" xfId="0" applyNumberFormat="1" applyFont="1" applyFill="1" applyBorder="1" applyAlignment="1" applyProtection="1">
      <alignment horizontal="right"/>
    </xf>
    <xf numFmtId="164" fontId="9" fillId="2" borderId="7" xfId="0" applyNumberFormat="1" applyFont="1" applyFill="1" applyBorder="1" applyAlignment="1" applyProtection="1">
      <alignment horizontal="right"/>
    </xf>
    <xf numFmtId="171" fontId="8" fillId="0" borderId="7" xfId="0" applyNumberFormat="1" applyFont="1" applyFill="1" applyBorder="1" applyAlignment="1" applyProtection="1"/>
    <xf numFmtId="164" fontId="10" fillId="2" borderId="7" xfId="0" applyNumberFormat="1" applyFont="1" applyFill="1" applyBorder="1" applyAlignment="1" applyProtection="1">
      <alignment horizontal="right"/>
    </xf>
    <xf numFmtId="3" fontId="9" fillId="0" borderId="7" xfId="0" applyNumberFormat="1" applyFont="1" applyFill="1" applyBorder="1" applyAlignment="1" applyProtection="1">
      <alignment horizontal="right"/>
    </xf>
    <xf numFmtId="3" fontId="9" fillId="3" borderId="23" xfId="0" applyNumberFormat="1" applyFont="1" applyFill="1" applyBorder="1" applyAlignment="1" applyProtection="1">
      <alignment horizontal="right"/>
    </xf>
    <xf numFmtId="3" fontId="4" fillId="0" borderId="2" xfId="0" applyNumberFormat="1" applyFont="1" applyFill="1" applyBorder="1" applyAlignment="1" applyProtection="1">
      <alignment horizontal="right"/>
    </xf>
    <xf numFmtId="0" fontId="4" fillId="0" borderId="3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>
      <alignment horizontal="right"/>
    </xf>
    <xf numFmtId="0" fontId="3" fillId="2" borderId="9" xfId="0" applyNumberFormat="1" applyFont="1" applyFill="1" applyBorder="1" applyAlignment="1" applyProtection="1"/>
    <xf numFmtId="0" fontId="4" fillId="2" borderId="8" xfId="0" applyFont="1" applyFill="1" applyBorder="1" applyAlignment="1">
      <alignment horizontal="right"/>
    </xf>
    <xf numFmtId="3" fontId="16" fillId="0" borderId="8" xfId="0" applyNumberFormat="1" applyFont="1" applyBorder="1" applyAlignment="1">
      <alignment horizontal="right"/>
    </xf>
    <xf numFmtId="164" fontId="10" fillId="0" borderId="8" xfId="0" applyNumberFormat="1" applyFont="1" applyFill="1" applyBorder="1" applyAlignment="1" applyProtection="1">
      <alignment horizontal="right"/>
    </xf>
    <xf numFmtId="164" fontId="16" fillId="0" borderId="8" xfId="0" applyNumberFormat="1" applyFont="1" applyBorder="1" applyAlignment="1">
      <alignment horizontal="right"/>
    </xf>
    <xf numFmtId="0" fontId="5" fillId="0" borderId="8" xfId="0" applyNumberFormat="1" applyFont="1" applyFill="1" applyBorder="1" applyAlignment="1" applyProtection="1">
      <alignment horizontal="right"/>
    </xf>
    <xf numFmtId="3" fontId="5" fillId="0" borderId="8" xfId="0" applyNumberFormat="1" applyFont="1" applyFill="1" applyBorder="1" applyAlignment="1" applyProtection="1">
      <alignment horizontal="right"/>
    </xf>
    <xf numFmtId="164" fontId="5" fillId="0" borderId="8" xfId="0" applyNumberFormat="1" applyFont="1" applyFill="1" applyBorder="1" applyAlignment="1" applyProtection="1">
      <alignment horizontal="right"/>
    </xf>
    <xf numFmtId="0" fontId="4" fillId="0" borderId="8" xfId="0" applyNumberFormat="1" applyFont="1" applyFill="1" applyBorder="1" applyAlignment="1" applyProtection="1">
      <alignment horizontal="right"/>
    </xf>
    <xf numFmtId="0" fontId="2" fillId="0" borderId="16" xfId="0" applyNumberFormat="1" applyFont="1" applyFill="1" applyBorder="1" applyAlignment="1" applyProtection="1"/>
    <xf numFmtId="3" fontId="9" fillId="0" borderId="37" xfId="0" applyNumberFormat="1" applyFont="1" applyFill="1" applyBorder="1" applyAlignment="1" applyProtection="1">
      <alignment horizontal="right"/>
    </xf>
    <xf numFmtId="0" fontId="4" fillId="2" borderId="8" xfId="0" applyNumberFormat="1" applyFont="1" applyFill="1" applyBorder="1" applyAlignment="1" applyProtection="1">
      <alignment horizontal="right"/>
    </xf>
    <xf numFmtId="166" fontId="10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36" xfId="0" applyNumberFormat="1" applyFont="1" applyFill="1" applyBorder="1" applyAlignment="1" applyProtection="1">
      <alignment horizontal="right"/>
    </xf>
    <xf numFmtId="9" fontId="5" fillId="0" borderId="8" xfId="0" applyNumberFormat="1" applyFont="1" applyFill="1" applyBorder="1" applyAlignment="1" applyProtection="1">
      <alignment horizontal="right"/>
    </xf>
    <xf numFmtId="167" fontId="5" fillId="0" borderId="8" xfId="0" applyNumberFormat="1" applyFont="1" applyFill="1" applyBorder="1" applyAlignment="1" applyProtection="1">
      <alignment horizontal="right"/>
    </xf>
    <xf numFmtId="4" fontId="5" fillId="0" borderId="8" xfId="0" applyNumberFormat="1" applyFont="1" applyFill="1" applyBorder="1" applyAlignment="1" applyProtection="1">
      <alignment horizontal="right"/>
    </xf>
    <xf numFmtId="168" fontId="5" fillId="0" borderId="37" xfId="0" applyNumberFormat="1" applyFont="1" applyFill="1" applyBorder="1" applyAlignment="1" applyProtection="1">
      <alignment horizontal="right"/>
    </xf>
    <xf numFmtId="0" fontId="5" fillId="2" borderId="8" xfId="0" applyNumberFormat="1" applyFont="1" applyFill="1" applyBorder="1" applyAlignment="1" applyProtection="1">
      <alignment horizontal="right"/>
    </xf>
    <xf numFmtId="3" fontId="4" fillId="0" borderId="8" xfId="0" applyNumberFormat="1" applyFont="1" applyFill="1" applyBorder="1" applyAlignment="1" applyProtection="1">
      <alignment horizontal="right"/>
    </xf>
    <xf numFmtId="3" fontId="5" fillId="0" borderId="36" xfId="0" applyNumberFormat="1" applyFont="1" applyFill="1" applyBorder="1" applyAlignment="1" applyProtection="1">
      <alignment horizontal="right"/>
    </xf>
    <xf numFmtId="174" fontId="5" fillId="0" borderId="36" xfId="0" applyNumberFormat="1" applyFont="1" applyFill="1" applyBorder="1" applyAlignment="1" applyProtection="1">
      <alignment horizontal="right"/>
    </xf>
    <xf numFmtId="3" fontId="4" fillId="0" borderId="37" xfId="0" applyNumberFormat="1" applyFont="1" applyFill="1" applyBorder="1" applyAlignment="1" applyProtection="1">
      <alignment horizontal="right"/>
    </xf>
    <xf numFmtId="0" fontId="11" fillId="3" borderId="32" xfId="0" applyNumberFormat="1" applyFont="1" applyFill="1" applyBorder="1" applyAlignment="1" applyProtection="1"/>
    <xf numFmtId="0" fontId="12" fillId="3" borderId="25" xfId="0" applyNumberFormat="1" applyFont="1" applyFill="1" applyBorder="1" applyAlignment="1" applyProtection="1"/>
    <xf numFmtId="0" fontId="12" fillId="3" borderId="5" xfId="0" applyNumberFormat="1" applyFont="1" applyFill="1" applyBorder="1" applyAlignment="1" applyProtection="1"/>
    <xf numFmtId="164" fontId="12" fillId="3" borderId="5" xfId="0" applyNumberFormat="1" applyFont="1" applyFill="1" applyBorder="1" applyAlignment="1" applyProtection="1"/>
    <xf numFmtId="3" fontId="9" fillId="3" borderId="5" xfId="0" applyNumberFormat="1" applyFont="1" applyFill="1" applyBorder="1" applyAlignment="1" applyProtection="1">
      <alignment horizontal="right"/>
    </xf>
    <xf numFmtId="4" fontId="10" fillId="3" borderId="35" xfId="0" applyNumberFormat="1" applyFont="1" applyFill="1" applyBorder="1" applyAlignment="1" applyProtection="1">
      <alignment horizontal="right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R74"/>
  <sheetViews>
    <sheetView workbookViewId="0">
      <selection activeCell="E41" sqref="E41"/>
    </sheetView>
  </sheetViews>
  <sheetFormatPr defaultColWidth="7.85546875" defaultRowHeight="12.75" x14ac:dyDescent="0.2"/>
  <cols>
    <col min="1" max="1" width="5" style="74" customWidth="1"/>
    <col min="2" max="2" width="4.85546875" style="74" customWidth="1"/>
    <col min="3" max="3" width="29.42578125" style="79" customWidth="1"/>
    <col min="4" max="4" width="9" style="74" customWidth="1"/>
    <col min="5" max="16384" width="7.85546875" style="74"/>
  </cols>
  <sheetData>
    <row r="1" spans="2:5" s="1" customFormat="1" ht="18" x14ac:dyDescent="0.25">
      <c r="B1" s="80" t="s">
        <v>399</v>
      </c>
      <c r="C1" s="2"/>
    </row>
    <row r="2" spans="2:5" s="1" customFormat="1" ht="15.75" x14ac:dyDescent="0.25">
      <c r="B2" s="133" t="s">
        <v>398</v>
      </c>
      <c r="C2" s="132"/>
      <c r="D2" s="132"/>
    </row>
    <row r="3" spans="2:5" s="1" customFormat="1" ht="15.75" x14ac:dyDescent="0.25">
      <c r="B3" s="133" t="s">
        <v>397</v>
      </c>
      <c r="C3" s="132"/>
      <c r="D3" s="132"/>
    </row>
    <row r="4" spans="2:5" s="1" customFormat="1" ht="15.75" x14ac:dyDescent="0.25">
      <c r="B4" s="133" t="s">
        <v>395</v>
      </c>
      <c r="C4" s="132"/>
      <c r="D4" s="132"/>
    </row>
    <row r="5" spans="2:5" s="1" customFormat="1" ht="15.75" x14ac:dyDescent="0.25">
      <c r="B5" s="133" t="s">
        <v>396</v>
      </c>
      <c r="C5" s="2"/>
      <c r="D5" s="132"/>
    </row>
    <row r="6" spans="2:5" ht="13.5" thickBot="1" x14ac:dyDescent="0.25">
      <c r="B6" s="3" t="s">
        <v>135</v>
      </c>
    </row>
    <row r="7" spans="2:5" s="3" customFormat="1" x14ac:dyDescent="0.2">
      <c r="B7" s="147"/>
      <c r="C7" s="4"/>
      <c r="D7" s="5" t="s">
        <v>2</v>
      </c>
      <c r="E7" s="6" t="s">
        <v>3</v>
      </c>
    </row>
    <row r="8" spans="2:5" s="3" customFormat="1" ht="13.5" thickBot="1" x14ac:dyDescent="0.25">
      <c r="B8" s="148"/>
      <c r="C8" s="7"/>
      <c r="D8" s="8">
        <v>2018</v>
      </c>
      <c r="E8" s="64"/>
    </row>
    <row r="9" spans="2:5" x14ac:dyDescent="0.2">
      <c r="B9" s="149"/>
      <c r="C9" s="78" t="s">
        <v>5</v>
      </c>
      <c r="D9" s="9">
        <f>příjmy!F118</f>
        <v>91121</v>
      </c>
      <c r="E9" s="65">
        <f>D9/D13</f>
        <v>0.57969806663400913</v>
      </c>
    </row>
    <row r="10" spans="2:5" x14ac:dyDescent="0.2">
      <c r="B10" s="149"/>
      <c r="C10" s="78" t="s">
        <v>6</v>
      </c>
      <c r="D10" s="9">
        <f>příjmy!F119</f>
        <v>27406</v>
      </c>
      <c r="E10" s="65">
        <f>D10/D13</f>
        <v>0.17435284088378811</v>
      </c>
    </row>
    <row r="11" spans="2:5" x14ac:dyDescent="0.2">
      <c r="B11" s="149"/>
      <c r="C11" s="78" t="s">
        <v>7</v>
      </c>
      <c r="D11" s="9">
        <f>příjmy!F122</f>
        <v>8150</v>
      </c>
      <c r="E11" s="65">
        <f>D11/D13</f>
        <v>5.1849071488100161E-2</v>
      </c>
    </row>
    <row r="12" spans="2:5" x14ac:dyDescent="0.2">
      <c r="B12" s="149"/>
      <c r="C12" s="78" t="s">
        <v>8</v>
      </c>
      <c r="D12" s="9">
        <f>příjmy!F120+příjmy!F123</f>
        <v>30510</v>
      </c>
      <c r="E12" s="65">
        <f>D12/D13</f>
        <v>0.19410002099410256</v>
      </c>
    </row>
    <row r="13" spans="2:5" s="3" customFormat="1" x14ac:dyDescent="0.2">
      <c r="B13" s="150"/>
      <c r="C13" s="10" t="s">
        <v>9</v>
      </c>
      <c r="D13" s="11">
        <f>SUM(D9:D12)</f>
        <v>157187</v>
      </c>
      <c r="E13" s="66">
        <f>SUM(E9:E12)</f>
        <v>1</v>
      </c>
    </row>
    <row r="14" spans="2:5" x14ac:dyDescent="0.2">
      <c r="B14" s="149"/>
      <c r="C14" s="78" t="s">
        <v>10</v>
      </c>
      <c r="D14" s="9">
        <f>+výdaje!E118</f>
        <v>141863</v>
      </c>
      <c r="E14" s="65">
        <f>D14/D16</f>
        <v>0.66197393410264904</v>
      </c>
    </row>
    <row r="15" spans="2:5" x14ac:dyDescent="0.2">
      <c r="B15" s="149"/>
      <c r="C15" s="78" t="s">
        <v>11</v>
      </c>
      <c r="D15" s="9">
        <f>+výdaje!F118</f>
        <v>72440</v>
      </c>
      <c r="E15" s="65">
        <f>D15/D16</f>
        <v>0.33802606589735096</v>
      </c>
    </row>
    <row r="16" spans="2:5" s="3" customFormat="1" x14ac:dyDescent="0.2">
      <c r="B16" s="150"/>
      <c r="C16" s="10" t="s">
        <v>12</v>
      </c>
      <c r="D16" s="11">
        <f>SUM(D14:D15)</f>
        <v>214303</v>
      </c>
      <c r="E16" s="66">
        <v>1</v>
      </c>
    </row>
    <row r="17" spans="2:5" x14ac:dyDescent="0.2">
      <c r="B17" s="149"/>
      <c r="C17" s="78"/>
      <c r="D17" s="9"/>
      <c r="E17" s="67"/>
    </row>
    <row r="18" spans="2:5" s="3" customFormat="1" x14ac:dyDescent="0.2">
      <c r="B18" s="150"/>
      <c r="C18" s="10" t="s">
        <v>13</v>
      </c>
      <c r="D18" s="11">
        <f>D13-D16</f>
        <v>-57116</v>
      </c>
      <c r="E18" s="68"/>
    </row>
    <row r="19" spans="2:5" x14ac:dyDescent="0.2">
      <c r="B19" s="149"/>
      <c r="C19" s="78"/>
      <c r="D19" s="9"/>
      <c r="E19" s="67"/>
    </row>
    <row r="20" spans="2:5" s="3" customFormat="1" x14ac:dyDescent="0.2">
      <c r="B20" s="151" t="s">
        <v>14</v>
      </c>
      <c r="C20" s="10" t="s">
        <v>15</v>
      </c>
      <c r="D20" s="11"/>
      <c r="E20" s="68"/>
    </row>
    <row r="21" spans="2:5" x14ac:dyDescent="0.2">
      <c r="B21" s="149"/>
      <c r="C21" s="78"/>
      <c r="D21" s="118"/>
      <c r="E21" s="67"/>
    </row>
    <row r="22" spans="2:5" x14ac:dyDescent="0.2">
      <c r="B22" s="152"/>
      <c r="C22" s="78"/>
      <c r="D22" s="118"/>
      <c r="E22" s="67"/>
    </row>
    <row r="23" spans="2:5" x14ac:dyDescent="0.2">
      <c r="B23" s="149"/>
      <c r="C23" s="78"/>
      <c r="D23" s="13"/>
      <c r="E23" s="67"/>
    </row>
    <row r="24" spans="2:5" x14ac:dyDescent="0.2">
      <c r="B24" s="149"/>
      <c r="C24" s="78"/>
      <c r="D24" s="14"/>
      <c r="E24" s="67"/>
    </row>
    <row r="25" spans="2:5" x14ac:dyDescent="0.2">
      <c r="B25" s="149">
        <v>8115</v>
      </c>
      <c r="C25" s="78" t="s">
        <v>386</v>
      </c>
      <c r="D25" s="118">
        <v>57116</v>
      </c>
      <c r="E25" s="67"/>
    </row>
    <row r="26" spans="2:5" x14ac:dyDescent="0.2">
      <c r="B26" s="149"/>
      <c r="C26" s="78"/>
      <c r="D26" s="9"/>
      <c r="E26" s="67"/>
    </row>
    <row r="27" spans="2:5" x14ac:dyDescent="0.2">
      <c r="B27" s="149">
        <v>8115</v>
      </c>
      <c r="C27" s="10" t="s">
        <v>119</v>
      </c>
      <c r="D27" s="73">
        <f>-D21-D23+D29-D25-D22</f>
        <v>0</v>
      </c>
      <c r="E27" s="67"/>
    </row>
    <row r="28" spans="2:5" s="3" customFormat="1" x14ac:dyDescent="0.2">
      <c r="B28" s="150"/>
      <c r="C28" s="78"/>
      <c r="D28" s="11"/>
      <c r="E28" s="69"/>
    </row>
    <row r="29" spans="2:5" ht="13.5" thickBot="1" x14ac:dyDescent="0.25">
      <c r="B29" s="153"/>
      <c r="C29" s="103" t="s">
        <v>16</v>
      </c>
      <c r="D29" s="63">
        <f>-D18</f>
        <v>57116</v>
      </c>
      <c r="E29" s="70"/>
    </row>
    <row r="30" spans="2:5" x14ac:dyDescent="0.2">
      <c r="C30" s="16"/>
      <c r="D30" s="17"/>
    </row>
    <row r="31" spans="2:5" x14ac:dyDescent="0.2">
      <c r="B31" s="266"/>
      <c r="C31" s="52"/>
      <c r="D31" s="159"/>
    </row>
    <row r="32" spans="2:5" x14ac:dyDescent="0.2">
      <c r="B32" s="235"/>
      <c r="C32" s="234"/>
    </row>
    <row r="33" spans="2:5" x14ac:dyDescent="0.2">
      <c r="B33" s="235"/>
      <c r="C33" s="236"/>
      <c r="D33" s="202"/>
    </row>
    <row r="34" spans="2:5" x14ac:dyDescent="0.2">
      <c r="B34" s="242"/>
      <c r="C34" s="142"/>
      <c r="D34" s="142"/>
    </row>
    <row r="35" spans="2:5" x14ac:dyDescent="0.2">
      <c r="B35" s="276" t="s">
        <v>400</v>
      </c>
      <c r="C35" s="198"/>
      <c r="D35" s="199"/>
      <c r="E35" s="74" t="s">
        <v>401</v>
      </c>
    </row>
    <row r="36" spans="2:5" x14ac:dyDescent="0.2">
      <c r="B36" s="112"/>
      <c r="C36" s="200"/>
      <c r="D36" s="201"/>
      <c r="E36" s="74" t="s">
        <v>402</v>
      </c>
    </row>
    <row r="37" spans="2:5" x14ac:dyDescent="0.2">
      <c r="B37" s="213"/>
      <c r="C37" s="214"/>
      <c r="D37" s="215"/>
    </row>
    <row r="38" spans="2:5" x14ac:dyDescent="0.2">
      <c r="B38" s="213"/>
      <c r="C38" s="216"/>
      <c r="D38" s="217"/>
    </row>
    <row r="39" spans="2:5" x14ac:dyDescent="0.2">
      <c r="B39" s="213"/>
      <c r="C39" s="218"/>
      <c r="D39" s="218"/>
    </row>
    <row r="40" spans="2:5" x14ac:dyDescent="0.2">
      <c r="B40" s="112"/>
      <c r="C40" s="200"/>
      <c r="D40" s="218"/>
    </row>
    <row r="41" spans="2:5" x14ac:dyDescent="0.2">
      <c r="B41" s="112"/>
      <c r="C41" s="200"/>
      <c r="D41" s="218"/>
    </row>
    <row r="42" spans="2:5" x14ac:dyDescent="0.2">
      <c r="B42" s="219"/>
      <c r="C42" s="200"/>
      <c r="D42" s="218"/>
    </row>
    <row r="43" spans="2:5" ht="15" customHeight="1" x14ac:dyDescent="0.2">
      <c r="B43" s="219"/>
      <c r="C43" s="200"/>
      <c r="D43" s="218"/>
    </row>
    <row r="44" spans="2:5" x14ac:dyDescent="0.2">
      <c r="B44" s="219"/>
      <c r="C44" s="200"/>
      <c r="D44" s="218"/>
    </row>
    <row r="45" spans="2:5" x14ac:dyDescent="0.2">
      <c r="B45" s="219"/>
      <c r="C45" s="200"/>
      <c r="D45" s="218"/>
    </row>
    <row r="46" spans="2:5" x14ac:dyDescent="0.2">
      <c r="B46" s="219"/>
      <c r="C46" s="200"/>
      <c r="D46" s="218"/>
    </row>
    <row r="47" spans="2:5" x14ac:dyDescent="0.2">
      <c r="B47" s="219"/>
      <c r="C47" s="200"/>
      <c r="D47" s="218"/>
    </row>
    <row r="48" spans="2:5" x14ac:dyDescent="0.2">
      <c r="B48" s="219"/>
      <c r="C48" s="200"/>
      <c r="D48" s="218"/>
    </row>
    <row r="49" spans="2:4" x14ac:dyDescent="0.2">
      <c r="B49" s="219"/>
      <c r="C49" s="200"/>
      <c r="D49" s="218"/>
    </row>
    <row r="50" spans="2:4" x14ac:dyDescent="0.2">
      <c r="B50" s="219"/>
      <c r="C50" s="200"/>
      <c r="D50" s="218"/>
    </row>
    <row r="51" spans="2:4" x14ac:dyDescent="0.2">
      <c r="B51" s="220"/>
      <c r="C51" s="200"/>
      <c r="D51" s="218"/>
    </row>
    <row r="52" spans="2:4" x14ac:dyDescent="0.2">
      <c r="B52" s="220"/>
      <c r="C52" s="200"/>
      <c r="D52" s="218"/>
    </row>
    <row r="53" spans="2:4" x14ac:dyDescent="0.2">
      <c r="B53" s="219"/>
      <c r="C53" s="200"/>
      <c r="D53" s="218"/>
    </row>
    <row r="54" spans="2:4" x14ac:dyDescent="0.2">
      <c r="B54" s="219"/>
      <c r="C54" s="200"/>
      <c r="D54" s="218"/>
    </row>
    <row r="55" spans="2:4" x14ac:dyDescent="0.2">
      <c r="B55" s="219"/>
      <c r="C55" s="200"/>
      <c r="D55" s="218"/>
    </row>
    <row r="56" spans="2:4" x14ac:dyDescent="0.2">
      <c r="B56" s="219"/>
      <c r="C56" s="200"/>
      <c r="D56" s="218"/>
    </row>
    <row r="57" spans="2:4" x14ac:dyDescent="0.2">
      <c r="B57" s="219"/>
      <c r="C57" s="200"/>
      <c r="D57" s="218"/>
    </row>
    <row r="58" spans="2:4" x14ac:dyDescent="0.2">
      <c r="B58" s="219"/>
      <c r="C58" s="200"/>
      <c r="D58" s="218"/>
    </row>
    <row r="59" spans="2:4" x14ac:dyDescent="0.2">
      <c r="B59" s="219"/>
      <c r="C59" s="200"/>
      <c r="D59" s="218"/>
    </row>
    <row r="60" spans="2:4" x14ac:dyDescent="0.2">
      <c r="B60" s="219"/>
      <c r="C60" s="200"/>
      <c r="D60" s="218"/>
    </row>
    <row r="61" spans="2:4" x14ac:dyDescent="0.2">
      <c r="B61" s="219"/>
      <c r="C61" s="200"/>
      <c r="D61" s="218"/>
    </row>
    <row r="62" spans="2:4" x14ac:dyDescent="0.2">
      <c r="B62" s="219"/>
      <c r="C62" s="200"/>
      <c r="D62" s="218"/>
    </row>
    <row r="63" spans="2:4" x14ac:dyDescent="0.2">
      <c r="B63" s="219"/>
      <c r="C63" s="200"/>
      <c r="D63" s="218"/>
    </row>
    <row r="64" spans="2:4" x14ac:dyDescent="0.2">
      <c r="B64" s="220"/>
      <c r="C64" s="200"/>
      <c r="D64" s="218"/>
    </row>
    <row r="65" spans="2:4" x14ac:dyDescent="0.2">
      <c r="B65" s="220"/>
      <c r="C65" s="200"/>
      <c r="D65" s="218"/>
    </row>
    <row r="66" spans="2:4" x14ac:dyDescent="0.2">
      <c r="B66" s="220"/>
      <c r="C66" s="200"/>
      <c r="D66" s="218"/>
    </row>
    <row r="67" spans="2:4" x14ac:dyDescent="0.2">
      <c r="B67" s="220"/>
      <c r="C67" s="200"/>
      <c r="D67" s="218"/>
    </row>
    <row r="68" spans="2:4" x14ac:dyDescent="0.2">
      <c r="B68" s="220"/>
      <c r="C68" s="200"/>
      <c r="D68" s="218"/>
    </row>
    <row r="69" spans="2:4" x14ac:dyDescent="0.2">
      <c r="B69" s="220"/>
      <c r="C69" s="200"/>
      <c r="D69" s="218"/>
    </row>
    <row r="70" spans="2:4" x14ac:dyDescent="0.2">
      <c r="B70" s="220"/>
      <c r="C70" s="200"/>
      <c r="D70" s="218"/>
    </row>
    <row r="71" spans="2:4" x14ac:dyDescent="0.2">
      <c r="B71" s="220"/>
      <c r="C71" s="200"/>
      <c r="D71" s="218"/>
    </row>
    <row r="72" spans="2:4" x14ac:dyDescent="0.2">
      <c r="B72" s="220"/>
      <c r="C72" s="200"/>
      <c r="D72" s="218"/>
    </row>
    <row r="73" spans="2:4" x14ac:dyDescent="0.2">
      <c r="B73" s="220"/>
      <c r="C73" s="200"/>
      <c r="D73" s="218"/>
    </row>
    <row r="74" spans="2:4" x14ac:dyDescent="0.2">
      <c r="B74" s="92"/>
      <c r="C74" s="200"/>
      <c r="D74" s="200"/>
    </row>
  </sheetData>
  <phoneticPr fontId="6" type="noConversion"/>
  <pageMargins left="1.1399999999999999" right="0.27559055118110237" top="1.25" bottom="0" header="0.23622047244094491" footer="0.27559055118110237"/>
  <pageSetup paperSize="9" orientation="portrait" verticalDpi="300" r:id="rId1"/>
  <headerFooter alignWithMargins="0">
    <oddHeader>&amp;R&amp;P. strana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V139"/>
  <sheetViews>
    <sheetView zoomScaleNormal="100" workbookViewId="0">
      <pane xSplit="5" ySplit="3" topLeftCell="F83" activePane="bottomRight" state="frozen"/>
      <selection pane="topRight" activeCell="F1" sqref="F1"/>
      <selection pane="bottomLeft" activeCell="A4" sqref="A4"/>
      <selection pane="bottomRight" activeCell="N95" sqref="N95"/>
    </sheetView>
  </sheetViews>
  <sheetFormatPr defaultColWidth="7.85546875" defaultRowHeight="12.75" x14ac:dyDescent="0.2"/>
  <cols>
    <col min="1" max="1" width="4" style="74" customWidth="1"/>
    <col min="2" max="2" width="4.42578125" style="74" customWidth="1"/>
    <col min="3" max="3" width="5.28515625" style="74" customWidth="1"/>
    <col min="4" max="4" width="5.28515625" style="92" customWidth="1"/>
    <col min="5" max="5" width="27.85546875" style="74" customWidth="1"/>
    <col min="6" max="6" width="7.7109375" style="88" customWidth="1"/>
    <col min="7" max="7" width="20.7109375" style="167" customWidth="1"/>
    <col min="8" max="9" width="7.140625" style="138" hidden="1" customWidth="1"/>
    <col min="10" max="10" width="7.140625" style="88" hidden="1" customWidth="1"/>
    <col min="11" max="11" width="7.140625" style="119" hidden="1" customWidth="1"/>
    <col min="12" max="12" width="7.140625" style="74" hidden="1" customWidth="1"/>
    <col min="13" max="16384" width="7.85546875" style="74"/>
  </cols>
  <sheetData>
    <row r="1" spans="1:12" ht="18.75" thickBot="1" x14ac:dyDescent="0.3">
      <c r="A1" s="80" t="s">
        <v>405</v>
      </c>
      <c r="B1" s="18"/>
      <c r="C1" s="81"/>
      <c r="D1" s="18"/>
      <c r="E1" s="18"/>
      <c r="F1" s="117"/>
      <c r="G1" s="160"/>
      <c r="H1" s="82"/>
      <c r="I1" s="82"/>
      <c r="J1" s="117"/>
      <c r="K1" s="120"/>
      <c r="L1" s="83"/>
    </row>
    <row r="2" spans="1:12" x14ac:dyDescent="0.2">
      <c r="A2" s="106"/>
      <c r="B2" s="54"/>
      <c r="C2" s="54"/>
      <c r="D2" s="54"/>
      <c r="E2" s="54"/>
      <c r="F2" s="300" t="s">
        <v>2</v>
      </c>
      <c r="G2" s="301" t="s">
        <v>17</v>
      </c>
      <c r="H2" s="284" t="s">
        <v>230</v>
      </c>
      <c r="I2" s="169" t="s">
        <v>182</v>
      </c>
      <c r="J2" s="135" t="s">
        <v>4</v>
      </c>
      <c r="K2" s="131" t="s">
        <v>380</v>
      </c>
      <c r="L2" s="20" t="s">
        <v>382</v>
      </c>
    </row>
    <row r="3" spans="1:12" ht="13.5" thickBot="1" x14ac:dyDescent="0.25">
      <c r="A3" s="302"/>
      <c r="B3" s="21" t="s">
        <v>18</v>
      </c>
      <c r="C3" s="22" t="s">
        <v>19</v>
      </c>
      <c r="D3" s="21" t="s">
        <v>20</v>
      </c>
      <c r="E3" s="21" t="s">
        <v>21</v>
      </c>
      <c r="F3" s="111" t="s">
        <v>304</v>
      </c>
      <c r="G3" s="303" t="s">
        <v>96</v>
      </c>
      <c r="H3" s="285" t="s">
        <v>304</v>
      </c>
      <c r="I3" s="137" t="s">
        <v>305</v>
      </c>
      <c r="J3" s="239" t="s">
        <v>379</v>
      </c>
      <c r="K3" s="121" t="s">
        <v>381</v>
      </c>
      <c r="L3" s="23"/>
    </row>
    <row r="4" spans="1:12" x14ac:dyDescent="0.2">
      <c r="A4" s="304" t="s">
        <v>22</v>
      </c>
      <c r="B4" s="61"/>
      <c r="C4" s="85"/>
      <c r="D4" s="27"/>
      <c r="E4" s="85" t="s">
        <v>23</v>
      </c>
      <c r="F4" s="60"/>
      <c r="G4" s="305"/>
      <c r="H4" s="286"/>
      <c r="I4" s="86"/>
      <c r="J4" s="60"/>
      <c r="K4" s="122"/>
      <c r="L4" s="122"/>
    </row>
    <row r="5" spans="1:12" x14ac:dyDescent="0.2">
      <c r="A5" s="98" t="s">
        <v>24</v>
      </c>
      <c r="B5" s="27"/>
      <c r="C5" s="75"/>
      <c r="D5" s="27"/>
      <c r="E5" s="27"/>
      <c r="F5" s="56">
        <f>SUM(F6:F12)</f>
        <v>74036</v>
      </c>
      <c r="G5" s="306"/>
      <c r="H5" s="287" t="e">
        <f>SUM(H6:H12)</f>
        <v>#REF!</v>
      </c>
      <c r="I5" s="203" t="e">
        <f>SUM(I6:I12)</f>
        <v>#REF!</v>
      </c>
      <c r="J5" s="56">
        <f>SUM(J6:J12)</f>
        <v>0</v>
      </c>
      <c r="K5" s="123" t="e">
        <f>J5/#REF!</f>
        <v>#REF!</v>
      </c>
      <c r="L5" s="123">
        <f>J5/F5</f>
        <v>0</v>
      </c>
    </row>
    <row r="6" spans="1:12" x14ac:dyDescent="0.2">
      <c r="A6" s="107" t="s">
        <v>25</v>
      </c>
      <c r="B6" s="24">
        <v>1111</v>
      </c>
      <c r="C6" s="84"/>
      <c r="D6" s="87"/>
      <c r="E6" s="24" t="s">
        <v>99</v>
      </c>
      <c r="F6" s="55">
        <f>15500+550</f>
        <v>16050</v>
      </c>
      <c r="G6" s="307" t="s">
        <v>104</v>
      </c>
      <c r="H6" s="288"/>
      <c r="I6" s="170" t="e">
        <f>H6-#REF!</f>
        <v>#REF!</v>
      </c>
      <c r="J6" s="55"/>
      <c r="K6" s="124" t="e">
        <f>J6/#REF!</f>
        <v>#REF!</v>
      </c>
      <c r="L6" s="124">
        <f>J6/F6</f>
        <v>0</v>
      </c>
    </row>
    <row r="7" spans="1:12" x14ac:dyDescent="0.2">
      <c r="A7" s="107"/>
      <c r="B7" s="24">
        <v>1112</v>
      </c>
      <c r="C7" s="84"/>
      <c r="D7" s="84"/>
      <c r="E7" s="24" t="s">
        <v>188</v>
      </c>
      <c r="F7" s="55">
        <f>450+50</f>
        <v>500</v>
      </c>
      <c r="G7" s="307" t="s">
        <v>104</v>
      </c>
      <c r="H7" s="288"/>
      <c r="I7" s="170" t="e">
        <f>H7-#REF!</f>
        <v>#REF!</v>
      </c>
      <c r="J7" s="55"/>
      <c r="K7" s="124" t="e">
        <f>J7/#REF!</f>
        <v>#REF!</v>
      </c>
      <c r="L7" s="124">
        <f>J7/F7</f>
        <v>0</v>
      </c>
    </row>
    <row r="8" spans="1:12" x14ac:dyDescent="0.2">
      <c r="A8" s="107"/>
      <c r="B8" s="24">
        <v>1113</v>
      </c>
      <c r="C8" s="84"/>
      <c r="D8" s="84"/>
      <c r="E8" s="24" t="s">
        <v>101</v>
      </c>
      <c r="F8" s="55">
        <v>1450</v>
      </c>
      <c r="G8" s="307" t="s">
        <v>104</v>
      </c>
      <c r="H8" s="288"/>
      <c r="I8" s="170" t="e">
        <f>H8-#REF!</f>
        <v>#REF!</v>
      </c>
      <c r="J8" s="55"/>
      <c r="K8" s="124" t="e">
        <f>J8/#REF!</f>
        <v>#REF!</v>
      </c>
      <c r="L8" s="124">
        <f>J8/F8</f>
        <v>0</v>
      </c>
    </row>
    <row r="9" spans="1:12" x14ac:dyDescent="0.2">
      <c r="A9" s="107"/>
      <c r="B9" s="24">
        <v>1121</v>
      </c>
      <c r="C9" s="84"/>
      <c r="D9" s="84"/>
      <c r="E9" s="24" t="s">
        <v>102</v>
      </c>
      <c r="F9" s="55">
        <f>15600+400</f>
        <v>16000</v>
      </c>
      <c r="G9" s="307" t="s">
        <v>104</v>
      </c>
      <c r="H9" s="288"/>
      <c r="I9" s="170" t="e">
        <f>H9-#REF!</f>
        <v>#REF!</v>
      </c>
      <c r="J9" s="55"/>
      <c r="K9" s="124" t="e">
        <f>J9/#REF!</f>
        <v>#REF!</v>
      </c>
      <c r="L9" s="124">
        <f>J9/F9</f>
        <v>0</v>
      </c>
    </row>
    <row r="10" spans="1:12" x14ac:dyDescent="0.2">
      <c r="A10" s="107"/>
      <c r="B10" s="24">
        <v>1211</v>
      </c>
      <c r="C10" s="84"/>
      <c r="D10" s="84"/>
      <c r="E10" s="24" t="s">
        <v>100</v>
      </c>
      <c r="F10" s="55">
        <v>35600</v>
      </c>
      <c r="G10" s="307" t="s">
        <v>104</v>
      </c>
      <c r="H10" s="288"/>
      <c r="I10" s="170" t="e">
        <f>H10-#REF!</f>
        <v>#REF!</v>
      </c>
      <c r="J10" s="55"/>
      <c r="K10" s="124" t="e">
        <f>J10/#REF!</f>
        <v>#REF!</v>
      </c>
      <c r="L10" s="124">
        <f>J10/F10</f>
        <v>0</v>
      </c>
    </row>
    <row r="11" spans="1:12" x14ac:dyDescent="0.2">
      <c r="A11" s="107"/>
      <c r="B11" s="24">
        <v>1111</v>
      </c>
      <c r="C11" s="84"/>
      <c r="D11" s="24">
        <v>2</v>
      </c>
      <c r="E11" s="24" t="s">
        <v>112</v>
      </c>
      <c r="F11" s="55">
        <v>1900</v>
      </c>
      <c r="G11" s="308"/>
      <c r="H11" s="288"/>
      <c r="I11" s="170" t="e">
        <f>H11-#REF!</f>
        <v>#REF!</v>
      </c>
      <c r="J11" s="55"/>
      <c r="K11" s="124" t="e">
        <f>J11/#REF!</f>
        <v>#REF!</v>
      </c>
      <c r="L11" s="124">
        <f>J11/F11</f>
        <v>0</v>
      </c>
    </row>
    <row r="12" spans="1:12" x14ac:dyDescent="0.2">
      <c r="A12" s="107"/>
      <c r="B12" s="24">
        <v>1122</v>
      </c>
      <c r="C12" s="84"/>
      <c r="D12" s="84"/>
      <c r="E12" s="24" t="s">
        <v>103</v>
      </c>
      <c r="F12" s="55">
        <v>2536</v>
      </c>
      <c r="G12" s="309" t="s">
        <v>144</v>
      </c>
      <c r="H12" s="288" t="e">
        <f>#REF!</f>
        <v>#REF!</v>
      </c>
      <c r="I12" s="170" t="e">
        <f>H12-#REF!</f>
        <v>#REF!</v>
      </c>
      <c r="J12" s="55"/>
      <c r="K12" s="124" t="e">
        <f>J12/#REF!</f>
        <v>#REF!</v>
      </c>
      <c r="L12" s="124">
        <f>J12/F12</f>
        <v>0</v>
      </c>
    </row>
    <row r="13" spans="1:12" x14ac:dyDescent="0.2">
      <c r="A13" s="98" t="s">
        <v>26</v>
      </c>
      <c r="B13" s="27"/>
      <c r="C13" s="75"/>
      <c r="D13" s="27"/>
      <c r="E13" s="27"/>
      <c r="F13" s="56"/>
      <c r="G13" s="310"/>
      <c r="H13" s="289"/>
      <c r="I13" s="171"/>
      <c r="J13" s="56"/>
      <c r="K13" s="124"/>
      <c r="L13" s="124"/>
    </row>
    <row r="14" spans="1:12" x14ac:dyDescent="0.2">
      <c r="A14" s="107"/>
      <c r="B14" s="84"/>
      <c r="C14" s="84"/>
      <c r="D14" s="84"/>
      <c r="E14" s="27" t="s">
        <v>138</v>
      </c>
      <c r="F14" s="56">
        <f>SUM(F15:F24)</f>
        <v>4582</v>
      </c>
      <c r="G14" s="310"/>
      <c r="H14" s="287">
        <f>SUM(H15:H24)</f>
        <v>0</v>
      </c>
      <c r="I14" s="203" t="e">
        <f>SUM(I15:I24)</f>
        <v>#REF!</v>
      </c>
      <c r="J14" s="56">
        <f>SUM(J15:J24)</f>
        <v>0</v>
      </c>
      <c r="K14" s="123">
        <f>J14/F14</f>
        <v>0</v>
      </c>
      <c r="L14" s="123">
        <f>J14/F14</f>
        <v>0</v>
      </c>
    </row>
    <row r="15" spans="1:12" x14ac:dyDescent="0.2">
      <c r="A15" s="107"/>
      <c r="B15" s="24">
        <v>1361</v>
      </c>
      <c r="C15" s="104"/>
      <c r="D15" s="87" t="s">
        <v>127</v>
      </c>
      <c r="E15" s="24" t="s">
        <v>27</v>
      </c>
      <c r="F15" s="55">
        <v>180</v>
      </c>
      <c r="G15" s="311"/>
      <c r="H15" s="290"/>
      <c r="I15" s="170" t="e">
        <f>H15-#REF!</f>
        <v>#REF!</v>
      </c>
      <c r="J15" s="55"/>
      <c r="K15" s="124" t="e">
        <f>J15/#REF!</f>
        <v>#REF!</v>
      </c>
      <c r="L15" s="124">
        <f>J15/F15</f>
        <v>0</v>
      </c>
    </row>
    <row r="16" spans="1:12" x14ac:dyDescent="0.2">
      <c r="A16" s="107"/>
      <c r="B16" s="24">
        <v>1361</v>
      </c>
      <c r="C16" s="84"/>
      <c r="D16" s="24">
        <v>7</v>
      </c>
      <c r="E16" s="24" t="s">
        <v>156</v>
      </c>
      <c r="F16" s="55">
        <v>700</v>
      </c>
      <c r="G16" s="311"/>
      <c r="H16" s="290"/>
      <c r="I16" s="170" t="e">
        <f>H16-#REF!</f>
        <v>#REF!</v>
      </c>
      <c r="J16" s="55"/>
      <c r="K16" s="124" t="e">
        <f>J16/#REF!</f>
        <v>#REF!</v>
      </c>
      <c r="L16" s="124">
        <f>J16/F16</f>
        <v>0</v>
      </c>
    </row>
    <row r="17" spans="1:12" x14ac:dyDescent="0.2">
      <c r="A17" s="107"/>
      <c r="B17" s="24">
        <v>1361</v>
      </c>
      <c r="C17" s="84"/>
      <c r="D17" s="24">
        <v>10.23</v>
      </c>
      <c r="E17" s="89" t="s">
        <v>158</v>
      </c>
      <c r="F17" s="55">
        <f>60+25</f>
        <v>85</v>
      </c>
      <c r="G17" s="311"/>
      <c r="H17" s="290"/>
      <c r="I17" s="170" t="e">
        <f>H17-#REF!</f>
        <v>#REF!</v>
      </c>
      <c r="J17" s="55"/>
      <c r="K17" s="124" t="e">
        <f>J17/#REF!</f>
        <v>#REF!</v>
      </c>
      <c r="L17" s="124">
        <f>J17/F17</f>
        <v>0</v>
      </c>
    </row>
    <row r="18" spans="1:12" x14ac:dyDescent="0.2">
      <c r="A18" s="107"/>
      <c r="B18" s="24">
        <v>1361</v>
      </c>
      <c r="C18" s="84"/>
      <c r="D18" s="24">
        <v>11</v>
      </c>
      <c r="E18" s="24" t="s">
        <v>28</v>
      </c>
      <c r="F18" s="55">
        <v>150</v>
      </c>
      <c r="G18" s="311"/>
      <c r="H18" s="290"/>
      <c r="I18" s="170" t="e">
        <f>H18-#REF!</f>
        <v>#REF!</v>
      </c>
      <c r="J18" s="55"/>
      <c r="K18" s="124" t="e">
        <f>J18/#REF!</f>
        <v>#REF!</v>
      </c>
      <c r="L18" s="124">
        <f>J18/F18</f>
        <v>0</v>
      </c>
    </row>
    <row r="19" spans="1:12" x14ac:dyDescent="0.2">
      <c r="A19" s="107"/>
      <c r="B19" s="24">
        <v>1361</v>
      </c>
      <c r="C19" s="84"/>
      <c r="D19" s="24">
        <v>24</v>
      </c>
      <c r="E19" s="24" t="s">
        <v>159</v>
      </c>
      <c r="F19" s="55">
        <v>30</v>
      </c>
      <c r="G19" s="311"/>
      <c r="H19" s="290"/>
      <c r="I19" s="170" t="e">
        <f>H19-#REF!</f>
        <v>#REF!</v>
      </c>
      <c r="J19" s="55"/>
      <c r="K19" s="124" t="e">
        <f>J19/#REF!</f>
        <v>#REF!</v>
      </c>
      <c r="L19" s="124">
        <f>J19/F19</f>
        <v>0</v>
      </c>
    </row>
    <row r="20" spans="1:12" x14ac:dyDescent="0.2">
      <c r="A20" s="107"/>
      <c r="B20" s="24">
        <v>1361</v>
      </c>
      <c r="C20" s="84"/>
      <c r="D20" s="24">
        <v>26</v>
      </c>
      <c r="E20" s="24" t="s">
        <v>160</v>
      </c>
      <c r="F20" s="55">
        <v>2200</v>
      </c>
      <c r="G20" s="311"/>
      <c r="H20" s="290"/>
      <c r="I20" s="170" t="e">
        <f>H20-#REF!</f>
        <v>#REF!</v>
      </c>
      <c r="J20" s="55"/>
      <c r="K20" s="124" t="e">
        <f>J20/#REF!</f>
        <v>#REF!</v>
      </c>
      <c r="L20" s="124">
        <f>J20/F20</f>
        <v>0</v>
      </c>
    </row>
    <row r="21" spans="1:12" x14ac:dyDescent="0.2">
      <c r="A21" s="107"/>
      <c r="B21" s="24">
        <v>1353</v>
      </c>
      <c r="C21" s="84"/>
      <c r="D21" s="24">
        <v>26</v>
      </c>
      <c r="E21" s="24" t="s">
        <v>187</v>
      </c>
      <c r="F21" s="55">
        <v>400</v>
      </c>
      <c r="G21" s="311"/>
      <c r="H21" s="290"/>
      <c r="I21" s="170" t="e">
        <f>H21-#REF!</f>
        <v>#REF!</v>
      </c>
      <c r="J21" s="55"/>
      <c r="K21" s="124" t="e">
        <f>J21/#REF!</f>
        <v>#REF!</v>
      </c>
      <c r="L21" s="124">
        <f>J21/F21</f>
        <v>0</v>
      </c>
    </row>
    <row r="22" spans="1:12" x14ac:dyDescent="0.2">
      <c r="A22" s="107"/>
      <c r="B22" s="24">
        <v>1361</v>
      </c>
      <c r="C22" s="84"/>
      <c r="D22" s="24">
        <v>32.33</v>
      </c>
      <c r="E22" s="24" t="s">
        <v>123</v>
      </c>
      <c r="F22" s="55">
        <f>700+50</f>
        <v>750</v>
      </c>
      <c r="G22" s="311"/>
      <c r="H22" s="290"/>
      <c r="I22" s="170" t="e">
        <f>H22-#REF!</f>
        <v>#REF!</v>
      </c>
      <c r="J22" s="55"/>
      <c r="K22" s="124" t="e">
        <f>J22/#REF!</f>
        <v>#REF!</v>
      </c>
      <c r="L22" s="124">
        <f>J22/F22</f>
        <v>0</v>
      </c>
    </row>
    <row r="23" spans="1:12" x14ac:dyDescent="0.2">
      <c r="A23" s="107"/>
      <c r="B23" s="24">
        <v>1361</v>
      </c>
      <c r="C23" s="84"/>
      <c r="D23" s="24">
        <v>35</v>
      </c>
      <c r="E23" s="24" t="s">
        <v>203</v>
      </c>
      <c r="F23" s="55">
        <v>75</v>
      </c>
      <c r="G23" s="311"/>
      <c r="H23" s="290"/>
      <c r="I23" s="170" t="e">
        <f>H23-#REF!</f>
        <v>#REF!</v>
      </c>
      <c r="J23" s="55"/>
      <c r="K23" s="124" t="e">
        <f>J23/#REF!</f>
        <v>#REF!</v>
      </c>
      <c r="L23" s="124">
        <f>J23/F23</f>
        <v>0</v>
      </c>
    </row>
    <row r="24" spans="1:12" x14ac:dyDescent="0.2">
      <c r="A24" s="107"/>
      <c r="B24" s="24">
        <v>1361</v>
      </c>
      <c r="C24" s="84"/>
      <c r="D24" s="24">
        <v>40</v>
      </c>
      <c r="E24" s="24" t="s">
        <v>29</v>
      </c>
      <c r="F24" s="55">
        <v>12</v>
      </c>
      <c r="G24" s="311"/>
      <c r="H24" s="290"/>
      <c r="I24" s="170" t="e">
        <f>H24-#REF!</f>
        <v>#REF!</v>
      </c>
      <c r="J24" s="55"/>
      <c r="K24" s="124" t="e">
        <f>J24/#REF!</f>
        <v>#REF!</v>
      </c>
      <c r="L24" s="124">
        <f>J24/F24</f>
        <v>0</v>
      </c>
    </row>
    <row r="25" spans="1:12" x14ac:dyDescent="0.2">
      <c r="A25" s="107"/>
      <c r="B25" s="84"/>
      <c r="C25" s="84"/>
      <c r="D25" s="84"/>
      <c r="E25" s="27" t="s">
        <v>229</v>
      </c>
      <c r="F25" s="56">
        <f>SUM(F26:F27)</f>
        <v>5160</v>
      </c>
      <c r="G25" s="309"/>
      <c r="H25" s="287"/>
      <c r="I25" s="203" t="e">
        <f>SUM(I26:I27)</f>
        <v>#REF!</v>
      </c>
      <c r="J25" s="56">
        <f>SUM(J26:J27)</f>
        <v>0</v>
      </c>
      <c r="K25" s="123">
        <f>J25/F25</f>
        <v>0</v>
      </c>
      <c r="L25" s="123">
        <f>J25/F25</f>
        <v>0</v>
      </c>
    </row>
    <row r="26" spans="1:12" x14ac:dyDescent="0.2">
      <c r="A26" s="107"/>
      <c r="B26" s="24">
        <v>1334</v>
      </c>
      <c r="C26" s="84"/>
      <c r="D26" s="24"/>
      <c r="E26" s="24" t="s">
        <v>371</v>
      </c>
      <c r="F26" s="55">
        <v>160</v>
      </c>
      <c r="G26" s="311"/>
      <c r="H26" s="290"/>
      <c r="I26" s="170"/>
      <c r="J26" s="55"/>
      <c r="K26" s="124"/>
      <c r="L26" s="124"/>
    </row>
    <row r="27" spans="1:12" x14ac:dyDescent="0.2">
      <c r="A27" s="107"/>
      <c r="B27" s="24" t="s">
        <v>310</v>
      </c>
      <c r="C27" s="84"/>
      <c r="D27" s="24">
        <v>401</v>
      </c>
      <c r="E27" s="24" t="s">
        <v>126</v>
      </c>
      <c r="F27" s="55">
        <v>5000</v>
      </c>
      <c r="G27" s="311"/>
      <c r="H27" s="288"/>
      <c r="I27" s="170" t="e">
        <f>H27-#REF!</f>
        <v>#REF!</v>
      </c>
      <c r="J27" s="55"/>
      <c r="K27" s="124" t="e">
        <f>J27/#REF!</f>
        <v>#REF!</v>
      </c>
      <c r="L27" s="124">
        <f>J27/F27</f>
        <v>0</v>
      </c>
    </row>
    <row r="28" spans="1:12" x14ac:dyDescent="0.2">
      <c r="A28" s="107"/>
      <c r="B28" s="84"/>
      <c r="C28" s="84"/>
      <c r="D28" s="84"/>
      <c r="E28" s="27" t="s">
        <v>139</v>
      </c>
      <c r="F28" s="56">
        <f>SUM(F29:F32)</f>
        <v>3343</v>
      </c>
      <c r="G28" s="310"/>
      <c r="H28" s="287"/>
      <c r="I28" s="203" t="e">
        <f>SUM(I29:I32)</f>
        <v>#REF!</v>
      </c>
      <c r="J28" s="56"/>
      <c r="K28" s="123" t="e">
        <f>J28/#REF!</f>
        <v>#REF!</v>
      </c>
      <c r="L28" s="123">
        <f>J28/F28</f>
        <v>0</v>
      </c>
    </row>
    <row r="29" spans="1:12" x14ac:dyDescent="0.2">
      <c r="A29" s="107"/>
      <c r="B29" s="24">
        <v>1340</v>
      </c>
      <c r="C29" s="84"/>
      <c r="D29" s="24">
        <v>240</v>
      </c>
      <c r="E29" s="24" t="s">
        <v>94</v>
      </c>
      <c r="F29" s="55">
        <v>3074</v>
      </c>
      <c r="G29" s="309" t="s">
        <v>236</v>
      </c>
      <c r="H29" s="289"/>
      <c r="I29" s="170" t="e">
        <f>H29-#REF!</f>
        <v>#REF!</v>
      </c>
      <c r="J29" s="55"/>
      <c r="K29" s="124" t="e">
        <f>J29/#REF!</f>
        <v>#REF!</v>
      </c>
      <c r="L29" s="124">
        <f>J29/F29</f>
        <v>0</v>
      </c>
    </row>
    <row r="30" spans="1:12" x14ac:dyDescent="0.2">
      <c r="A30" s="107"/>
      <c r="B30" s="24">
        <v>1341</v>
      </c>
      <c r="C30" s="84"/>
      <c r="D30" s="24">
        <v>5</v>
      </c>
      <c r="E30" s="24" t="s">
        <v>97</v>
      </c>
      <c r="F30" s="55">
        <v>129</v>
      </c>
      <c r="G30" s="309"/>
      <c r="H30" s="289"/>
      <c r="I30" s="170" t="e">
        <f>H30-#REF!</f>
        <v>#REF!</v>
      </c>
      <c r="J30" s="55"/>
      <c r="K30" s="124" t="e">
        <f>J30/#REF!</f>
        <v>#REF!</v>
      </c>
      <c r="L30" s="124">
        <f>J30/F30</f>
        <v>0</v>
      </c>
    </row>
    <row r="31" spans="1:12" x14ac:dyDescent="0.2">
      <c r="A31" s="107"/>
      <c r="B31" s="24">
        <v>1343</v>
      </c>
      <c r="C31" s="84"/>
      <c r="D31" s="24">
        <v>30</v>
      </c>
      <c r="E31" s="24" t="s">
        <v>98</v>
      </c>
      <c r="F31" s="55">
        <v>85</v>
      </c>
      <c r="G31" s="309"/>
      <c r="H31" s="289"/>
      <c r="I31" s="170" t="e">
        <f>H31-#REF!</f>
        <v>#REF!</v>
      </c>
      <c r="J31" s="55"/>
      <c r="K31" s="124" t="e">
        <f>J31/#REF!</f>
        <v>#REF!</v>
      </c>
      <c r="L31" s="124">
        <f>J31/F31</f>
        <v>0</v>
      </c>
    </row>
    <row r="32" spans="1:12" ht="13.5" customHeight="1" x14ac:dyDescent="0.2">
      <c r="A32" s="107"/>
      <c r="B32" s="24">
        <v>1345</v>
      </c>
      <c r="C32" s="84"/>
      <c r="D32" s="24">
        <v>28</v>
      </c>
      <c r="E32" s="24" t="s">
        <v>299</v>
      </c>
      <c r="F32" s="55">
        <v>55</v>
      </c>
      <c r="G32" s="309"/>
      <c r="H32" s="289"/>
      <c r="I32" s="170" t="e">
        <f>H32-#REF!</f>
        <v>#REF!</v>
      </c>
      <c r="J32" s="55"/>
      <c r="K32" s="124" t="e">
        <f>J32/#REF!</f>
        <v>#REF!</v>
      </c>
      <c r="L32" s="124">
        <f>J32/F32</f>
        <v>0</v>
      </c>
    </row>
    <row r="33" spans="1:12" x14ac:dyDescent="0.2">
      <c r="A33" s="98" t="s">
        <v>30</v>
      </c>
      <c r="B33" s="27"/>
      <c r="C33" s="75"/>
      <c r="D33" s="27"/>
      <c r="E33" s="27"/>
      <c r="F33" s="56">
        <f>SUM(F34)</f>
        <v>4000</v>
      </c>
      <c r="G33" s="312"/>
      <c r="H33" s="287">
        <f>SUM(H34)</f>
        <v>0</v>
      </c>
      <c r="I33" s="203" t="e">
        <f>SUM(I34)</f>
        <v>#REF!</v>
      </c>
      <c r="J33" s="56">
        <f>SUM(J34)</f>
        <v>0</v>
      </c>
      <c r="K33" s="123" t="e">
        <f>J33/#REF!</f>
        <v>#REF!</v>
      </c>
      <c r="L33" s="123">
        <f>J33/F33</f>
        <v>0</v>
      </c>
    </row>
    <row r="34" spans="1:12" ht="13.5" thickBot="1" x14ac:dyDescent="0.25">
      <c r="A34" s="107"/>
      <c r="B34" s="24">
        <v>1511</v>
      </c>
      <c r="C34" s="84" t="s">
        <v>31</v>
      </c>
      <c r="D34" s="84"/>
      <c r="E34" s="24" t="s">
        <v>167</v>
      </c>
      <c r="F34" s="55">
        <v>4000</v>
      </c>
      <c r="G34" s="309"/>
      <c r="H34" s="289"/>
      <c r="I34" s="170" t="e">
        <f>H34-#REF!</f>
        <v>#REF!</v>
      </c>
      <c r="J34" s="55"/>
      <c r="K34" s="124" t="e">
        <f>J34/#REF!</f>
        <v>#REF!</v>
      </c>
      <c r="L34" s="124">
        <f>J34/F34</f>
        <v>0</v>
      </c>
    </row>
    <row r="35" spans="1:12" ht="18" customHeight="1" thickBot="1" x14ac:dyDescent="0.3">
      <c r="A35" s="313" t="s">
        <v>32</v>
      </c>
      <c r="B35" s="91"/>
      <c r="C35" s="90"/>
      <c r="D35" s="91"/>
      <c r="E35" s="90"/>
      <c r="F35" s="57">
        <f>SUM(F5+F14+F25+F28+F33)</f>
        <v>91121</v>
      </c>
      <c r="G35" s="314"/>
      <c r="H35" s="291" t="e">
        <f>SUM(H5+H14+H25+H28+H33)</f>
        <v>#REF!</v>
      </c>
      <c r="I35" s="206" t="e">
        <f>SUM(I5+I14+I25+I28+I33)</f>
        <v>#REF!</v>
      </c>
      <c r="J35" s="57">
        <f>SUM(J5+J14+J25+J28+J33)</f>
        <v>0</v>
      </c>
      <c r="K35" s="125">
        <f>J35/F35</f>
        <v>0</v>
      </c>
      <c r="L35" s="123">
        <f>J35/F35</f>
        <v>0</v>
      </c>
    </row>
    <row r="36" spans="1:12" x14ac:dyDescent="0.2">
      <c r="A36" s="304"/>
      <c r="B36" s="61"/>
      <c r="C36" s="85"/>
      <c r="D36" s="27"/>
      <c r="E36" s="85" t="s">
        <v>33</v>
      </c>
      <c r="F36" s="60"/>
      <c r="G36" s="315"/>
      <c r="H36" s="292"/>
      <c r="I36" s="207"/>
      <c r="J36" s="60"/>
      <c r="K36" s="126"/>
      <c r="L36" s="126"/>
    </row>
    <row r="37" spans="1:12" x14ac:dyDescent="0.2">
      <c r="A37" s="98" t="s">
        <v>34</v>
      </c>
      <c r="B37" s="27"/>
      <c r="C37" s="75"/>
      <c r="D37" s="27"/>
      <c r="E37" s="27"/>
      <c r="F37" s="56"/>
      <c r="G37" s="312"/>
      <c r="H37" s="293"/>
      <c r="I37" s="208"/>
      <c r="J37" s="56"/>
      <c r="K37" s="124"/>
      <c r="L37" s="124"/>
    </row>
    <row r="38" spans="1:12" x14ac:dyDescent="0.2">
      <c r="A38" s="107"/>
      <c r="B38" s="27"/>
      <c r="C38" s="84"/>
      <c r="D38" s="27"/>
      <c r="E38" s="27" t="s">
        <v>137</v>
      </c>
      <c r="F38" s="56">
        <f>SUM(F39:F57)</f>
        <v>12679</v>
      </c>
      <c r="G38" s="309"/>
      <c r="H38" s="287">
        <f>SUM(H39:H57)</f>
        <v>0</v>
      </c>
      <c r="I38" s="203" t="e">
        <f>SUM(I39:I57)</f>
        <v>#REF!</v>
      </c>
      <c r="J38" s="56">
        <f>SUM(J39:J57)</f>
        <v>0</v>
      </c>
      <c r="K38" s="123" t="e">
        <f>J38/#REF!</f>
        <v>#REF!</v>
      </c>
      <c r="L38" s="123">
        <f>J38/F38</f>
        <v>0</v>
      </c>
    </row>
    <row r="39" spans="1:12" x14ac:dyDescent="0.2">
      <c r="A39" s="107"/>
      <c r="B39" s="24">
        <v>2111</v>
      </c>
      <c r="C39" s="84">
        <v>1031</v>
      </c>
      <c r="D39" s="24">
        <v>201</v>
      </c>
      <c r="E39" s="24" t="s">
        <v>89</v>
      </c>
      <c r="F39" s="55">
        <v>400</v>
      </c>
      <c r="G39" s="309"/>
      <c r="H39" s="288"/>
      <c r="I39" s="170" t="e">
        <f>H39-#REF!</f>
        <v>#REF!</v>
      </c>
      <c r="J39" s="55"/>
      <c r="K39" s="124" t="e">
        <f>J39/#REF!</f>
        <v>#REF!</v>
      </c>
      <c r="L39" s="124">
        <f>J39/F39</f>
        <v>0</v>
      </c>
    </row>
    <row r="40" spans="1:12" x14ac:dyDescent="0.2">
      <c r="A40" s="107"/>
      <c r="B40" s="24">
        <v>2111</v>
      </c>
      <c r="C40" s="84">
        <v>2219</v>
      </c>
      <c r="D40" s="24">
        <v>43</v>
      </c>
      <c r="E40" s="24" t="s">
        <v>163</v>
      </c>
      <c r="F40" s="55">
        <v>1050</v>
      </c>
      <c r="G40" s="309"/>
      <c r="H40" s="290"/>
      <c r="I40" s="170" t="e">
        <f>H40-#REF!</f>
        <v>#REF!</v>
      </c>
      <c r="J40" s="55"/>
      <c r="K40" s="124" t="e">
        <f>J40/#REF!</f>
        <v>#REF!</v>
      </c>
      <c r="L40" s="124">
        <f>J40/F40</f>
        <v>0</v>
      </c>
    </row>
    <row r="41" spans="1:12" x14ac:dyDescent="0.2">
      <c r="A41" s="107"/>
      <c r="B41" s="24">
        <v>2111</v>
      </c>
      <c r="C41" s="84">
        <v>3113</v>
      </c>
      <c r="D41" s="24"/>
      <c r="E41" s="24" t="s">
        <v>322</v>
      </c>
      <c r="F41" s="55">
        <v>260</v>
      </c>
      <c r="G41" s="309"/>
      <c r="H41" s="290"/>
      <c r="I41" s="170"/>
      <c r="J41" s="55"/>
      <c r="K41" s="124"/>
      <c r="L41" s="124"/>
    </row>
    <row r="42" spans="1:12" x14ac:dyDescent="0.2">
      <c r="A42" s="107"/>
      <c r="B42" s="24">
        <v>2111</v>
      </c>
      <c r="C42" s="84"/>
      <c r="D42" s="24"/>
      <c r="E42" s="24" t="s">
        <v>323</v>
      </c>
      <c r="F42" s="55">
        <v>100</v>
      </c>
      <c r="G42" s="309"/>
      <c r="H42" s="290"/>
      <c r="I42" s="170"/>
      <c r="J42" s="55"/>
      <c r="K42" s="124"/>
      <c r="L42" s="124"/>
    </row>
    <row r="43" spans="1:12" x14ac:dyDescent="0.2">
      <c r="A43" s="107"/>
      <c r="B43" s="24">
        <v>2111</v>
      </c>
      <c r="C43" s="84">
        <v>3314</v>
      </c>
      <c r="D43" s="24">
        <v>504</v>
      </c>
      <c r="E43" s="24" t="s">
        <v>162</v>
      </c>
      <c r="F43" s="55">
        <v>96</v>
      </c>
      <c r="G43" s="309"/>
      <c r="H43" s="290"/>
      <c r="I43" s="170" t="e">
        <f>H43-#REF!</f>
        <v>#REF!</v>
      </c>
      <c r="J43" s="55"/>
      <c r="K43" s="124" t="e">
        <f>J43/#REF!</f>
        <v>#REF!</v>
      </c>
      <c r="L43" s="124">
        <f>J43/F43</f>
        <v>0</v>
      </c>
    </row>
    <row r="44" spans="1:12" x14ac:dyDescent="0.2">
      <c r="A44" s="107"/>
      <c r="B44" s="24">
        <v>2111</v>
      </c>
      <c r="C44" s="238" t="s">
        <v>251</v>
      </c>
      <c r="D44" s="24">
        <v>41</v>
      </c>
      <c r="E44" s="24" t="s">
        <v>38</v>
      </c>
      <c r="F44" s="55">
        <v>70</v>
      </c>
      <c r="G44" s="309"/>
      <c r="H44" s="290"/>
      <c r="I44" s="170" t="e">
        <f>H44-#REF!</f>
        <v>#REF!</v>
      </c>
      <c r="J44" s="55"/>
      <c r="K44" s="124" t="e">
        <f>J44/#REF!</f>
        <v>#REF!</v>
      </c>
      <c r="L44" s="124">
        <f>J44/F44</f>
        <v>0</v>
      </c>
    </row>
    <row r="45" spans="1:12" x14ac:dyDescent="0.2">
      <c r="A45" s="107"/>
      <c r="B45" s="24">
        <v>2111</v>
      </c>
      <c r="C45" s="84">
        <v>3349</v>
      </c>
      <c r="D45" s="24">
        <v>42</v>
      </c>
      <c r="E45" s="24" t="s">
        <v>35</v>
      </c>
      <c r="F45" s="55">
        <v>99</v>
      </c>
      <c r="G45" s="309"/>
      <c r="H45" s="290"/>
      <c r="I45" s="170" t="e">
        <f>H45-#REF!</f>
        <v>#REF!</v>
      </c>
      <c r="J45" s="55"/>
      <c r="K45" s="124" t="e">
        <f>J45/#REF!</f>
        <v>#REF!</v>
      </c>
      <c r="L45" s="124">
        <f>J45/F45</f>
        <v>0</v>
      </c>
    </row>
    <row r="46" spans="1:12" x14ac:dyDescent="0.2">
      <c r="A46" s="107"/>
      <c r="B46" s="24">
        <v>2111</v>
      </c>
      <c r="C46" s="84">
        <v>3612</v>
      </c>
      <c r="D46" s="24" t="s">
        <v>269</v>
      </c>
      <c r="E46" s="24" t="s">
        <v>168</v>
      </c>
      <c r="F46" s="55">
        <v>3578</v>
      </c>
      <c r="G46" s="309"/>
      <c r="H46" s="290"/>
      <c r="I46" s="170" t="e">
        <f>H46-#REF!</f>
        <v>#REF!</v>
      </c>
      <c r="J46" s="55"/>
      <c r="K46" s="124" t="e">
        <f>J46/#REF!</f>
        <v>#REF!</v>
      </c>
      <c r="L46" s="124">
        <f>J46/F46</f>
        <v>0</v>
      </c>
    </row>
    <row r="47" spans="1:12" x14ac:dyDescent="0.2">
      <c r="A47" s="107"/>
      <c r="B47" s="24">
        <v>2111</v>
      </c>
      <c r="C47" s="84">
        <v>3613</v>
      </c>
      <c r="D47" s="24">
        <v>703</v>
      </c>
      <c r="E47" s="24" t="s">
        <v>169</v>
      </c>
      <c r="F47" s="55">
        <v>331</v>
      </c>
      <c r="G47" s="316"/>
      <c r="H47" s="290"/>
      <c r="I47" s="170" t="e">
        <f>H47-#REF!</f>
        <v>#REF!</v>
      </c>
      <c r="J47" s="55"/>
      <c r="K47" s="124" t="e">
        <f>J47/#REF!</f>
        <v>#REF!</v>
      </c>
      <c r="L47" s="124">
        <f>J47/F47</f>
        <v>0</v>
      </c>
    </row>
    <row r="48" spans="1:12" x14ac:dyDescent="0.2">
      <c r="A48" s="107"/>
      <c r="B48" s="24">
        <v>2111</v>
      </c>
      <c r="C48" s="84">
        <v>3632</v>
      </c>
      <c r="D48" s="24">
        <v>238</v>
      </c>
      <c r="E48" s="24" t="s">
        <v>36</v>
      </c>
      <c r="F48" s="55">
        <v>150</v>
      </c>
      <c r="G48" s="309"/>
      <c r="H48" s="290"/>
      <c r="I48" s="170" t="e">
        <f>H48-#REF!</f>
        <v>#REF!</v>
      </c>
      <c r="J48" s="55"/>
      <c r="K48" s="124" t="e">
        <f>J48/#REF!</f>
        <v>#REF!</v>
      </c>
      <c r="L48" s="124">
        <f>J48/F48</f>
        <v>0</v>
      </c>
    </row>
    <row r="49" spans="1:12" x14ac:dyDescent="0.2">
      <c r="A49" s="107"/>
      <c r="B49" s="24">
        <v>2111</v>
      </c>
      <c r="C49" s="84">
        <v>3639</v>
      </c>
      <c r="D49" s="24">
        <v>21.318999999999999</v>
      </c>
      <c r="E49" s="24" t="s">
        <v>231</v>
      </c>
      <c r="F49" s="55">
        <f>21+69</f>
        <v>90</v>
      </c>
      <c r="G49" s="309"/>
      <c r="H49" s="290"/>
      <c r="I49" s="170" t="e">
        <f>H49-#REF!</f>
        <v>#REF!</v>
      </c>
      <c r="J49" s="55"/>
      <c r="K49" s="124" t="e">
        <f>J49/#REF!</f>
        <v>#REF!</v>
      </c>
      <c r="L49" s="124">
        <f>J49/F49</f>
        <v>0</v>
      </c>
    </row>
    <row r="50" spans="1:12" x14ac:dyDescent="0.2">
      <c r="A50" s="107"/>
      <c r="B50" s="24">
        <v>2111.2323999999999</v>
      </c>
      <c r="C50" s="84">
        <v>3639</v>
      </c>
      <c r="D50" s="24">
        <v>239</v>
      </c>
      <c r="E50" s="24" t="s">
        <v>136</v>
      </c>
      <c r="F50" s="55">
        <v>40</v>
      </c>
      <c r="G50" s="309"/>
      <c r="H50" s="290"/>
      <c r="I50" s="170" t="e">
        <f>H50-#REF!</f>
        <v>#REF!</v>
      </c>
      <c r="J50" s="55"/>
      <c r="K50" s="124" t="e">
        <f>J50/#REF!</f>
        <v>#REF!</v>
      </c>
      <c r="L50" s="124">
        <f>J50/F50</f>
        <v>0</v>
      </c>
    </row>
    <row r="51" spans="1:12" x14ac:dyDescent="0.2">
      <c r="A51" s="107"/>
      <c r="B51" s="24">
        <v>2111</v>
      </c>
      <c r="C51" s="84">
        <v>3639</v>
      </c>
      <c r="D51" s="24">
        <v>243</v>
      </c>
      <c r="E51" s="24" t="s">
        <v>88</v>
      </c>
      <c r="F51" s="55">
        <v>45</v>
      </c>
      <c r="G51" s="309"/>
      <c r="H51" s="290"/>
      <c r="I51" s="170" t="e">
        <f>H51-#REF!</f>
        <v>#REF!</v>
      </c>
      <c r="J51" s="55"/>
      <c r="K51" s="124" t="e">
        <f>J51/#REF!</f>
        <v>#REF!</v>
      </c>
      <c r="L51" s="124">
        <f>J51/F51</f>
        <v>0</v>
      </c>
    </row>
    <row r="52" spans="1:12" x14ac:dyDescent="0.2">
      <c r="A52" s="107"/>
      <c r="B52" s="24">
        <v>2111</v>
      </c>
      <c r="C52" s="84">
        <v>4351</v>
      </c>
      <c r="D52" s="24">
        <v>227</v>
      </c>
      <c r="E52" s="24" t="s">
        <v>134</v>
      </c>
      <c r="F52" s="55">
        <f>750+100</f>
        <v>850</v>
      </c>
      <c r="G52" s="317"/>
      <c r="H52" s="290"/>
      <c r="I52" s="170" t="e">
        <f>H52-#REF!</f>
        <v>#REF!</v>
      </c>
      <c r="J52" s="55"/>
      <c r="K52" s="124" t="e">
        <f>J52/#REF!</f>
        <v>#REF!</v>
      </c>
      <c r="L52" s="124">
        <f>J52/F52</f>
        <v>0</v>
      </c>
    </row>
    <row r="53" spans="1:12" x14ac:dyDescent="0.2">
      <c r="A53" s="107"/>
      <c r="B53" s="24">
        <v>2111</v>
      </c>
      <c r="C53" s="84">
        <v>6171</v>
      </c>
      <c r="D53" s="24">
        <v>911</v>
      </c>
      <c r="E53" s="24" t="s">
        <v>170</v>
      </c>
      <c r="F53" s="55">
        <f>70+30</f>
        <v>100</v>
      </c>
      <c r="G53" s="309"/>
      <c r="H53" s="290"/>
      <c r="I53" s="170" t="e">
        <f>H53-#REF!</f>
        <v>#REF!</v>
      </c>
      <c r="J53" s="55"/>
      <c r="K53" s="124" t="e">
        <f>J53/#REF!</f>
        <v>#REF!</v>
      </c>
      <c r="L53" s="124">
        <f>J53/F53</f>
        <v>0</v>
      </c>
    </row>
    <row r="54" spans="1:12" x14ac:dyDescent="0.2">
      <c r="A54" s="107"/>
      <c r="B54" s="24">
        <v>2119</v>
      </c>
      <c r="C54" s="84">
        <v>2121</v>
      </c>
      <c r="D54" s="24">
        <v>20</v>
      </c>
      <c r="E54" s="24" t="s">
        <v>204</v>
      </c>
      <c r="F54" s="55">
        <v>30</v>
      </c>
      <c r="G54" s="309"/>
      <c r="H54" s="290"/>
      <c r="I54" s="170" t="e">
        <f>H54-#REF!</f>
        <v>#REF!</v>
      </c>
      <c r="J54" s="55"/>
      <c r="K54" s="124" t="e">
        <f>J54/#REF!</f>
        <v>#REF!</v>
      </c>
      <c r="L54" s="124">
        <f>J54/F54</f>
        <v>0</v>
      </c>
    </row>
    <row r="55" spans="1:12" x14ac:dyDescent="0.2">
      <c r="A55" s="107"/>
      <c r="B55" s="24">
        <v>2122</v>
      </c>
      <c r="C55" s="84"/>
      <c r="D55" s="24"/>
      <c r="E55" s="24" t="s">
        <v>215</v>
      </c>
      <c r="F55" s="55">
        <v>1858</v>
      </c>
      <c r="G55" s="318"/>
      <c r="H55" s="289"/>
      <c r="I55" s="170" t="e">
        <f>H55-#REF!</f>
        <v>#REF!</v>
      </c>
      <c r="J55" s="55"/>
      <c r="K55" s="124" t="e">
        <f>J55/#REF!</f>
        <v>#REF!</v>
      </c>
      <c r="L55" s="124">
        <f>J55/F55</f>
        <v>0</v>
      </c>
    </row>
    <row r="56" spans="1:12" x14ac:dyDescent="0.2">
      <c r="A56" s="107"/>
      <c r="B56" s="24">
        <v>2129</v>
      </c>
      <c r="C56" s="84">
        <v>3412</v>
      </c>
      <c r="D56" s="24">
        <v>205</v>
      </c>
      <c r="E56" s="24" t="s">
        <v>388</v>
      </c>
      <c r="F56" s="55">
        <v>2807</v>
      </c>
      <c r="G56" s="318"/>
      <c r="H56" s="288"/>
      <c r="I56" s="170" t="e">
        <f>H56-#REF!</f>
        <v>#REF!</v>
      </c>
      <c r="J56" s="55"/>
      <c r="K56" s="124"/>
      <c r="L56" s="124"/>
    </row>
    <row r="57" spans="1:12" x14ac:dyDescent="0.2">
      <c r="A57" s="107"/>
      <c r="B57" s="24">
        <v>2324</v>
      </c>
      <c r="C57" s="84">
        <v>3725</v>
      </c>
      <c r="D57" s="24">
        <v>240</v>
      </c>
      <c r="E57" s="24" t="s">
        <v>110</v>
      </c>
      <c r="F57" s="55">
        <f>65+660</f>
        <v>725</v>
      </c>
      <c r="G57" s="310"/>
      <c r="H57" s="290"/>
      <c r="I57" s="170" t="e">
        <f>H57-#REF!</f>
        <v>#REF!</v>
      </c>
      <c r="J57" s="55"/>
      <c r="K57" s="124" t="e">
        <f>J57/#REF!</f>
        <v>#REF!</v>
      </c>
      <c r="L57" s="124">
        <f>J57/F57</f>
        <v>0</v>
      </c>
    </row>
    <row r="58" spans="1:12" ht="15" customHeight="1" x14ac:dyDescent="0.2">
      <c r="A58" s="107"/>
      <c r="B58" s="84"/>
      <c r="C58" s="84"/>
      <c r="D58" s="84"/>
      <c r="E58" s="27" t="s">
        <v>39</v>
      </c>
      <c r="F58" s="56">
        <f>SUM(F59:F68)</f>
        <v>13126</v>
      </c>
      <c r="G58" s="309"/>
      <c r="H58" s="287">
        <f>SUM(H59:H68)</f>
        <v>0</v>
      </c>
      <c r="I58" s="203" t="e">
        <f>SUM(I59:I68)</f>
        <v>#REF!</v>
      </c>
      <c r="J58" s="56">
        <f>SUM(J59:J68)</f>
        <v>0</v>
      </c>
      <c r="K58" s="123" t="e">
        <f>J58/#REF!</f>
        <v>#REF!</v>
      </c>
      <c r="L58" s="123">
        <f>J58/F58</f>
        <v>0</v>
      </c>
    </row>
    <row r="59" spans="1:12" x14ac:dyDescent="0.2">
      <c r="A59" s="107"/>
      <c r="B59" s="24">
        <v>2131</v>
      </c>
      <c r="C59" s="84">
        <v>1012</v>
      </c>
      <c r="D59" s="24">
        <v>38</v>
      </c>
      <c r="E59" s="24" t="s">
        <v>180</v>
      </c>
      <c r="F59" s="55">
        <v>408</v>
      </c>
      <c r="G59" s="309" t="s">
        <v>298</v>
      </c>
      <c r="H59" s="288"/>
      <c r="I59" s="170" t="e">
        <f>H59-#REF!</f>
        <v>#REF!</v>
      </c>
      <c r="J59" s="55"/>
      <c r="K59" s="124" t="e">
        <f>J59/#REF!</f>
        <v>#REF!</v>
      </c>
      <c r="L59" s="124">
        <f>J59/F59</f>
        <v>0</v>
      </c>
    </row>
    <row r="60" spans="1:12" x14ac:dyDescent="0.2">
      <c r="A60" s="107"/>
      <c r="B60" s="24">
        <v>2132</v>
      </c>
      <c r="C60" s="84">
        <v>2121</v>
      </c>
      <c r="D60" s="24">
        <v>237</v>
      </c>
      <c r="E60" s="24" t="s">
        <v>181</v>
      </c>
      <c r="F60" s="55">
        <f>1360+24</f>
        <v>1384</v>
      </c>
      <c r="G60" s="319"/>
      <c r="H60" s="290"/>
      <c r="I60" s="170" t="e">
        <f>H60-#REF!</f>
        <v>#REF!</v>
      </c>
      <c r="J60" s="55"/>
      <c r="K60" s="124" t="e">
        <f>J60/#REF!</f>
        <v>#REF!</v>
      </c>
      <c r="L60" s="124">
        <f>J60/F60</f>
        <v>0</v>
      </c>
    </row>
    <row r="61" spans="1:12" x14ac:dyDescent="0.2">
      <c r="A61" s="107"/>
      <c r="B61" s="24">
        <v>2132</v>
      </c>
      <c r="C61" s="84">
        <v>3113</v>
      </c>
      <c r="D61" s="24"/>
      <c r="E61" s="24" t="s">
        <v>321</v>
      </c>
      <c r="F61" s="55">
        <v>195</v>
      </c>
      <c r="G61" s="319"/>
      <c r="H61" s="290"/>
      <c r="I61" s="170"/>
      <c r="J61" s="55"/>
      <c r="K61" s="124"/>
      <c r="L61" s="124"/>
    </row>
    <row r="62" spans="1:12" x14ac:dyDescent="0.2">
      <c r="A62" s="107"/>
      <c r="B62" s="24">
        <v>2132</v>
      </c>
      <c r="C62" s="84">
        <v>3612</v>
      </c>
      <c r="D62" s="24" t="s">
        <v>257</v>
      </c>
      <c r="E62" s="24" t="s">
        <v>133</v>
      </c>
      <c r="F62" s="55">
        <v>7848</v>
      </c>
      <c r="G62" s="309"/>
      <c r="H62" s="290"/>
      <c r="I62" s="170" t="e">
        <f>H62-#REF!</f>
        <v>#REF!</v>
      </c>
      <c r="J62" s="55"/>
      <c r="K62" s="124" t="e">
        <f>J62/#REF!</f>
        <v>#REF!</v>
      </c>
      <c r="L62" s="124">
        <f>J62/F62</f>
        <v>0</v>
      </c>
    </row>
    <row r="63" spans="1:12" x14ac:dyDescent="0.2">
      <c r="A63" s="107"/>
      <c r="B63" s="24">
        <v>2132</v>
      </c>
      <c r="C63" s="84">
        <v>3613</v>
      </c>
      <c r="D63" s="24">
        <v>703</v>
      </c>
      <c r="E63" s="24" t="s">
        <v>40</v>
      </c>
      <c r="F63" s="55">
        <v>750</v>
      </c>
      <c r="G63" s="309"/>
      <c r="H63" s="290"/>
      <c r="I63" s="170" t="e">
        <f>H63-#REF!</f>
        <v>#REF!</v>
      </c>
      <c r="J63" s="55"/>
      <c r="K63" s="124" t="e">
        <f>J63/#REF!</f>
        <v>#REF!</v>
      </c>
      <c r="L63" s="124">
        <f>J63/F63</f>
        <v>0</v>
      </c>
    </row>
    <row r="64" spans="1:12" ht="13.5" customHeight="1" x14ac:dyDescent="0.2">
      <c r="A64" s="107"/>
      <c r="B64" s="24">
        <v>2132</v>
      </c>
      <c r="C64" s="84">
        <v>3634</v>
      </c>
      <c r="D64" s="24">
        <v>21</v>
      </c>
      <c r="E64" s="24" t="s">
        <v>41</v>
      </c>
      <c r="F64" s="55">
        <v>951</v>
      </c>
      <c r="G64" s="309"/>
      <c r="H64" s="290"/>
      <c r="I64" s="170" t="e">
        <f>H64-#REF!</f>
        <v>#REF!</v>
      </c>
      <c r="J64" s="55"/>
      <c r="K64" s="124" t="e">
        <f>J64/#REF!</f>
        <v>#REF!</v>
      </c>
      <c r="L64" s="124">
        <f>J64/F64</f>
        <v>0</v>
      </c>
    </row>
    <row r="65" spans="1:12" x14ac:dyDescent="0.2">
      <c r="A65" s="107"/>
      <c r="B65" s="24">
        <v>2132</v>
      </c>
      <c r="C65" s="84">
        <v>3639</v>
      </c>
      <c r="D65" s="24">
        <v>21</v>
      </c>
      <c r="E65" s="24" t="s">
        <v>165</v>
      </c>
      <c r="F65" s="55">
        <f>162+275+123</f>
        <v>560</v>
      </c>
      <c r="G65" s="309"/>
      <c r="H65" s="290"/>
      <c r="I65" s="170" t="e">
        <f>H65-#REF!</f>
        <v>#REF!</v>
      </c>
      <c r="J65" s="55"/>
      <c r="K65" s="124" t="e">
        <f>J65/#REF!</f>
        <v>#REF!</v>
      </c>
      <c r="L65" s="124">
        <f>J65/F65</f>
        <v>0</v>
      </c>
    </row>
    <row r="66" spans="1:12" x14ac:dyDescent="0.2">
      <c r="A66" s="107"/>
      <c r="B66" s="24">
        <v>2132</v>
      </c>
      <c r="C66" s="84">
        <v>3639</v>
      </c>
      <c r="D66" s="24">
        <v>319</v>
      </c>
      <c r="E66" s="24" t="s">
        <v>233</v>
      </c>
      <c r="F66" s="55">
        <v>274</v>
      </c>
      <c r="G66" s="309"/>
      <c r="H66" s="290"/>
      <c r="I66" s="170" t="e">
        <f>H66-#REF!</f>
        <v>#REF!</v>
      </c>
      <c r="J66" s="55"/>
      <c r="K66" s="124" t="e">
        <f>J66/#REF!</f>
        <v>#REF!</v>
      </c>
      <c r="L66" s="124">
        <f>J66/F66</f>
        <v>0</v>
      </c>
    </row>
    <row r="67" spans="1:12" x14ac:dyDescent="0.2">
      <c r="A67" s="107"/>
      <c r="B67" s="24">
        <v>2133</v>
      </c>
      <c r="C67" s="84">
        <v>3639</v>
      </c>
      <c r="D67" s="24">
        <v>34</v>
      </c>
      <c r="E67" s="24" t="s">
        <v>164</v>
      </c>
      <c r="F67" s="55">
        <v>44</v>
      </c>
      <c r="G67" s="309" t="s">
        <v>259</v>
      </c>
      <c r="H67" s="290"/>
      <c r="I67" s="170" t="e">
        <f>H67-#REF!</f>
        <v>#REF!</v>
      </c>
      <c r="J67" s="55"/>
      <c r="K67" s="124" t="e">
        <f>J67/#REF!</f>
        <v>#REF!</v>
      </c>
      <c r="L67" s="124">
        <f>J67/F67</f>
        <v>0</v>
      </c>
    </row>
    <row r="68" spans="1:12" x14ac:dyDescent="0.2">
      <c r="A68" s="107"/>
      <c r="B68" s="24">
        <v>2132</v>
      </c>
      <c r="C68" s="84">
        <v>4355</v>
      </c>
      <c r="D68" s="24">
        <v>311</v>
      </c>
      <c r="E68" s="24" t="s">
        <v>239</v>
      </c>
      <c r="F68" s="55">
        <v>712</v>
      </c>
      <c r="G68" s="309"/>
      <c r="H68" s="289"/>
      <c r="I68" s="170" t="e">
        <f>H68-#REF!</f>
        <v>#REF!</v>
      </c>
      <c r="J68" s="55"/>
      <c r="K68" s="124" t="e">
        <f>J68/#REF!</f>
        <v>#REF!</v>
      </c>
      <c r="L68" s="124">
        <f>J68/F68</f>
        <v>0</v>
      </c>
    </row>
    <row r="69" spans="1:12" ht="14.25" customHeight="1" x14ac:dyDescent="0.2">
      <c r="A69" s="107"/>
      <c r="B69" s="84"/>
      <c r="C69" s="84"/>
      <c r="D69" s="84"/>
      <c r="E69" s="27" t="s">
        <v>86</v>
      </c>
      <c r="F69" s="56">
        <f>SUM(F70:F72)</f>
        <v>74</v>
      </c>
      <c r="G69" s="320"/>
      <c r="H69" s="287">
        <f>SUM(H70:H72)</f>
        <v>0</v>
      </c>
      <c r="I69" s="203" t="e">
        <f>SUM(I70:I72)</f>
        <v>#REF!</v>
      </c>
      <c r="J69" s="56"/>
      <c r="K69" s="123" t="e">
        <f>J69/#REF!</f>
        <v>#REF!</v>
      </c>
      <c r="L69" s="123">
        <f>J69/F69</f>
        <v>0</v>
      </c>
    </row>
    <row r="70" spans="1:12" x14ac:dyDescent="0.2">
      <c r="A70" s="107"/>
      <c r="B70" s="24">
        <v>2141</v>
      </c>
      <c r="C70" s="84">
        <v>6310</v>
      </c>
      <c r="D70" s="24">
        <v>314</v>
      </c>
      <c r="E70" s="24" t="s">
        <v>243</v>
      </c>
      <c r="F70" s="55">
        <v>15</v>
      </c>
      <c r="G70" s="309"/>
      <c r="H70" s="290"/>
      <c r="I70" s="170" t="e">
        <f>H70-#REF!</f>
        <v>#REF!</v>
      </c>
      <c r="J70" s="55"/>
      <c r="K70" s="124" t="e">
        <f>J70/#REF!</f>
        <v>#REF!</v>
      </c>
      <c r="L70" s="124">
        <f>J70/F70</f>
        <v>0</v>
      </c>
    </row>
    <row r="71" spans="1:12" x14ac:dyDescent="0.2">
      <c r="A71" s="107"/>
      <c r="B71" s="24">
        <v>2141</v>
      </c>
      <c r="C71" s="84">
        <v>6310</v>
      </c>
      <c r="D71" s="24">
        <v>245</v>
      </c>
      <c r="E71" s="24" t="s">
        <v>171</v>
      </c>
      <c r="F71" s="55">
        <v>54</v>
      </c>
      <c r="G71" s="309"/>
      <c r="H71" s="288"/>
      <c r="I71" s="170" t="e">
        <f>H71-#REF!</f>
        <v>#REF!</v>
      </c>
      <c r="J71" s="55"/>
      <c r="K71" s="124" t="e">
        <f>J71/#REF!</f>
        <v>#REF!</v>
      </c>
      <c r="L71" s="124">
        <f>J71/F71</f>
        <v>0</v>
      </c>
    </row>
    <row r="72" spans="1:12" ht="13.5" customHeight="1" x14ac:dyDescent="0.2">
      <c r="A72" s="107"/>
      <c r="B72" s="24">
        <v>2141</v>
      </c>
      <c r="C72" s="84">
        <v>6310</v>
      </c>
      <c r="D72" s="24">
        <v>318</v>
      </c>
      <c r="E72" s="24" t="s">
        <v>278</v>
      </c>
      <c r="F72" s="55">
        <v>5</v>
      </c>
      <c r="G72" s="309"/>
      <c r="H72" s="288"/>
      <c r="I72" s="170" t="e">
        <f>H72-#REF!</f>
        <v>#REF!</v>
      </c>
      <c r="J72" s="55"/>
      <c r="K72" s="124" t="e">
        <f>J72/#REF!</f>
        <v>#REF!</v>
      </c>
      <c r="L72" s="124">
        <f>J72/F72</f>
        <v>0</v>
      </c>
    </row>
    <row r="73" spans="1:12" x14ac:dyDescent="0.2">
      <c r="A73" s="98" t="s">
        <v>122</v>
      </c>
      <c r="B73" s="27"/>
      <c r="C73" s="75"/>
      <c r="D73" s="27"/>
      <c r="E73" s="27"/>
      <c r="F73" s="56">
        <f>SUM(F74:F80)</f>
        <v>1527</v>
      </c>
      <c r="G73" s="312"/>
      <c r="H73" s="287" t="e">
        <f>SUM(H74:H80)</f>
        <v>#REF!</v>
      </c>
      <c r="I73" s="203" t="e">
        <f>SUM(I74:I80)</f>
        <v>#REF!</v>
      </c>
      <c r="J73" s="56">
        <f>SUM(J74:J80)</f>
        <v>0</v>
      </c>
      <c r="K73" s="123" t="e">
        <f>J73/#REF!</f>
        <v>#REF!</v>
      </c>
      <c r="L73" s="123">
        <f>J73/F73</f>
        <v>0</v>
      </c>
    </row>
    <row r="74" spans="1:12" x14ac:dyDescent="0.2">
      <c r="A74" s="107"/>
      <c r="B74" s="24">
        <v>2212</v>
      </c>
      <c r="C74" s="84">
        <v>6171</v>
      </c>
      <c r="D74" s="24">
        <v>11</v>
      </c>
      <c r="E74" s="24" t="s">
        <v>128</v>
      </c>
      <c r="F74" s="55">
        <v>5</v>
      </c>
      <c r="G74" s="312"/>
      <c r="H74" s="290" t="e">
        <f>#REF!/3*4</f>
        <v>#REF!</v>
      </c>
      <c r="I74" s="170" t="e">
        <f>H74-#REF!</f>
        <v>#REF!</v>
      </c>
      <c r="J74" s="55"/>
      <c r="K74" s="124" t="e">
        <f>J74/#REF!</f>
        <v>#REF!</v>
      </c>
      <c r="L74" s="144">
        <f>J74/F74</f>
        <v>0</v>
      </c>
    </row>
    <row r="75" spans="1:12" x14ac:dyDescent="0.2">
      <c r="A75" s="149"/>
      <c r="B75" s="24">
        <v>2212</v>
      </c>
      <c r="C75" s="84">
        <v>6171</v>
      </c>
      <c r="D75" s="24">
        <v>14.33</v>
      </c>
      <c r="E75" s="24" t="s">
        <v>214</v>
      </c>
      <c r="F75" s="55">
        <f>65+7</f>
        <v>72</v>
      </c>
      <c r="G75" s="309"/>
      <c r="H75" s="290" t="e">
        <f>#REF!/3*4</f>
        <v>#REF!</v>
      </c>
      <c r="I75" s="170" t="e">
        <f>H75-#REF!</f>
        <v>#REF!</v>
      </c>
      <c r="J75" s="55"/>
      <c r="K75" s="124" t="e">
        <f>J75/#REF!</f>
        <v>#REF!</v>
      </c>
      <c r="L75" s="124">
        <f>J75/F75</f>
        <v>0</v>
      </c>
    </row>
    <row r="76" spans="1:12" x14ac:dyDescent="0.2">
      <c r="A76" s="78"/>
      <c r="B76" s="24">
        <v>2212</v>
      </c>
      <c r="C76" s="84">
        <v>2169</v>
      </c>
      <c r="D76" s="24">
        <v>15</v>
      </c>
      <c r="E76" s="24" t="s">
        <v>155</v>
      </c>
      <c r="F76" s="55">
        <v>40</v>
      </c>
      <c r="G76" s="321"/>
      <c r="H76" s="290" t="e">
        <f>#REF!/3*4</f>
        <v>#REF!</v>
      </c>
      <c r="I76" s="170" t="e">
        <f>H76-#REF!</f>
        <v>#REF!</v>
      </c>
      <c r="J76" s="55"/>
      <c r="K76" s="124" t="e">
        <f>J76/#REF!</f>
        <v>#REF!</v>
      </c>
      <c r="L76" s="124">
        <f>J76/F76</f>
        <v>0</v>
      </c>
    </row>
    <row r="77" spans="1:12" x14ac:dyDescent="0.2">
      <c r="A77" s="107"/>
      <c r="B77" s="24">
        <v>2212</v>
      </c>
      <c r="C77" s="158" t="s">
        <v>177</v>
      </c>
      <c r="D77" s="24">
        <v>17</v>
      </c>
      <c r="E77" s="24" t="s">
        <v>125</v>
      </c>
      <c r="F77" s="55">
        <v>60</v>
      </c>
      <c r="G77" s="309"/>
      <c r="H77" s="290" t="e">
        <f>#REF!/3*4</f>
        <v>#REF!</v>
      </c>
      <c r="I77" s="170" t="e">
        <f>H77-#REF!</f>
        <v>#REF!</v>
      </c>
      <c r="J77" s="55"/>
      <c r="K77" s="124" t="e">
        <f>J77/#REF!</f>
        <v>#REF!</v>
      </c>
      <c r="L77" s="124">
        <f>J77/F77</f>
        <v>0</v>
      </c>
    </row>
    <row r="78" spans="1:12" x14ac:dyDescent="0.2">
      <c r="A78" s="107"/>
      <c r="B78" s="24">
        <v>2212</v>
      </c>
      <c r="C78" s="84">
        <v>6171</v>
      </c>
      <c r="D78" s="24">
        <v>25.26</v>
      </c>
      <c r="E78" s="24" t="s">
        <v>124</v>
      </c>
      <c r="F78" s="55">
        <v>1200</v>
      </c>
      <c r="G78" s="309"/>
      <c r="H78" s="290" t="e">
        <f>#REF!/3*4</f>
        <v>#REF!</v>
      </c>
      <c r="I78" s="170" t="e">
        <f>H78-#REF!</f>
        <v>#REF!</v>
      </c>
      <c r="J78" s="55"/>
      <c r="K78" s="124" t="e">
        <f>J78/#REF!</f>
        <v>#REF!</v>
      </c>
      <c r="L78" s="124">
        <f>J78/F78</f>
        <v>0</v>
      </c>
    </row>
    <row r="79" spans="1:12" x14ac:dyDescent="0.2">
      <c r="A79" s="107"/>
      <c r="B79" s="24">
        <v>2212</v>
      </c>
      <c r="C79" s="84">
        <v>6171</v>
      </c>
      <c r="D79" s="24">
        <v>30.13</v>
      </c>
      <c r="E79" s="24" t="s">
        <v>280</v>
      </c>
      <c r="F79" s="55">
        <v>0</v>
      </c>
      <c r="G79" s="309"/>
      <c r="H79" s="290" t="e">
        <f>#REF!/3*4</f>
        <v>#REF!</v>
      </c>
      <c r="I79" s="170" t="e">
        <f>H79-#REF!</f>
        <v>#REF!</v>
      </c>
      <c r="J79" s="55"/>
      <c r="K79" s="124" t="e">
        <f>J79/#REF!</f>
        <v>#REF!</v>
      </c>
      <c r="L79" s="124" t="e">
        <f>J79/F79</f>
        <v>#DIV/0!</v>
      </c>
    </row>
    <row r="80" spans="1:12" x14ac:dyDescent="0.2">
      <c r="A80" s="107"/>
      <c r="B80" s="24">
        <v>2212</v>
      </c>
      <c r="C80" s="84">
        <v>5311</v>
      </c>
      <c r="D80" s="24">
        <v>16</v>
      </c>
      <c r="E80" s="24" t="s">
        <v>42</v>
      </c>
      <c r="F80" s="55">
        <v>150</v>
      </c>
      <c r="G80" s="309"/>
      <c r="H80" s="290" t="e">
        <f>#REF!/3*4</f>
        <v>#REF!</v>
      </c>
      <c r="I80" s="170" t="e">
        <f>H80-#REF!</f>
        <v>#REF!</v>
      </c>
      <c r="J80" s="55"/>
      <c r="K80" s="124" t="e">
        <f>J80/#REF!</f>
        <v>#REF!</v>
      </c>
      <c r="L80" s="124">
        <f>J80/F80</f>
        <v>0</v>
      </c>
    </row>
    <row r="81" spans="1:12" x14ac:dyDescent="0.2">
      <c r="A81" s="98" t="s">
        <v>121</v>
      </c>
      <c r="B81" s="24"/>
      <c r="C81" s="84"/>
      <c r="D81" s="24"/>
      <c r="E81" s="24"/>
      <c r="F81" s="56">
        <f>SUM(F82:F82)</f>
        <v>0</v>
      </c>
      <c r="G81" s="310"/>
      <c r="H81" s="287" t="e">
        <f>SUM(H82:H84)</f>
        <v>#REF!</v>
      </c>
      <c r="I81" s="203" t="e">
        <f>SUM(I82:I84)</f>
        <v>#REF!</v>
      </c>
      <c r="J81" s="56">
        <f>SUM(J82:J82)</f>
        <v>0</v>
      </c>
      <c r="K81" s="123" t="e">
        <f>J81/#REF!</f>
        <v>#REF!</v>
      </c>
      <c r="L81" s="123" t="e">
        <f>J81/F81</f>
        <v>#DIV/0!</v>
      </c>
    </row>
    <row r="82" spans="1:12" x14ac:dyDescent="0.2">
      <c r="A82" s="107"/>
      <c r="B82" s="24">
        <v>2321</v>
      </c>
      <c r="C82" s="84">
        <v>2199</v>
      </c>
      <c r="D82" s="24"/>
      <c r="E82" s="24" t="s">
        <v>235</v>
      </c>
      <c r="F82" s="55"/>
      <c r="G82" s="309"/>
      <c r="H82" s="289" t="e">
        <f>#REF!</f>
        <v>#REF!</v>
      </c>
      <c r="I82" s="170" t="e">
        <f>H82-#REF!</f>
        <v>#REF!</v>
      </c>
      <c r="J82" s="55"/>
      <c r="K82" s="124"/>
      <c r="L82" s="124"/>
    </row>
    <row r="83" spans="1:12" x14ac:dyDescent="0.2">
      <c r="A83" s="98" t="s">
        <v>120</v>
      </c>
      <c r="B83" s="24"/>
      <c r="C83" s="84"/>
      <c r="D83" s="24"/>
      <c r="E83" s="24"/>
      <c r="F83" s="56">
        <f>SUM(F84:F84)</f>
        <v>0</v>
      </c>
      <c r="G83" s="311"/>
      <c r="H83" s="287" t="e">
        <f>SUM(H84:H84)</f>
        <v>#REF!</v>
      </c>
      <c r="I83" s="203" t="e">
        <f>SUM(I84:I84)</f>
        <v>#REF!</v>
      </c>
      <c r="J83" s="56">
        <f>SUM(J84:J84)</f>
        <v>0</v>
      </c>
      <c r="K83" s="123" t="e">
        <f>J83/#REF!</f>
        <v>#REF!</v>
      </c>
      <c r="L83" s="123" t="e">
        <f>J83/F83</f>
        <v>#DIV/0!</v>
      </c>
    </row>
    <row r="84" spans="1:12" ht="13.5" thickBot="1" x14ac:dyDescent="0.25">
      <c r="A84" s="107"/>
      <c r="B84" s="24"/>
      <c r="C84" s="84"/>
      <c r="D84" s="24"/>
      <c r="E84" s="24"/>
      <c r="F84" s="55"/>
      <c r="G84" s="309"/>
      <c r="H84" s="289" t="e">
        <f>#REF!</f>
        <v>#REF!</v>
      </c>
      <c r="I84" s="170" t="e">
        <f>H84-#REF!</f>
        <v>#REF!</v>
      </c>
      <c r="J84" s="55"/>
      <c r="K84" s="124"/>
      <c r="L84" s="124"/>
    </row>
    <row r="85" spans="1:12" ht="16.5" thickBot="1" x14ac:dyDescent="0.3">
      <c r="A85" s="313" t="s">
        <v>43</v>
      </c>
      <c r="B85" s="93"/>
      <c r="C85" s="94"/>
      <c r="D85" s="93"/>
      <c r="E85" s="93"/>
      <c r="F85" s="57">
        <f>SUM(F38+F58+F69+F73+F81+F83)</f>
        <v>27406</v>
      </c>
      <c r="G85" s="322"/>
      <c r="H85" s="294" t="e">
        <f>SUM(H38+H58+H69+H73+H81+H83)</f>
        <v>#REF!</v>
      </c>
      <c r="I85" s="222" t="e">
        <f>SUM(I38+I58+I69+I73+I81+I83)</f>
        <v>#REF!</v>
      </c>
      <c r="J85" s="57">
        <f>SUM(J38+J58+J69+J73+J81+J83)</f>
        <v>0</v>
      </c>
      <c r="K85" s="125" t="e">
        <f>J85/#REF!</f>
        <v>#REF!</v>
      </c>
      <c r="L85" s="125">
        <f>J85/F85</f>
        <v>0</v>
      </c>
    </row>
    <row r="86" spans="1:12" x14ac:dyDescent="0.2">
      <c r="A86" s="304" t="s">
        <v>140</v>
      </c>
      <c r="B86" s="61"/>
      <c r="C86" s="85"/>
      <c r="D86" s="27"/>
      <c r="E86" s="85" t="s">
        <v>44</v>
      </c>
      <c r="F86" s="60"/>
      <c r="G86" s="315"/>
      <c r="H86" s="295"/>
      <c r="I86" s="25"/>
      <c r="J86" s="60"/>
      <c r="K86" s="122"/>
      <c r="L86" s="122"/>
    </row>
    <row r="87" spans="1:12" x14ac:dyDescent="0.2">
      <c r="A87" s="98" t="s">
        <v>45</v>
      </c>
      <c r="B87" s="27"/>
      <c r="C87" s="75"/>
      <c r="D87" s="27"/>
      <c r="E87" s="27"/>
      <c r="F87" s="56"/>
      <c r="G87" s="312"/>
      <c r="H87" s="296"/>
      <c r="I87" s="173"/>
      <c r="J87" s="56"/>
      <c r="K87" s="124"/>
      <c r="L87" s="124"/>
    </row>
    <row r="88" spans="1:12" x14ac:dyDescent="0.2">
      <c r="A88" s="107"/>
      <c r="B88" s="24">
        <v>3111</v>
      </c>
      <c r="C88" s="84">
        <v>2121</v>
      </c>
      <c r="D88" s="24">
        <v>20</v>
      </c>
      <c r="E88" s="24" t="s">
        <v>172</v>
      </c>
      <c r="F88" s="55">
        <v>50</v>
      </c>
      <c r="G88" s="309" t="s">
        <v>311</v>
      </c>
      <c r="H88" s="289" t="e">
        <f>#REF!</f>
        <v>#REF!</v>
      </c>
      <c r="I88" s="170" t="e">
        <f>H88-#REF!</f>
        <v>#REF!</v>
      </c>
      <c r="J88" s="55"/>
      <c r="K88" s="124" t="e">
        <f>J88/#REF!</f>
        <v>#REF!</v>
      </c>
      <c r="L88" s="124">
        <f>J88/F88</f>
        <v>0</v>
      </c>
    </row>
    <row r="89" spans="1:12" x14ac:dyDescent="0.2">
      <c r="A89" s="107"/>
      <c r="B89" s="24">
        <v>3111</v>
      </c>
      <c r="C89" s="84">
        <v>3612</v>
      </c>
      <c r="D89" s="24">
        <v>326</v>
      </c>
      <c r="E89" s="24" t="s">
        <v>320</v>
      </c>
      <c r="F89" s="55">
        <f>2020+424</f>
        <v>2444</v>
      </c>
      <c r="G89" s="309"/>
      <c r="H89" s="289"/>
      <c r="I89" s="170"/>
      <c r="J89" s="55"/>
      <c r="K89" s="124"/>
      <c r="L89" s="124"/>
    </row>
    <row r="90" spans="1:12" x14ac:dyDescent="0.2">
      <c r="A90" s="107"/>
      <c r="B90" s="24">
        <v>3112</v>
      </c>
      <c r="C90" s="84">
        <v>3612</v>
      </c>
      <c r="D90" s="24">
        <v>45</v>
      </c>
      <c r="E90" s="24" t="s">
        <v>173</v>
      </c>
      <c r="F90" s="55">
        <v>5000</v>
      </c>
      <c r="G90" s="309" t="s">
        <v>403</v>
      </c>
      <c r="H90" s="289">
        <v>0</v>
      </c>
      <c r="I90" s="170" t="e">
        <f>H90-#REF!</f>
        <v>#REF!</v>
      </c>
      <c r="J90" s="55"/>
      <c r="K90" s="124" t="e">
        <f>J90/#REF!</f>
        <v>#REF!</v>
      </c>
      <c r="L90" s="124">
        <f>J90/F90</f>
        <v>0</v>
      </c>
    </row>
    <row r="91" spans="1:12" x14ac:dyDescent="0.2">
      <c r="A91" s="107"/>
      <c r="B91" s="24">
        <v>3112</v>
      </c>
      <c r="C91" s="84">
        <v>5311</v>
      </c>
      <c r="D91" s="24">
        <v>321</v>
      </c>
      <c r="E91" s="24" t="s">
        <v>297</v>
      </c>
      <c r="F91" s="55">
        <v>300</v>
      </c>
      <c r="G91" s="309" t="s">
        <v>334</v>
      </c>
      <c r="H91" s="289" t="e">
        <f>#REF!</f>
        <v>#REF!</v>
      </c>
      <c r="I91" s="170" t="e">
        <f>H91-#REF!</f>
        <v>#REF!</v>
      </c>
      <c r="J91" s="55"/>
      <c r="K91" s="124"/>
      <c r="L91" s="124"/>
    </row>
    <row r="92" spans="1:12" ht="13.5" thickBot="1" x14ac:dyDescent="0.25">
      <c r="A92" s="107"/>
      <c r="B92" s="24">
        <v>3112</v>
      </c>
      <c r="C92" s="84">
        <v>3612</v>
      </c>
      <c r="D92" s="24">
        <v>245</v>
      </c>
      <c r="E92" s="24" t="s">
        <v>174</v>
      </c>
      <c r="F92" s="55">
        <v>356</v>
      </c>
      <c r="G92" s="309"/>
      <c r="H92" s="288"/>
      <c r="I92" s="170" t="e">
        <f>H92-#REF!</f>
        <v>#REF!</v>
      </c>
      <c r="J92" s="55"/>
      <c r="K92" s="124" t="e">
        <f>J92/#REF!</f>
        <v>#REF!</v>
      </c>
      <c r="L92" s="124">
        <f>J92/F92</f>
        <v>0</v>
      </c>
    </row>
    <row r="93" spans="1:12" ht="15.75" customHeight="1" thickBot="1" x14ac:dyDescent="0.3">
      <c r="A93" s="313" t="s">
        <v>46</v>
      </c>
      <c r="B93" s="93"/>
      <c r="C93" s="94"/>
      <c r="D93" s="93"/>
      <c r="E93" s="93"/>
      <c r="F93" s="57">
        <f>SUM(F88:F92)</f>
        <v>8150</v>
      </c>
      <c r="G93" s="322"/>
      <c r="H93" s="294" t="e">
        <f>SUM(H88:H92)</f>
        <v>#REF!</v>
      </c>
      <c r="I93" s="222" t="e">
        <f>SUM(I88:I92)</f>
        <v>#REF!</v>
      </c>
      <c r="J93" s="57">
        <f>SUM(J88:J92)</f>
        <v>0</v>
      </c>
      <c r="K93" s="125" t="e">
        <f>J93/#REF!</f>
        <v>#REF!</v>
      </c>
      <c r="L93" s="125">
        <f>J93/F93</f>
        <v>0</v>
      </c>
    </row>
    <row r="94" spans="1:12" x14ac:dyDescent="0.2">
      <c r="A94" s="304" t="s">
        <v>47</v>
      </c>
      <c r="B94" s="62"/>
      <c r="C94" s="95"/>
      <c r="D94" s="24"/>
      <c r="E94" s="85" t="s">
        <v>48</v>
      </c>
      <c r="F94" s="58"/>
      <c r="G94" s="323"/>
      <c r="H94" s="297"/>
      <c r="I94" s="30"/>
      <c r="J94" s="58"/>
      <c r="K94" s="126"/>
      <c r="L94" s="126"/>
    </row>
    <row r="95" spans="1:12" x14ac:dyDescent="0.2">
      <c r="A95" s="98" t="s">
        <v>49</v>
      </c>
      <c r="B95" s="27"/>
      <c r="C95" s="75" t="s">
        <v>276</v>
      </c>
      <c r="D95" s="27" t="s">
        <v>130</v>
      </c>
      <c r="E95" s="27"/>
      <c r="F95" s="26">
        <f>SUM(F96:F109)</f>
        <v>27910</v>
      </c>
      <c r="G95" s="324"/>
      <c r="H95" s="298">
        <f>SUM(H96:H109)</f>
        <v>0</v>
      </c>
      <c r="I95" s="221" t="e">
        <f>SUM(I96:I109)</f>
        <v>#REF!</v>
      </c>
      <c r="J95" s="56">
        <f>SUM(J96:J109)</f>
        <v>0</v>
      </c>
      <c r="K95" s="211" t="e">
        <f>J95/#REF!</f>
        <v>#REF!</v>
      </c>
      <c r="L95" s="123">
        <f>J95/F95</f>
        <v>0</v>
      </c>
    </row>
    <row r="96" spans="1:12" x14ac:dyDescent="0.2">
      <c r="A96" s="107"/>
      <c r="B96" s="24">
        <v>4112</v>
      </c>
      <c r="C96" s="24"/>
      <c r="D96" s="24"/>
      <c r="E96" s="24" t="s">
        <v>175</v>
      </c>
      <c r="F96" s="55">
        <v>18081.3</v>
      </c>
      <c r="G96" s="318"/>
      <c r="H96" s="289"/>
      <c r="I96" s="170" t="e">
        <f>H96-#REF!</f>
        <v>#REF!</v>
      </c>
      <c r="J96" s="55"/>
      <c r="K96" s="124"/>
      <c r="L96" s="265">
        <f>J96/F96</f>
        <v>0</v>
      </c>
    </row>
    <row r="97" spans="1:12" x14ac:dyDescent="0.2">
      <c r="A97" s="107"/>
      <c r="B97" s="24">
        <v>4111</v>
      </c>
      <c r="C97" s="24">
        <v>110</v>
      </c>
      <c r="D97" s="24"/>
      <c r="E97" s="141" t="s">
        <v>316</v>
      </c>
      <c r="F97" s="55">
        <v>200</v>
      </c>
      <c r="G97" s="318"/>
      <c r="H97" s="289"/>
      <c r="I97" s="170" t="e">
        <f>H97-#REF!</f>
        <v>#REF!</v>
      </c>
      <c r="J97" s="55"/>
      <c r="K97" s="124"/>
      <c r="L97" s="265">
        <f>J97/F97</f>
        <v>0</v>
      </c>
    </row>
    <row r="98" spans="1:12" x14ac:dyDescent="0.2">
      <c r="A98" s="107"/>
      <c r="B98" s="24">
        <v>4113</v>
      </c>
      <c r="C98" s="24"/>
      <c r="D98" s="168"/>
      <c r="E98" s="141" t="s">
        <v>337</v>
      </c>
      <c r="F98" s="55">
        <v>250</v>
      </c>
      <c r="G98" s="318"/>
      <c r="H98" s="289"/>
      <c r="I98" s="170"/>
      <c r="J98" s="55"/>
      <c r="K98" s="124"/>
      <c r="L98" s="265"/>
    </row>
    <row r="99" spans="1:12" x14ac:dyDescent="0.2">
      <c r="A99" s="107"/>
      <c r="B99" s="24">
        <v>4116</v>
      </c>
      <c r="C99" s="24">
        <v>314</v>
      </c>
      <c r="D99" s="168"/>
      <c r="E99" s="246" t="s">
        <v>309</v>
      </c>
      <c r="F99" s="55">
        <v>2530</v>
      </c>
      <c r="G99" s="325"/>
      <c r="H99" s="289"/>
      <c r="I99" s="170" t="e">
        <f>H99-#REF!</f>
        <v>#REF!</v>
      </c>
      <c r="J99" s="55"/>
      <c r="K99" s="124"/>
      <c r="L99" s="265">
        <f>J99/F99</f>
        <v>0</v>
      </c>
    </row>
    <row r="100" spans="1:12" x14ac:dyDescent="0.2">
      <c r="A100" s="107"/>
      <c r="B100" s="24">
        <v>4116</v>
      </c>
      <c r="C100" s="24"/>
      <c r="D100" s="168"/>
      <c r="E100" s="141" t="s">
        <v>206</v>
      </c>
      <c r="F100" s="55">
        <f>192+180+540</f>
        <v>912</v>
      </c>
      <c r="G100" s="326"/>
      <c r="H100" s="289"/>
      <c r="I100" s="170" t="e">
        <f>H100-#REF!</f>
        <v>#REF!</v>
      </c>
      <c r="J100" s="55"/>
      <c r="K100" s="124"/>
      <c r="L100" s="265">
        <f>J100/F100</f>
        <v>0</v>
      </c>
    </row>
    <row r="101" spans="1:12" x14ac:dyDescent="0.2">
      <c r="A101" s="107"/>
      <c r="B101" s="24">
        <v>4116</v>
      </c>
      <c r="C101" s="24">
        <v>314</v>
      </c>
      <c r="D101" s="168"/>
      <c r="E101" s="246" t="s">
        <v>264</v>
      </c>
      <c r="F101" s="55">
        <v>430</v>
      </c>
      <c r="G101" s="318"/>
      <c r="H101" s="289"/>
      <c r="I101" s="170" t="e">
        <f>H101-#REF!</f>
        <v>#REF!</v>
      </c>
      <c r="J101" s="55"/>
      <c r="K101" s="124"/>
      <c r="L101" s="265">
        <f>J101/F101</f>
        <v>0</v>
      </c>
    </row>
    <row r="102" spans="1:12" x14ac:dyDescent="0.2">
      <c r="A102" s="107"/>
      <c r="B102" s="24">
        <v>4116</v>
      </c>
      <c r="C102" s="24">
        <v>3005</v>
      </c>
      <c r="D102" s="24"/>
      <c r="E102" s="273" t="s">
        <v>295</v>
      </c>
      <c r="F102" s="55">
        <v>860</v>
      </c>
      <c r="G102" s="318"/>
      <c r="H102" s="289"/>
      <c r="I102" s="170" t="e">
        <f>H102-#REF!</f>
        <v>#REF!</v>
      </c>
      <c r="J102" s="55"/>
      <c r="K102" s="124"/>
      <c r="L102" s="265">
        <f>J102/F102</f>
        <v>0</v>
      </c>
    </row>
    <row r="103" spans="1:12" x14ac:dyDescent="0.2">
      <c r="A103" s="107"/>
      <c r="B103" s="24">
        <v>4116</v>
      </c>
      <c r="C103" s="24">
        <v>250</v>
      </c>
      <c r="D103" s="24"/>
      <c r="E103" s="141" t="s">
        <v>351</v>
      </c>
      <c r="F103" s="55">
        <v>1342</v>
      </c>
      <c r="G103" s="318"/>
      <c r="H103" s="289"/>
      <c r="I103" s="170"/>
      <c r="J103" s="55"/>
      <c r="K103" s="124"/>
      <c r="L103" s="265"/>
    </row>
    <row r="104" spans="1:12" x14ac:dyDescent="0.2">
      <c r="A104" s="107"/>
      <c r="B104" s="24">
        <v>4116</v>
      </c>
      <c r="C104" s="24">
        <v>6206</v>
      </c>
      <c r="D104" s="24"/>
      <c r="E104" s="273" t="s">
        <v>296</v>
      </c>
      <c r="F104" s="55">
        <v>879</v>
      </c>
      <c r="G104" s="318"/>
      <c r="H104" s="289"/>
      <c r="I104" s="170" t="e">
        <f>H104-#REF!</f>
        <v>#REF!</v>
      </c>
      <c r="J104" s="55"/>
      <c r="K104" s="124"/>
      <c r="L104" s="265">
        <f>J104/F104</f>
        <v>0</v>
      </c>
    </row>
    <row r="105" spans="1:12" x14ac:dyDescent="0.2">
      <c r="A105" s="107"/>
      <c r="B105" s="24">
        <v>4121</v>
      </c>
      <c r="C105" s="24"/>
      <c r="D105" s="24"/>
      <c r="E105" s="141" t="s">
        <v>224</v>
      </c>
      <c r="F105" s="55">
        <f>130+50+0.7</f>
        <v>180.7</v>
      </c>
      <c r="G105" s="318"/>
      <c r="H105" s="290"/>
      <c r="I105" s="170" t="e">
        <f>H105-#REF!</f>
        <v>#REF!</v>
      </c>
      <c r="J105" s="55"/>
      <c r="K105" s="124"/>
      <c r="L105" s="124">
        <f>J105/F105</f>
        <v>0</v>
      </c>
    </row>
    <row r="106" spans="1:12" x14ac:dyDescent="0.2">
      <c r="A106" s="107"/>
      <c r="B106" s="24">
        <v>4121</v>
      </c>
      <c r="C106" s="24"/>
      <c r="D106" s="24"/>
      <c r="E106" s="141" t="s">
        <v>178</v>
      </c>
      <c r="F106" s="55">
        <f>65+60</f>
        <v>125</v>
      </c>
      <c r="G106" s="318" t="s">
        <v>0</v>
      </c>
      <c r="H106" s="290"/>
      <c r="I106" s="170" t="e">
        <f>H106-#REF!</f>
        <v>#REF!</v>
      </c>
      <c r="J106" s="55"/>
      <c r="K106" s="124"/>
      <c r="L106" s="124">
        <f>J106/F106</f>
        <v>0</v>
      </c>
    </row>
    <row r="107" spans="1:12" x14ac:dyDescent="0.2">
      <c r="A107" s="107"/>
      <c r="B107" s="24">
        <v>4122</v>
      </c>
      <c r="C107" s="24"/>
      <c r="D107" s="24"/>
      <c r="E107" s="141" t="s">
        <v>327</v>
      </c>
      <c r="F107" s="55">
        <v>500</v>
      </c>
      <c r="G107" s="318" t="s">
        <v>328</v>
      </c>
      <c r="H107" s="290"/>
      <c r="I107" s="170"/>
      <c r="J107" s="55"/>
      <c r="K107" s="124"/>
      <c r="L107" s="124"/>
    </row>
    <row r="108" spans="1:12" x14ac:dyDescent="0.2">
      <c r="A108" s="107"/>
      <c r="B108" s="24">
        <v>4122</v>
      </c>
      <c r="C108" s="24"/>
      <c r="D108" s="24"/>
      <c r="E108" s="141" t="s">
        <v>341</v>
      </c>
      <c r="F108" s="55">
        <v>120</v>
      </c>
      <c r="G108" s="318"/>
      <c r="H108" s="290"/>
      <c r="I108" s="170"/>
      <c r="J108" s="55"/>
      <c r="K108" s="124"/>
      <c r="L108" s="124"/>
    </row>
    <row r="109" spans="1:12" x14ac:dyDescent="0.2">
      <c r="A109" s="107"/>
      <c r="B109" s="24">
        <v>4122</v>
      </c>
      <c r="C109" s="24">
        <v>227</v>
      </c>
      <c r="D109" s="24"/>
      <c r="E109" s="259" t="s">
        <v>277</v>
      </c>
      <c r="F109" s="55">
        <v>1500</v>
      </c>
      <c r="G109" s="318"/>
      <c r="H109" s="289"/>
      <c r="I109" s="170" t="e">
        <f>H109-#REF!</f>
        <v>#REF!</v>
      </c>
      <c r="J109" s="55"/>
      <c r="K109" s="124"/>
      <c r="L109" s="124">
        <f>J109/F109</f>
        <v>0</v>
      </c>
    </row>
    <row r="110" spans="1:12" x14ac:dyDescent="0.2">
      <c r="A110" s="98" t="s">
        <v>50</v>
      </c>
      <c r="B110" s="27"/>
      <c r="C110" s="75"/>
      <c r="D110" s="27"/>
      <c r="E110" s="27"/>
      <c r="F110" s="56">
        <f>SUM(F111:F113)</f>
        <v>2600</v>
      </c>
      <c r="G110" s="309"/>
      <c r="H110" s="298">
        <f>SUM(H111:H113)</f>
        <v>0</v>
      </c>
      <c r="I110" s="221" t="e">
        <f>SUM(I111:I113)</f>
        <v>#REF!</v>
      </c>
      <c r="J110" s="56">
        <f>SUM(J111:J113)</f>
        <v>0</v>
      </c>
      <c r="K110" s="211" t="e">
        <f>J110/#REF!</f>
        <v>#REF!</v>
      </c>
      <c r="L110" s="123">
        <f>J110/F110</f>
        <v>0</v>
      </c>
    </row>
    <row r="111" spans="1:12" x14ac:dyDescent="0.2">
      <c r="A111" s="98"/>
      <c r="B111" s="28">
        <v>4222</v>
      </c>
      <c r="C111" s="28">
        <v>216</v>
      </c>
      <c r="D111" s="27"/>
      <c r="E111" s="230" t="s">
        <v>262</v>
      </c>
      <c r="F111" s="240"/>
      <c r="G111" s="318"/>
      <c r="H111" s="289"/>
      <c r="I111" s="170" t="e">
        <f>H111-#REF!</f>
        <v>#REF!</v>
      </c>
      <c r="J111" s="240"/>
      <c r="K111" s="211"/>
      <c r="L111" s="123"/>
    </row>
    <row r="112" spans="1:12" x14ac:dyDescent="0.2">
      <c r="A112" s="98"/>
      <c r="B112" s="28">
        <v>4216</v>
      </c>
      <c r="C112" s="262"/>
      <c r="D112" s="27"/>
      <c r="E112" s="230" t="s">
        <v>291</v>
      </c>
      <c r="F112" s="240">
        <v>2500</v>
      </c>
      <c r="G112" s="318"/>
      <c r="H112" s="289"/>
      <c r="I112" s="170" t="e">
        <f>H112-#REF!</f>
        <v>#REF!</v>
      </c>
      <c r="J112" s="240"/>
      <c r="K112" s="211"/>
      <c r="L112" s="123"/>
    </row>
    <row r="113" spans="1:12" ht="13.5" thickBot="1" x14ac:dyDescent="0.25">
      <c r="A113" s="98"/>
      <c r="B113" s="28">
        <v>4222</v>
      </c>
      <c r="C113" s="28">
        <v>223</v>
      </c>
      <c r="D113" s="27"/>
      <c r="E113" s="230" t="s">
        <v>307</v>
      </c>
      <c r="F113" s="240">
        <v>100</v>
      </c>
      <c r="G113" s="318" t="s">
        <v>292</v>
      </c>
      <c r="H113" s="289"/>
      <c r="I113" s="170" t="e">
        <f>H113-#REF!</f>
        <v>#REF!</v>
      </c>
      <c r="J113" s="240"/>
      <c r="K113" s="211"/>
      <c r="L113" s="123"/>
    </row>
    <row r="114" spans="1:12" ht="14.25" customHeight="1" thickBot="1" x14ac:dyDescent="0.3">
      <c r="A114" s="313" t="s">
        <v>51</v>
      </c>
      <c r="B114" s="93"/>
      <c r="C114" s="94"/>
      <c r="D114" s="93"/>
      <c r="E114" s="93"/>
      <c r="F114" s="96">
        <f>SUM(F95+F110)</f>
        <v>30510</v>
      </c>
      <c r="G114" s="327"/>
      <c r="H114" s="294">
        <f>SUM(H95+H110)</f>
        <v>0</v>
      </c>
      <c r="I114" s="222" t="e">
        <f>SUM(I95+I110)</f>
        <v>#REF!</v>
      </c>
      <c r="J114" s="96">
        <f>SUM(J95+J110)</f>
        <v>0</v>
      </c>
      <c r="K114" s="125" t="e">
        <f>J114/#REF!</f>
        <v>#REF!</v>
      </c>
      <c r="L114" s="125">
        <f>J114/F114</f>
        <v>0</v>
      </c>
    </row>
    <row r="115" spans="1:12" ht="16.5" thickBot="1" x14ac:dyDescent="0.3">
      <c r="A115" s="328" t="s">
        <v>9</v>
      </c>
      <c r="B115" s="329"/>
      <c r="C115" s="330"/>
      <c r="D115" s="330"/>
      <c r="E115" s="331"/>
      <c r="F115" s="332">
        <f>SUM(F35+F85+F93+F114)</f>
        <v>157187</v>
      </c>
      <c r="G115" s="333"/>
      <c r="H115" s="299" t="e">
        <f>SUM(H35+H85+H93+H114)</f>
        <v>#REF!</v>
      </c>
      <c r="I115" s="223" t="e">
        <f>SUM(I35+I85+I93+I114)</f>
        <v>#REF!</v>
      </c>
      <c r="J115" s="102">
        <f>SUM(J35+J85+J93+J114)</f>
        <v>0</v>
      </c>
      <c r="K115" s="143" t="e">
        <f>J115/#REF!</f>
        <v>#REF!</v>
      </c>
      <c r="L115" s="143">
        <f>J115/F115</f>
        <v>0</v>
      </c>
    </row>
    <row r="116" spans="1:12" ht="24" customHeight="1" thickBot="1" x14ac:dyDescent="0.25">
      <c r="A116" s="81"/>
      <c r="B116" s="18"/>
      <c r="C116" s="81"/>
      <c r="D116" s="18"/>
      <c r="E116" s="18"/>
      <c r="F116" s="117"/>
      <c r="G116" s="160"/>
      <c r="H116" s="204"/>
      <c r="I116" s="204"/>
      <c r="J116" s="117"/>
      <c r="K116" s="120"/>
      <c r="L116" s="120"/>
    </row>
    <row r="117" spans="1:12" ht="13.5" thickBot="1" x14ac:dyDescent="0.25">
      <c r="A117" s="31"/>
      <c r="B117" s="32"/>
      <c r="C117" s="31"/>
      <c r="D117" s="32"/>
      <c r="E117" s="33"/>
      <c r="F117" s="264" t="s">
        <v>304</v>
      </c>
      <c r="G117" s="161"/>
      <c r="H117" s="172" t="s">
        <v>383</v>
      </c>
      <c r="I117" s="172" t="s">
        <v>384</v>
      </c>
      <c r="J117" s="261" t="str">
        <f>J3</f>
        <v>R 2019</v>
      </c>
      <c r="K117" s="127" t="s">
        <v>385</v>
      </c>
      <c r="L117" s="20" t="str">
        <f>L2</f>
        <v>R 19/18</v>
      </c>
    </row>
    <row r="118" spans="1:12" x14ac:dyDescent="0.2">
      <c r="A118" s="31" t="s">
        <v>52</v>
      </c>
      <c r="B118" s="18"/>
      <c r="C118" s="81"/>
      <c r="D118" s="18"/>
      <c r="E118" s="97" t="s">
        <v>53</v>
      </c>
      <c r="F118" s="114">
        <f>F35</f>
        <v>91121</v>
      </c>
      <c r="G118" s="162"/>
      <c r="H118" s="224" t="e">
        <f>H35</f>
        <v>#REF!</v>
      </c>
      <c r="I118" s="224" t="e">
        <f>I35</f>
        <v>#REF!</v>
      </c>
      <c r="J118" s="114">
        <f>J35</f>
        <v>0</v>
      </c>
      <c r="K118" s="128" t="e">
        <f>J118/#REF!</f>
        <v>#REF!</v>
      </c>
      <c r="L118" s="128">
        <f>J118/F118</f>
        <v>0</v>
      </c>
    </row>
    <row r="119" spans="1:12" x14ac:dyDescent="0.2">
      <c r="A119" s="81"/>
      <c r="B119" s="18"/>
      <c r="C119" s="81"/>
      <c r="D119" s="18"/>
      <c r="E119" s="48" t="s">
        <v>54</v>
      </c>
      <c r="F119" s="227">
        <f>F85</f>
        <v>27406</v>
      </c>
      <c r="G119" s="163"/>
      <c r="H119" s="224" t="e">
        <f>H85</f>
        <v>#REF!</v>
      </c>
      <c r="I119" s="224" t="e">
        <f>I85</f>
        <v>#REF!</v>
      </c>
      <c r="J119" s="227">
        <f>J85</f>
        <v>0</v>
      </c>
      <c r="K119" s="128" t="e">
        <f>J119/#REF!</f>
        <v>#REF!</v>
      </c>
      <c r="L119" s="128">
        <f>J119/F119</f>
        <v>0</v>
      </c>
    </row>
    <row r="120" spans="1:12" x14ac:dyDescent="0.2">
      <c r="A120" s="81"/>
      <c r="B120" s="18"/>
      <c r="C120" s="81"/>
      <c r="D120" s="18"/>
      <c r="E120" s="48" t="s">
        <v>55</v>
      </c>
      <c r="F120" s="115">
        <f>F95</f>
        <v>27910</v>
      </c>
      <c r="G120" s="212"/>
      <c r="H120" s="224">
        <f>H95</f>
        <v>0</v>
      </c>
      <c r="I120" s="224" t="e">
        <f>I95</f>
        <v>#REF!</v>
      </c>
      <c r="J120" s="115">
        <f>J95</f>
        <v>0</v>
      </c>
      <c r="K120" s="128" t="e">
        <f>J120/#REF!</f>
        <v>#REF!</v>
      </c>
      <c r="L120" s="128">
        <f>J120/F120</f>
        <v>0</v>
      </c>
    </row>
    <row r="121" spans="1:12" x14ac:dyDescent="0.2">
      <c r="A121" s="81"/>
      <c r="B121" s="18"/>
      <c r="C121" s="81"/>
      <c r="D121" s="18"/>
      <c r="E121" s="98" t="s">
        <v>56</v>
      </c>
      <c r="F121" s="139">
        <f>SUM(F118:F120)</f>
        <v>146437</v>
      </c>
      <c r="G121" s="164"/>
      <c r="H121" s="225" t="e">
        <f>SUM(H118:H120)</f>
        <v>#REF!</v>
      </c>
      <c r="I121" s="225" t="e">
        <f>SUM(I118:I120)</f>
        <v>#REF!</v>
      </c>
      <c r="J121" s="139">
        <f>SUM(J118:J120)</f>
        <v>0</v>
      </c>
      <c r="K121" s="129" t="e">
        <f>J121/#REF!</f>
        <v>#REF!</v>
      </c>
      <c r="L121" s="129">
        <f>J121/F121</f>
        <v>0</v>
      </c>
    </row>
    <row r="122" spans="1:12" x14ac:dyDescent="0.2">
      <c r="A122" s="81"/>
      <c r="B122" s="18"/>
      <c r="C122" s="81"/>
      <c r="D122" s="18"/>
      <c r="E122" s="48" t="s">
        <v>57</v>
      </c>
      <c r="F122" s="116">
        <f>F93</f>
        <v>8150</v>
      </c>
      <c r="G122" s="162" t="s">
        <v>1</v>
      </c>
      <c r="H122" s="224" t="e">
        <f>H93</f>
        <v>#REF!</v>
      </c>
      <c r="I122" s="224" t="e">
        <f>I93</f>
        <v>#REF!</v>
      </c>
      <c r="J122" s="116">
        <f>J93</f>
        <v>0</v>
      </c>
      <c r="K122" s="128" t="e">
        <f>J122/#REF!</f>
        <v>#REF!</v>
      </c>
      <c r="L122" s="128">
        <f>J122/F122</f>
        <v>0</v>
      </c>
    </row>
    <row r="123" spans="1:12" x14ac:dyDescent="0.2">
      <c r="A123" s="81"/>
      <c r="B123" s="18"/>
      <c r="C123" s="81"/>
      <c r="D123" s="18"/>
      <c r="E123" s="48" t="s">
        <v>58</v>
      </c>
      <c r="F123" s="116">
        <f>F110</f>
        <v>2600</v>
      </c>
      <c r="G123" s="162"/>
      <c r="H123" s="224">
        <f>H110</f>
        <v>0</v>
      </c>
      <c r="I123" s="224" t="e">
        <f>I110</f>
        <v>#REF!</v>
      </c>
      <c r="J123" s="116">
        <f>J110</f>
        <v>0</v>
      </c>
      <c r="K123" s="128"/>
      <c r="L123" s="128">
        <f>J123/F123</f>
        <v>0</v>
      </c>
    </row>
    <row r="124" spans="1:12" ht="13.5" thickBot="1" x14ac:dyDescent="0.25">
      <c r="A124" s="99"/>
      <c r="B124" s="18"/>
      <c r="C124" s="81"/>
      <c r="D124" s="18"/>
      <c r="E124" s="100" t="s">
        <v>59</v>
      </c>
      <c r="F124" s="228">
        <f>SUM(F121:F123)</f>
        <v>157187</v>
      </c>
      <c r="G124" s="165"/>
      <c r="H124" s="226" t="e">
        <f>SUM(H121:H123)</f>
        <v>#REF!</v>
      </c>
      <c r="I124" s="226" t="e">
        <f>SUM(I121:I123)</f>
        <v>#REF!</v>
      </c>
      <c r="J124" s="228">
        <f>SUM(J121:J123)</f>
        <v>0</v>
      </c>
      <c r="K124" s="130" t="e">
        <f>J124/#REF!</f>
        <v>#REF!</v>
      </c>
      <c r="L124" s="130">
        <f>J124/F124</f>
        <v>0</v>
      </c>
    </row>
    <row r="125" spans="1:12" x14ac:dyDescent="0.2">
      <c r="G125" s="166"/>
    </row>
    <row r="126" spans="1:12" x14ac:dyDescent="0.2">
      <c r="A126" s="12"/>
      <c r="B126" s="104"/>
      <c r="C126" s="104"/>
      <c r="D126" s="277"/>
      <c r="E126" s="229"/>
      <c r="G126" s="101"/>
      <c r="H126" s="146"/>
      <c r="I126" s="146"/>
      <c r="K126" s="145"/>
      <c r="L126" s="104"/>
    </row>
    <row r="127" spans="1:12" x14ac:dyDescent="0.2">
      <c r="A127" s="104"/>
      <c r="B127" s="104"/>
      <c r="C127" s="104"/>
      <c r="D127" s="201"/>
      <c r="E127" s="229"/>
      <c r="G127" s="101"/>
    </row>
    <row r="128" spans="1:12" x14ac:dyDescent="0.2">
      <c r="A128" s="104"/>
      <c r="B128" s="104"/>
      <c r="C128" s="104"/>
      <c r="D128" s="201"/>
      <c r="E128" s="229"/>
      <c r="G128" s="166"/>
    </row>
    <row r="129" spans="1:12" x14ac:dyDescent="0.2">
      <c r="A129" s="104"/>
      <c r="B129" s="104"/>
      <c r="C129" s="104"/>
      <c r="D129" s="201"/>
      <c r="E129" s="229"/>
      <c r="G129" s="101"/>
      <c r="H129" s="146"/>
      <c r="I129" s="146"/>
      <c r="K129" s="145"/>
      <c r="L129" s="157"/>
    </row>
    <row r="130" spans="1:12" x14ac:dyDescent="0.2">
      <c r="A130" s="104"/>
      <c r="B130" s="104"/>
      <c r="C130" s="104"/>
      <c r="D130" s="201"/>
      <c r="E130" s="231"/>
      <c r="G130" s="101"/>
    </row>
    <row r="131" spans="1:12" x14ac:dyDescent="0.2">
      <c r="A131" s="12"/>
      <c r="B131" s="104"/>
      <c r="C131" s="104"/>
      <c r="D131" s="201"/>
      <c r="E131" s="267"/>
      <c r="G131" s="101"/>
      <c r="H131" s="146"/>
      <c r="I131" s="146"/>
      <c r="K131" s="166"/>
      <c r="L131" s="166"/>
    </row>
    <row r="132" spans="1:12" x14ac:dyDescent="0.2">
      <c r="E132" s="101"/>
      <c r="G132" s="101"/>
    </row>
    <row r="133" spans="1:12" x14ac:dyDescent="0.2">
      <c r="E133" s="101"/>
      <c r="G133" s="101"/>
    </row>
    <row r="134" spans="1:12" x14ac:dyDescent="0.2">
      <c r="E134" s="101"/>
      <c r="F134" s="205"/>
      <c r="G134" s="101"/>
      <c r="J134" s="205"/>
    </row>
    <row r="135" spans="1:12" x14ac:dyDescent="0.2">
      <c r="G135" s="209"/>
    </row>
    <row r="136" spans="1:12" x14ac:dyDescent="0.2">
      <c r="G136" s="166"/>
    </row>
    <row r="139" spans="1:12" x14ac:dyDescent="0.2">
      <c r="G139" s="166"/>
    </row>
  </sheetData>
  <phoneticPr fontId="6" type="noConversion"/>
  <pageMargins left="0.62992125984251968" right="0.15748031496062992" top="0.27559055118110237" bottom="0.19685039370078741" header="0.19685039370078741" footer="0.15748031496062992"/>
  <pageSetup paperSize="9" scale="98" fitToWidth="0" fitToHeight="0" orientation="portrait" horizontalDpi="300" verticalDpi="300" r:id="rId1"/>
  <headerFooter alignWithMargins="0">
    <oddHeader>&amp;R&amp;P+1.strana</oddHeader>
    <oddFooter xml:space="preserve">&amp;R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FN14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28" sqref="D28"/>
    </sheetView>
  </sheetViews>
  <sheetFormatPr defaultColWidth="7.85546875" defaultRowHeight="12.75" x14ac:dyDescent="0.2"/>
  <cols>
    <col min="1" max="1" width="3.28515625" style="74" customWidth="1"/>
    <col min="2" max="2" width="4.85546875" style="76" customWidth="1"/>
    <col min="3" max="3" width="5.28515625" style="76" bestFit="1" customWidth="1"/>
    <col min="4" max="4" width="27.42578125" style="154" customWidth="1"/>
    <col min="5" max="6" width="6.7109375" style="74" customWidth="1"/>
    <col min="7" max="7" width="6.7109375" style="92" customWidth="1"/>
    <col min="8" max="8" width="30.140625" style="92" customWidth="1"/>
    <col min="9" max="10" width="7.28515625" style="74" customWidth="1"/>
    <col min="11" max="11" width="10.5703125" style="92" customWidth="1"/>
    <col min="12" max="16384" width="7.85546875" style="74"/>
  </cols>
  <sheetData>
    <row r="1" spans="1:11" ht="18.75" thickBot="1" x14ac:dyDescent="0.3">
      <c r="A1" s="80" t="s">
        <v>404</v>
      </c>
      <c r="B1" s="175"/>
      <c r="C1" s="175"/>
      <c r="D1" s="174"/>
      <c r="E1" s="174"/>
      <c r="F1" s="174"/>
      <c r="G1" s="175"/>
      <c r="H1" s="275"/>
      <c r="I1" s="18"/>
      <c r="J1" s="92"/>
    </row>
    <row r="2" spans="1:11" x14ac:dyDescent="0.2">
      <c r="A2" s="105"/>
      <c r="B2" s="77"/>
      <c r="C2" s="77"/>
      <c r="D2" s="278"/>
      <c r="E2" s="134"/>
      <c r="F2" s="134" t="s">
        <v>306</v>
      </c>
      <c r="G2" s="134"/>
      <c r="H2" s="134"/>
      <c r="I2" s="254"/>
      <c r="J2" s="176"/>
      <c r="K2" s="176"/>
    </row>
    <row r="3" spans="1:11" x14ac:dyDescent="0.2">
      <c r="A3" s="72"/>
      <c r="B3" s="27"/>
      <c r="C3" s="27"/>
      <c r="D3" s="247"/>
      <c r="E3" s="35">
        <v>2018</v>
      </c>
      <c r="F3" s="36">
        <v>2018</v>
      </c>
      <c r="G3" s="71">
        <v>2018</v>
      </c>
      <c r="H3" s="71"/>
      <c r="I3" s="232" t="s">
        <v>142</v>
      </c>
      <c r="J3" s="255" t="s">
        <v>152</v>
      </c>
      <c r="K3" s="255"/>
    </row>
    <row r="4" spans="1:11" ht="13.5" thickBot="1" x14ac:dyDescent="0.25">
      <c r="A4" s="37" t="s">
        <v>60</v>
      </c>
      <c r="B4" s="22" t="s">
        <v>19</v>
      </c>
      <c r="C4" s="22" t="s">
        <v>20</v>
      </c>
      <c r="D4" s="248" t="s">
        <v>61</v>
      </c>
      <c r="E4" s="37" t="s">
        <v>62</v>
      </c>
      <c r="F4" s="22" t="s">
        <v>63</v>
      </c>
      <c r="G4" s="38" t="s">
        <v>64</v>
      </c>
      <c r="H4" s="38" t="s">
        <v>227</v>
      </c>
      <c r="I4" s="233" t="s">
        <v>141</v>
      </c>
      <c r="J4" s="256" t="s">
        <v>145</v>
      </c>
      <c r="K4" s="256" t="s">
        <v>275</v>
      </c>
    </row>
    <row r="5" spans="1:11" x14ac:dyDescent="0.2">
      <c r="A5" s="106">
        <v>10</v>
      </c>
      <c r="B5" s="54"/>
      <c r="C5" s="54"/>
      <c r="D5" s="243" t="s">
        <v>65</v>
      </c>
      <c r="E5" s="39">
        <f>SUM(E6:E8)</f>
        <v>1313</v>
      </c>
      <c r="F5" s="40">
        <f>SUM(F6:F8)</f>
        <v>540</v>
      </c>
      <c r="G5" s="136">
        <f>SUM(G6:G8)</f>
        <v>1853</v>
      </c>
      <c r="H5" s="136"/>
      <c r="I5" s="41"/>
      <c r="J5" s="59"/>
    </row>
    <row r="6" spans="1:11" x14ac:dyDescent="0.2">
      <c r="A6" s="107"/>
      <c r="B6" s="24">
        <v>1031</v>
      </c>
      <c r="C6" s="24">
        <v>201</v>
      </c>
      <c r="D6" s="141" t="s">
        <v>183</v>
      </c>
      <c r="E6" s="34">
        <f>569+494</f>
        <v>1063</v>
      </c>
      <c r="F6" s="24">
        <v>400</v>
      </c>
      <c r="G6" s="43">
        <f>E6+F6</f>
        <v>1463</v>
      </c>
      <c r="H6" s="43" t="s">
        <v>318</v>
      </c>
      <c r="I6" s="190" t="s">
        <v>66</v>
      </c>
      <c r="J6" s="178" t="s">
        <v>108</v>
      </c>
    </row>
    <row r="7" spans="1:11" x14ac:dyDescent="0.2">
      <c r="A7" s="107"/>
      <c r="B7" s="24">
        <v>1031</v>
      </c>
      <c r="C7" s="24"/>
      <c r="D7" s="141" t="s">
        <v>317</v>
      </c>
      <c r="E7" s="34"/>
      <c r="F7" s="24">
        <v>140</v>
      </c>
      <c r="G7" s="43">
        <f>E7+F7</f>
        <v>140</v>
      </c>
      <c r="H7" s="43" t="s">
        <v>300</v>
      </c>
      <c r="I7" s="190" t="s">
        <v>303</v>
      </c>
      <c r="J7" s="178" t="s">
        <v>108</v>
      </c>
    </row>
    <row r="8" spans="1:11" x14ac:dyDescent="0.2">
      <c r="A8" s="107"/>
      <c r="B8" s="24">
        <v>1037</v>
      </c>
      <c r="C8" s="24">
        <v>202</v>
      </c>
      <c r="D8" s="141" t="s">
        <v>302</v>
      </c>
      <c r="E8" s="34">
        <v>250</v>
      </c>
      <c r="F8" s="24"/>
      <c r="G8" s="43">
        <f t="shared" ref="G8" si="0">E8+F8</f>
        <v>250</v>
      </c>
      <c r="H8" s="43" t="s">
        <v>369</v>
      </c>
      <c r="I8" s="188" t="s">
        <v>303</v>
      </c>
      <c r="J8" s="180" t="s">
        <v>108</v>
      </c>
    </row>
    <row r="9" spans="1:11" x14ac:dyDescent="0.2">
      <c r="A9" s="108">
        <v>21</v>
      </c>
      <c r="B9" s="19"/>
      <c r="C9" s="19"/>
      <c r="D9" s="249" t="s">
        <v>222</v>
      </c>
      <c r="E9" s="44">
        <f t="shared" ref="E9:G9" si="1">SUM(E10:E14)</f>
        <v>1229</v>
      </c>
      <c r="F9" s="45">
        <f t="shared" si="1"/>
        <v>860</v>
      </c>
      <c r="G9" s="46">
        <f t="shared" si="1"/>
        <v>2089</v>
      </c>
      <c r="H9" s="46"/>
      <c r="I9" s="41"/>
      <c r="J9" s="59"/>
    </row>
    <row r="10" spans="1:11" x14ac:dyDescent="0.2">
      <c r="A10" s="48"/>
      <c r="B10" s="24">
        <v>2121</v>
      </c>
      <c r="C10" s="24">
        <v>20</v>
      </c>
      <c r="D10" s="141" t="s">
        <v>87</v>
      </c>
      <c r="E10" s="34"/>
      <c r="F10" s="13">
        <v>410</v>
      </c>
      <c r="G10" s="43">
        <f>E10+F10</f>
        <v>410</v>
      </c>
      <c r="H10" s="43" t="s">
        <v>361</v>
      </c>
      <c r="I10" s="190" t="s">
        <v>66</v>
      </c>
      <c r="J10" s="178" t="s">
        <v>108</v>
      </c>
    </row>
    <row r="11" spans="1:11" x14ac:dyDescent="0.2">
      <c r="A11" s="48"/>
      <c r="B11" s="24">
        <v>2121</v>
      </c>
      <c r="C11" s="24">
        <v>237</v>
      </c>
      <c r="D11" s="141" t="s">
        <v>161</v>
      </c>
      <c r="E11" s="34">
        <f>529-150</f>
        <v>379</v>
      </c>
      <c r="F11" s="13">
        <v>150</v>
      </c>
      <c r="G11" s="43">
        <f>E11+F11</f>
        <v>529</v>
      </c>
      <c r="H11" s="43"/>
      <c r="I11" s="190" t="s">
        <v>66</v>
      </c>
      <c r="J11" s="178" t="s">
        <v>108</v>
      </c>
    </row>
    <row r="12" spans="1:11" x14ac:dyDescent="0.2">
      <c r="A12" s="48"/>
      <c r="B12" s="24">
        <v>2141</v>
      </c>
      <c r="C12" s="24">
        <v>101</v>
      </c>
      <c r="D12" s="141" t="s">
        <v>242</v>
      </c>
      <c r="E12" s="34">
        <f>50+80</f>
        <v>130</v>
      </c>
      <c r="F12" s="13"/>
      <c r="G12" s="43">
        <f>E12+F12</f>
        <v>130</v>
      </c>
      <c r="H12" s="43" t="s">
        <v>375</v>
      </c>
      <c r="I12" s="190" t="s">
        <v>273</v>
      </c>
      <c r="J12" s="178" t="s">
        <v>108</v>
      </c>
    </row>
    <row r="13" spans="1:11" x14ac:dyDescent="0.2">
      <c r="A13" s="48"/>
      <c r="B13" s="24">
        <v>2144</v>
      </c>
      <c r="C13" s="24">
        <v>650</v>
      </c>
      <c r="D13" s="141" t="s">
        <v>157</v>
      </c>
      <c r="E13" s="34">
        <v>420</v>
      </c>
      <c r="F13" s="13"/>
      <c r="G13" s="43">
        <f>E13+F13</f>
        <v>420</v>
      </c>
      <c r="H13" s="43" t="s">
        <v>249</v>
      </c>
      <c r="I13" s="187" t="s">
        <v>153</v>
      </c>
      <c r="J13" s="179" t="s">
        <v>192</v>
      </c>
    </row>
    <row r="14" spans="1:11" x14ac:dyDescent="0.2">
      <c r="A14" s="48"/>
      <c r="B14" s="24">
        <v>2199</v>
      </c>
      <c r="C14" s="24">
        <v>912</v>
      </c>
      <c r="D14" s="141" t="s">
        <v>91</v>
      </c>
      <c r="E14" s="34">
        <v>300</v>
      </c>
      <c r="F14" s="13">
        <v>300</v>
      </c>
      <c r="G14" s="43">
        <f>E14+F14</f>
        <v>600</v>
      </c>
      <c r="H14" s="43"/>
      <c r="I14" s="188" t="s">
        <v>148</v>
      </c>
      <c r="J14" s="180" t="s">
        <v>273</v>
      </c>
    </row>
    <row r="15" spans="1:11" x14ac:dyDescent="0.2">
      <c r="A15" s="108">
        <v>22</v>
      </c>
      <c r="B15" s="19"/>
      <c r="C15" s="19"/>
      <c r="D15" s="249" t="s">
        <v>67</v>
      </c>
      <c r="E15" s="44">
        <f t="shared" ref="E15:G15" si="2">SUM(E16:E26)</f>
        <v>4241</v>
      </c>
      <c r="F15" s="45">
        <f t="shared" si="2"/>
        <v>19507</v>
      </c>
      <c r="G15" s="46">
        <f t="shared" si="2"/>
        <v>23748</v>
      </c>
      <c r="H15" s="46"/>
      <c r="I15" s="41"/>
      <c r="J15" s="59"/>
    </row>
    <row r="16" spans="1:11" x14ac:dyDescent="0.2">
      <c r="A16" s="107"/>
      <c r="B16" s="24">
        <v>2212</v>
      </c>
      <c r="C16" s="24">
        <v>203</v>
      </c>
      <c r="D16" s="273" t="s">
        <v>205</v>
      </c>
      <c r="E16" s="34">
        <v>170</v>
      </c>
      <c r="F16" s="13">
        <f>27950-23100+1500</f>
        <v>6350</v>
      </c>
      <c r="G16" s="43">
        <f t="shared" ref="G16:G26" si="3">E16+F16</f>
        <v>6520</v>
      </c>
      <c r="H16" s="43" t="s">
        <v>370</v>
      </c>
      <c r="I16" s="190" t="s">
        <v>273</v>
      </c>
      <c r="J16" s="178" t="s">
        <v>108</v>
      </c>
    </row>
    <row r="17" spans="1:11" x14ac:dyDescent="0.2">
      <c r="A17" s="107"/>
      <c r="B17" s="24">
        <v>2212</v>
      </c>
      <c r="C17" s="24">
        <v>204</v>
      </c>
      <c r="D17" s="141" t="s">
        <v>113</v>
      </c>
      <c r="E17" s="34">
        <f>3177+300</f>
        <v>3477</v>
      </c>
      <c r="F17" s="13"/>
      <c r="G17" s="43">
        <f t="shared" si="3"/>
        <v>3477</v>
      </c>
      <c r="H17" s="43"/>
      <c r="I17" s="190" t="s">
        <v>189</v>
      </c>
      <c r="J17" s="178" t="s">
        <v>108</v>
      </c>
    </row>
    <row r="18" spans="1:11" x14ac:dyDescent="0.2">
      <c r="A18" s="107"/>
      <c r="B18" s="24">
        <v>2212</v>
      </c>
      <c r="C18" s="24">
        <v>206</v>
      </c>
      <c r="D18" s="141" t="s">
        <v>288</v>
      </c>
      <c r="E18" s="34"/>
      <c r="F18" s="13">
        <v>500</v>
      </c>
      <c r="G18" s="43">
        <f t="shared" si="3"/>
        <v>500</v>
      </c>
      <c r="H18" s="43" t="s">
        <v>339</v>
      </c>
      <c r="I18" s="190" t="s">
        <v>273</v>
      </c>
      <c r="J18" s="178" t="s">
        <v>108</v>
      </c>
    </row>
    <row r="19" spans="1:11" x14ac:dyDescent="0.2">
      <c r="A19" s="107"/>
      <c r="B19" s="24">
        <v>2212</v>
      </c>
      <c r="C19" s="24">
        <v>208</v>
      </c>
      <c r="D19" s="141" t="s">
        <v>258</v>
      </c>
      <c r="E19" s="34"/>
      <c r="F19" s="13">
        <f>1687+350+120</f>
        <v>2157</v>
      </c>
      <c r="G19" s="43">
        <f t="shared" si="3"/>
        <v>2157</v>
      </c>
      <c r="H19" s="43" t="s">
        <v>378</v>
      </c>
      <c r="I19" s="190" t="s">
        <v>148</v>
      </c>
      <c r="J19" s="178" t="s">
        <v>108</v>
      </c>
    </row>
    <row r="20" spans="1:11" x14ac:dyDescent="0.2">
      <c r="A20" s="107"/>
      <c r="B20" s="24">
        <v>2212</v>
      </c>
      <c r="C20" s="24">
        <v>211</v>
      </c>
      <c r="D20" s="141" t="s">
        <v>289</v>
      </c>
      <c r="E20" s="34"/>
      <c r="F20" s="13">
        <v>400</v>
      </c>
      <c r="G20" s="43">
        <f t="shared" si="3"/>
        <v>400</v>
      </c>
      <c r="H20" s="43"/>
      <c r="I20" s="190" t="s">
        <v>148</v>
      </c>
      <c r="J20" s="178" t="s">
        <v>273</v>
      </c>
    </row>
    <row r="21" spans="1:11" x14ac:dyDescent="0.2">
      <c r="A21" s="107"/>
      <c r="B21" s="24">
        <v>2212</v>
      </c>
      <c r="C21" s="24"/>
      <c r="D21" s="141" t="s">
        <v>393</v>
      </c>
      <c r="E21" s="34"/>
      <c r="F21" s="13">
        <v>752</v>
      </c>
      <c r="G21" s="43">
        <f t="shared" si="3"/>
        <v>752</v>
      </c>
      <c r="H21" s="43" t="s">
        <v>394</v>
      </c>
      <c r="I21" s="190" t="s">
        <v>148</v>
      </c>
      <c r="J21" s="178" t="s">
        <v>108</v>
      </c>
    </row>
    <row r="22" spans="1:11" x14ac:dyDescent="0.2">
      <c r="A22" s="107"/>
      <c r="B22" s="24">
        <v>2219</v>
      </c>
      <c r="C22" s="24"/>
      <c r="D22" s="141" t="s">
        <v>338</v>
      </c>
      <c r="E22" s="34"/>
      <c r="F22" s="13">
        <f>3450+2250-752</f>
        <v>4948</v>
      </c>
      <c r="G22" s="43">
        <f t="shared" si="3"/>
        <v>4948</v>
      </c>
      <c r="H22" s="43" t="s">
        <v>377</v>
      </c>
      <c r="I22" s="190" t="s">
        <v>148</v>
      </c>
      <c r="J22" s="178" t="s">
        <v>273</v>
      </c>
    </row>
    <row r="23" spans="1:11" x14ac:dyDescent="0.2">
      <c r="A23" s="107"/>
      <c r="B23" s="24">
        <v>2219</v>
      </c>
      <c r="C23" s="24">
        <v>43</v>
      </c>
      <c r="D23" s="141" t="s">
        <v>111</v>
      </c>
      <c r="E23" s="34">
        <v>35</v>
      </c>
      <c r="F23" s="13"/>
      <c r="G23" s="43">
        <f t="shared" si="3"/>
        <v>35</v>
      </c>
      <c r="H23" s="43"/>
      <c r="I23" s="195" t="s">
        <v>147</v>
      </c>
      <c r="J23" s="179" t="s">
        <v>255</v>
      </c>
    </row>
    <row r="24" spans="1:11" x14ac:dyDescent="0.2">
      <c r="A24" s="107"/>
      <c r="B24" s="24">
        <v>2219</v>
      </c>
      <c r="C24" s="24">
        <v>46</v>
      </c>
      <c r="D24" s="141" t="s">
        <v>270</v>
      </c>
      <c r="E24" s="34"/>
      <c r="F24" s="13">
        <v>400</v>
      </c>
      <c r="G24" s="43">
        <f t="shared" si="3"/>
        <v>400</v>
      </c>
      <c r="H24" s="43" t="s">
        <v>346</v>
      </c>
      <c r="I24" s="190" t="s">
        <v>273</v>
      </c>
      <c r="J24" s="178" t="s">
        <v>108</v>
      </c>
    </row>
    <row r="25" spans="1:11" x14ac:dyDescent="0.2">
      <c r="A25" s="107"/>
      <c r="B25" s="24">
        <v>2292</v>
      </c>
      <c r="C25" s="24">
        <v>204</v>
      </c>
      <c r="D25" s="141" t="s">
        <v>109</v>
      </c>
      <c r="E25" s="34">
        <v>497</v>
      </c>
      <c r="F25" s="13"/>
      <c r="G25" s="43">
        <f t="shared" si="3"/>
        <v>497</v>
      </c>
      <c r="H25" s="43" t="s">
        <v>349</v>
      </c>
      <c r="I25" s="257" t="s">
        <v>190</v>
      </c>
      <c r="J25" s="177" t="s">
        <v>68</v>
      </c>
    </row>
    <row r="26" spans="1:11" s="272" customFormat="1" x14ac:dyDescent="0.2">
      <c r="A26" s="268"/>
      <c r="B26" s="269">
        <v>2321</v>
      </c>
      <c r="C26" s="269">
        <v>5103</v>
      </c>
      <c r="D26" s="250" t="s">
        <v>285</v>
      </c>
      <c r="E26" s="47">
        <v>62</v>
      </c>
      <c r="F26" s="50">
        <v>4000</v>
      </c>
      <c r="G26" s="49">
        <f t="shared" si="3"/>
        <v>4062</v>
      </c>
      <c r="H26" s="49" t="s">
        <v>325</v>
      </c>
      <c r="I26" s="270" t="s">
        <v>324</v>
      </c>
      <c r="J26" s="271" t="s">
        <v>68</v>
      </c>
      <c r="K26" s="92"/>
    </row>
    <row r="27" spans="1:11" x14ac:dyDescent="0.2">
      <c r="A27" s="72">
        <v>31</v>
      </c>
      <c r="B27" s="27">
        <v>3100</v>
      </c>
      <c r="C27" s="27"/>
      <c r="D27" s="243" t="s">
        <v>69</v>
      </c>
      <c r="E27" s="41">
        <f t="shared" ref="E27:G27" si="4">SUM(E28:E40)</f>
        <v>12565</v>
      </c>
      <c r="F27" s="15">
        <f t="shared" si="4"/>
        <v>6700</v>
      </c>
      <c r="G27" s="42">
        <f t="shared" si="4"/>
        <v>19265</v>
      </c>
      <c r="H27" s="42"/>
      <c r="I27" s="191"/>
      <c r="J27" s="59"/>
    </row>
    <row r="28" spans="1:11" ht="12" customHeight="1" x14ac:dyDescent="0.2">
      <c r="A28" s="107"/>
      <c r="B28" s="24">
        <v>3111</v>
      </c>
      <c r="C28" s="24">
        <v>301</v>
      </c>
      <c r="D28" s="141" t="s">
        <v>200</v>
      </c>
      <c r="E28" s="34">
        <v>1463</v>
      </c>
      <c r="F28" s="13"/>
      <c r="G28" s="43">
        <f t="shared" ref="G28:G40" si="5">E28+F28</f>
        <v>1463</v>
      </c>
      <c r="H28" s="43"/>
      <c r="I28" s="189" t="s">
        <v>191</v>
      </c>
      <c r="J28" s="177" t="s">
        <v>68</v>
      </c>
    </row>
    <row r="29" spans="1:11" ht="12" customHeight="1" x14ac:dyDescent="0.2">
      <c r="A29" s="107"/>
      <c r="B29" s="24">
        <v>3111</v>
      </c>
      <c r="C29" s="24">
        <v>301</v>
      </c>
      <c r="D29" s="141" t="s">
        <v>216</v>
      </c>
      <c r="E29" s="34">
        <v>223</v>
      </c>
      <c r="F29" s="13"/>
      <c r="G29" s="43">
        <f t="shared" si="5"/>
        <v>223</v>
      </c>
      <c r="H29" s="43"/>
      <c r="I29" s="189" t="s">
        <v>191</v>
      </c>
      <c r="J29" s="177" t="s">
        <v>68</v>
      </c>
    </row>
    <row r="30" spans="1:11" x14ac:dyDescent="0.2">
      <c r="A30" s="107"/>
      <c r="B30" s="24">
        <v>3113</v>
      </c>
      <c r="C30" s="24">
        <v>300</v>
      </c>
      <c r="D30" s="141" t="s">
        <v>193</v>
      </c>
      <c r="E30" s="34">
        <f>3000+1000</f>
        <v>4000</v>
      </c>
      <c r="F30" s="13"/>
      <c r="G30" s="43">
        <f t="shared" si="5"/>
        <v>4000</v>
      </c>
      <c r="H30" s="43" t="s">
        <v>354</v>
      </c>
      <c r="I30" s="190" t="s">
        <v>148</v>
      </c>
      <c r="J30" s="178" t="s">
        <v>108</v>
      </c>
    </row>
    <row r="31" spans="1:11" ht="12.75" customHeight="1" x14ac:dyDescent="0.2">
      <c r="A31" s="107"/>
      <c r="B31" s="24">
        <v>3113</v>
      </c>
      <c r="C31" s="24">
        <v>303</v>
      </c>
      <c r="D31" s="141" t="s">
        <v>201</v>
      </c>
      <c r="E31" s="34">
        <v>2331</v>
      </c>
      <c r="F31" s="13"/>
      <c r="G31" s="43">
        <f t="shared" si="5"/>
        <v>2331</v>
      </c>
      <c r="H31" s="43" t="s">
        <v>353</v>
      </c>
      <c r="I31" s="189" t="s">
        <v>191</v>
      </c>
      <c r="J31" s="177" t="s">
        <v>68</v>
      </c>
    </row>
    <row r="32" spans="1:11" x14ac:dyDescent="0.2">
      <c r="A32" s="107"/>
      <c r="B32" s="24">
        <v>3113</v>
      </c>
      <c r="C32" s="24">
        <v>303.30399999999997</v>
      </c>
      <c r="D32" s="141" t="s">
        <v>217</v>
      </c>
      <c r="E32" s="34">
        <f>636+363</f>
        <v>999</v>
      </c>
      <c r="F32" s="13"/>
      <c r="G32" s="43">
        <f t="shared" si="5"/>
        <v>999</v>
      </c>
      <c r="H32" s="43"/>
      <c r="I32" s="189" t="s">
        <v>191</v>
      </c>
      <c r="J32" s="177" t="s">
        <v>68</v>
      </c>
    </row>
    <row r="33" spans="1:170" x14ac:dyDescent="0.2">
      <c r="A33" s="107"/>
      <c r="B33" s="24">
        <v>3113</v>
      </c>
      <c r="C33" s="24">
        <v>304</v>
      </c>
      <c r="D33" s="141" t="s">
        <v>202</v>
      </c>
      <c r="E33" s="34">
        <v>1561</v>
      </c>
      <c r="F33" s="13">
        <v>1100</v>
      </c>
      <c r="G33" s="43">
        <f t="shared" si="5"/>
        <v>2661</v>
      </c>
      <c r="H33" s="43" t="s">
        <v>376</v>
      </c>
      <c r="I33" s="189" t="s">
        <v>191</v>
      </c>
      <c r="J33" s="177" t="s">
        <v>68</v>
      </c>
    </row>
    <row r="34" spans="1:170" x14ac:dyDescent="0.2">
      <c r="A34" s="107"/>
      <c r="B34" s="24">
        <v>3113</v>
      </c>
      <c r="C34" s="24">
        <v>4169</v>
      </c>
      <c r="D34" s="273" t="s">
        <v>356</v>
      </c>
      <c r="E34" s="34"/>
      <c r="F34" s="13">
        <v>100</v>
      </c>
      <c r="G34" s="43">
        <f t="shared" si="5"/>
        <v>100</v>
      </c>
      <c r="H34" s="43"/>
      <c r="I34" s="190" t="s">
        <v>273</v>
      </c>
      <c r="J34" s="178" t="s">
        <v>108</v>
      </c>
    </row>
    <row r="35" spans="1:170" x14ac:dyDescent="0.2">
      <c r="A35" s="107"/>
      <c r="B35" s="24">
        <v>3114</v>
      </c>
      <c r="C35" s="24">
        <v>311</v>
      </c>
      <c r="D35" s="141" t="s">
        <v>211</v>
      </c>
      <c r="E35" s="34">
        <v>140</v>
      </c>
      <c r="F35" s="13"/>
      <c r="G35" s="43">
        <f t="shared" si="5"/>
        <v>140</v>
      </c>
      <c r="H35" s="43"/>
      <c r="I35" s="189" t="s">
        <v>191</v>
      </c>
      <c r="J35" s="177" t="s">
        <v>68</v>
      </c>
    </row>
    <row r="36" spans="1:170" x14ac:dyDescent="0.2">
      <c r="A36" s="107"/>
      <c r="B36" s="24">
        <v>3119</v>
      </c>
      <c r="C36" s="24">
        <v>1112</v>
      </c>
      <c r="D36" s="141" t="s">
        <v>228</v>
      </c>
      <c r="E36" s="34">
        <v>160</v>
      </c>
      <c r="F36" s="13"/>
      <c r="G36" s="43">
        <f t="shared" si="5"/>
        <v>160</v>
      </c>
      <c r="H36" s="43" t="s">
        <v>263</v>
      </c>
      <c r="I36" s="189" t="s">
        <v>191</v>
      </c>
      <c r="J36" s="177" t="s">
        <v>68</v>
      </c>
    </row>
    <row r="37" spans="1:170" x14ac:dyDescent="0.2">
      <c r="A37" s="107"/>
      <c r="B37" s="24">
        <v>3141</v>
      </c>
      <c r="C37" s="24">
        <v>309</v>
      </c>
      <c r="D37" s="141" t="s">
        <v>237</v>
      </c>
      <c r="E37" s="34">
        <v>1480</v>
      </c>
      <c r="F37" s="13"/>
      <c r="G37" s="43">
        <f t="shared" si="5"/>
        <v>1480</v>
      </c>
      <c r="H37" s="43"/>
      <c r="I37" s="189" t="s">
        <v>191</v>
      </c>
      <c r="J37" s="182" t="s">
        <v>267</v>
      </c>
    </row>
    <row r="38" spans="1:170" x14ac:dyDescent="0.2">
      <c r="A38" s="107"/>
      <c r="B38" s="24">
        <v>3231</v>
      </c>
      <c r="C38" s="24">
        <v>310</v>
      </c>
      <c r="D38" s="141" t="s">
        <v>344</v>
      </c>
      <c r="E38" s="34">
        <v>206</v>
      </c>
      <c r="F38" s="13"/>
      <c r="G38" s="43">
        <f t="shared" si="5"/>
        <v>206</v>
      </c>
      <c r="H38" s="43"/>
      <c r="I38" s="189" t="s">
        <v>191</v>
      </c>
      <c r="J38" s="177" t="s">
        <v>68</v>
      </c>
    </row>
    <row r="39" spans="1:170" x14ac:dyDescent="0.2">
      <c r="A39" s="107"/>
      <c r="B39" s="24">
        <v>3231</v>
      </c>
      <c r="C39" s="24">
        <v>310</v>
      </c>
      <c r="D39" s="141" t="s">
        <v>362</v>
      </c>
      <c r="E39" s="34"/>
      <c r="F39" s="13">
        <v>5500</v>
      </c>
      <c r="G39" s="43">
        <f t="shared" si="5"/>
        <v>5500</v>
      </c>
      <c r="H39" s="43" t="s">
        <v>345</v>
      </c>
      <c r="I39" s="190" t="s">
        <v>148</v>
      </c>
      <c r="J39" s="178" t="s">
        <v>108</v>
      </c>
    </row>
    <row r="40" spans="1:170" x14ac:dyDescent="0.2">
      <c r="A40" s="109"/>
      <c r="B40" s="29">
        <v>3231</v>
      </c>
      <c r="C40" s="29">
        <v>310</v>
      </c>
      <c r="D40" s="250" t="s">
        <v>218</v>
      </c>
      <c r="E40" s="47">
        <v>2</v>
      </c>
      <c r="F40" s="50"/>
      <c r="G40" s="49">
        <f t="shared" si="5"/>
        <v>2</v>
      </c>
      <c r="H40" s="49"/>
      <c r="I40" s="258" t="s">
        <v>191</v>
      </c>
      <c r="J40" s="181" t="s">
        <v>68</v>
      </c>
    </row>
    <row r="41" spans="1:170" x14ac:dyDescent="0.2">
      <c r="A41" s="72">
        <v>33</v>
      </c>
      <c r="B41" s="27">
        <v>3300</v>
      </c>
      <c r="C41" s="27"/>
      <c r="D41" s="243" t="s">
        <v>70</v>
      </c>
      <c r="E41" s="41">
        <f>SUM(E42:E53)</f>
        <v>15176</v>
      </c>
      <c r="F41" s="15">
        <f>SUM(F42:F53)</f>
        <v>4400</v>
      </c>
      <c r="G41" s="42">
        <f>SUM(G42:G53)</f>
        <v>19576</v>
      </c>
      <c r="H41" s="42"/>
      <c r="I41" s="191"/>
      <c r="J41" s="59"/>
    </row>
    <row r="42" spans="1:170" x14ac:dyDescent="0.2">
      <c r="A42" s="107"/>
      <c r="B42" s="24">
        <v>3314</v>
      </c>
      <c r="C42" s="24">
        <v>504</v>
      </c>
      <c r="D42" s="141" t="s">
        <v>107</v>
      </c>
      <c r="E42" s="34">
        <f>205+1205+1000</f>
        <v>2410</v>
      </c>
      <c r="F42" s="13"/>
      <c r="G42" s="43">
        <f t="shared" ref="G42:G53" si="6">E42+F42</f>
        <v>2410</v>
      </c>
      <c r="H42" s="43" t="s">
        <v>374</v>
      </c>
      <c r="I42" s="48" t="s">
        <v>241</v>
      </c>
      <c r="J42" s="43" t="s">
        <v>118</v>
      </c>
    </row>
    <row r="43" spans="1:170" x14ac:dyDescent="0.2">
      <c r="A43" s="107"/>
      <c r="B43" s="24">
        <v>3315</v>
      </c>
      <c r="C43" s="24">
        <v>505</v>
      </c>
      <c r="D43" s="141" t="s">
        <v>226</v>
      </c>
      <c r="E43" s="34">
        <v>1200</v>
      </c>
      <c r="F43" s="13"/>
      <c r="G43" s="43">
        <f t="shared" si="6"/>
        <v>1200</v>
      </c>
      <c r="H43" s="43"/>
      <c r="I43" s="189" t="s">
        <v>191</v>
      </c>
      <c r="J43" s="177" t="s">
        <v>68</v>
      </c>
    </row>
    <row r="44" spans="1:170" ht="12.75" customHeight="1" x14ac:dyDescent="0.2">
      <c r="A44" s="107"/>
      <c r="B44" s="24">
        <v>3322.3326000000002</v>
      </c>
      <c r="C44" s="24" t="s">
        <v>221</v>
      </c>
      <c r="D44" s="141" t="s">
        <v>131</v>
      </c>
      <c r="E44" s="34">
        <f>508+300</f>
        <v>808</v>
      </c>
      <c r="F44" s="13"/>
      <c r="G44" s="43">
        <f t="shared" si="6"/>
        <v>808</v>
      </c>
      <c r="H44" s="43" t="s">
        <v>342</v>
      </c>
      <c r="I44" s="192" t="s">
        <v>365</v>
      </c>
      <c r="J44" s="178" t="s">
        <v>108</v>
      </c>
    </row>
    <row r="45" spans="1:170" ht="12.75" customHeight="1" x14ac:dyDescent="0.2">
      <c r="A45" s="107"/>
      <c r="B45" s="24">
        <v>3322.3326000000002</v>
      </c>
      <c r="C45" s="24">
        <v>102</v>
      </c>
      <c r="D45" s="141" t="s">
        <v>283</v>
      </c>
      <c r="E45" s="34">
        <v>4000</v>
      </c>
      <c r="F45" s="13">
        <v>4400</v>
      </c>
      <c r="G45" s="43">
        <f t="shared" si="6"/>
        <v>8400</v>
      </c>
      <c r="H45" s="43"/>
      <c r="I45" s="192" t="s">
        <v>365</v>
      </c>
      <c r="J45" s="178" t="s">
        <v>108</v>
      </c>
    </row>
    <row r="46" spans="1:170" ht="12.75" customHeight="1" x14ac:dyDescent="0.2">
      <c r="A46" s="107"/>
      <c r="B46" s="24">
        <v>3322</v>
      </c>
      <c r="C46" s="24"/>
      <c r="D46" s="141" t="s">
        <v>326</v>
      </c>
      <c r="E46" s="34">
        <v>1100</v>
      </c>
      <c r="F46" s="13"/>
      <c r="G46" s="43">
        <f t="shared" si="6"/>
        <v>1100</v>
      </c>
      <c r="H46" s="43"/>
      <c r="I46" s="192" t="s">
        <v>365</v>
      </c>
      <c r="J46" s="178" t="s">
        <v>108</v>
      </c>
    </row>
    <row r="47" spans="1:170" x14ac:dyDescent="0.2">
      <c r="A47" s="107"/>
      <c r="B47" s="24">
        <v>3326</v>
      </c>
      <c r="C47" s="24">
        <v>103</v>
      </c>
      <c r="D47" s="141" t="s">
        <v>207</v>
      </c>
      <c r="E47" s="34">
        <v>100</v>
      </c>
      <c r="F47" s="13"/>
      <c r="G47" s="43">
        <f t="shared" si="6"/>
        <v>100</v>
      </c>
      <c r="H47" s="43"/>
      <c r="I47" s="192" t="s">
        <v>365</v>
      </c>
      <c r="J47" s="178" t="s">
        <v>108</v>
      </c>
    </row>
    <row r="48" spans="1:170" x14ac:dyDescent="0.2">
      <c r="A48" s="107"/>
      <c r="B48" s="24">
        <v>3349</v>
      </c>
      <c r="C48" s="24">
        <v>42</v>
      </c>
      <c r="D48" s="141" t="s">
        <v>71</v>
      </c>
      <c r="E48" s="34">
        <f>371+185</f>
        <v>556</v>
      </c>
      <c r="F48" s="13"/>
      <c r="G48" s="43">
        <f t="shared" si="6"/>
        <v>556</v>
      </c>
      <c r="H48" s="43"/>
      <c r="I48" s="245" t="s">
        <v>146</v>
      </c>
      <c r="J48" s="244" t="s">
        <v>199</v>
      </c>
      <c r="FN48" s="88">
        <f>SUM(H48:FM48)</f>
        <v>0</v>
      </c>
    </row>
    <row r="49" spans="1:11" x14ac:dyDescent="0.2">
      <c r="A49" s="107"/>
      <c r="B49" s="24">
        <v>3392</v>
      </c>
      <c r="C49" s="24">
        <v>312</v>
      </c>
      <c r="D49" s="141" t="s">
        <v>225</v>
      </c>
      <c r="E49" s="34">
        <v>3528</v>
      </c>
      <c r="F49" s="13"/>
      <c r="G49" s="43">
        <f t="shared" si="6"/>
        <v>3528</v>
      </c>
      <c r="H49" s="43" t="s">
        <v>253</v>
      </c>
      <c r="I49" s="189" t="s">
        <v>191</v>
      </c>
      <c r="J49" s="177" t="s">
        <v>68</v>
      </c>
    </row>
    <row r="50" spans="1:11" x14ac:dyDescent="0.2">
      <c r="A50" s="107"/>
      <c r="B50" s="24">
        <v>3392</v>
      </c>
      <c r="C50" s="24" t="s">
        <v>220</v>
      </c>
      <c r="D50" s="141" t="s">
        <v>219</v>
      </c>
      <c r="E50" s="34">
        <v>634</v>
      </c>
      <c r="F50" s="13"/>
      <c r="G50" s="43">
        <f t="shared" si="6"/>
        <v>634</v>
      </c>
      <c r="H50" s="43"/>
      <c r="I50" s="189" t="s">
        <v>191</v>
      </c>
      <c r="J50" s="177" t="s">
        <v>68</v>
      </c>
    </row>
    <row r="51" spans="1:11" x14ac:dyDescent="0.2">
      <c r="A51" s="107"/>
      <c r="B51" s="24">
        <v>3392</v>
      </c>
      <c r="C51" s="24">
        <v>325</v>
      </c>
      <c r="D51" s="141" t="s">
        <v>332</v>
      </c>
      <c r="E51" s="34">
        <v>550</v>
      </c>
      <c r="F51" s="13"/>
      <c r="G51" s="43">
        <f t="shared" si="6"/>
        <v>550</v>
      </c>
      <c r="H51" s="43"/>
      <c r="I51" s="190" t="s">
        <v>148</v>
      </c>
      <c r="J51" s="178" t="s">
        <v>273</v>
      </c>
      <c r="K51" s="76"/>
    </row>
    <row r="52" spans="1:11" x14ac:dyDescent="0.2">
      <c r="A52" s="107"/>
      <c r="B52" s="24">
        <v>3392</v>
      </c>
      <c r="C52" s="24">
        <v>106</v>
      </c>
      <c r="D52" s="141" t="s">
        <v>364</v>
      </c>
      <c r="E52" s="34">
        <v>140</v>
      </c>
      <c r="F52" s="13"/>
      <c r="G52" s="43">
        <f t="shared" si="6"/>
        <v>140</v>
      </c>
      <c r="H52" s="43" t="s">
        <v>366</v>
      </c>
      <c r="I52" s="189"/>
      <c r="J52" s="177"/>
      <c r="K52" s="76"/>
    </row>
    <row r="53" spans="1:11" x14ac:dyDescent="0.2">
      <c r="A53" s="107"/>
      <c r="B53" s="24">
        <v>3399</v>
      </c>
      <c r="C53" s="24">
        <v>313</v>
      </c>
      <c r="D53" s="141" t="s">
        <v>93</v>
      </c>
      <c r="E53" s="34">
        <v>150</v>
      </c>
      <c r="F53" s="13"/>
      <c r="G53" s="43">
        <f t="shared" si="6"/>
        <v>150</v>
      </c>
      <c r="H53" s="43" t="s">
        <v>254</v>
      </c>
      <c r="I53" s="245" t="s">
        <v>240</v>
      </c>
      <c r="J53" s="253" t="s">
        <v>192</v>
      </c>
      <c r="K53" s="76"/>
    </row>
    <row r="54" spans="1:11" x14ac:dyDescent="0.2">
      <c r="A54" s="108">
        <v>34</v>
      </c>
      <c r="B54" s="19">
        <v>3400</v>
      </c>
      <c r="C54" s="19"/>
      <c r="D54" s="249" t="s">
        <v>72</v>
      </c>
      <c r="E54" s="44">
        <f t="shared" ref="E54:G54" si="7">SUM(E55:E61)</f>
        <v>5110</v>
      </c>
      <c r="F54" s="45">
        <f t="shared" si="7"/>
        <v>22274</v>
      </c>
      <c r="G54" s="46">
        <f t="shared" si="7"/>
        <v>27384</v>
      </c>
      <c r="H54" s="46"/>
      <c r="I54" s="191"/>
      <c r="J54" s="59"/>
    </row>
    <row r="55" spans="1:11" ht="13.5" customHeight="1" x14ac:dyDescent="0.2">
      <c r="A55" s="107"/>
      <c r="B55" s="24">
        <v>3412</v>
      </c>
      <c r="C55" s="24">
        <v>506</v>
      </c>
      <c r="D55" s="141" t="s">
        <v>355</v>
      </c>
      <c r="E55" s="34">
        <v>3450</v>
      </c>
      <c r="F55" s="13"/>
      <c r="G55" s="43">
        <f t="shared" ref="G55:G61" si="8">E55+F55</f>
        <v>3450</v>
      </c>
      <c r="H55" s="43" t="s">
        <v>358</v>
      </c>
      <c r="I55" s="189" t="s">
        <v>191</v>
      </c>
      <c r="J55" s="177" t="s">
        <v>68</v>
      </c>
    </row>
    <row r="56" spans="1:11" ht="13.5" customHeight="1" x14ac:dyDescent="0.2">
      <c r="A56" s="107"/>
      <c r="B56" s="24">
        <v>3412</v>
      </c>
      <c r="C56" s="24">
        <v>506</v>
      </c>
      <c r="D56" s="141" t="s">
        <v>389</v>
      </c>
      <c r="E56" s="34"/>
      <c r="F56" s="13">
        <v>2800</v>
      </c>
      <c r="G56" s="43">
        <f t="shared" si="8"/>
        <v>2800</v>
      </c>
      <c r="H56" s="43" t="s">
        <v>391</v>
      </c>
      <c r="I56" s="189"/>
      <c r="J56" s="177"/>
    </row>
    <row r="57" spans="1:11" ht="13.5" customHeight="1" x14ac:dyDescent="0.2">
      <c r="A57" s="107"/>
      <c r="B57" s="24">
        <v>3412</v>
      </c>
      <c r="C57" s="24">
        <v>506</v>
      </c>
      <c r="D57" s="141" t="s">
        <v>390</v>
      </c>
      <c r="E57" s="34"/>
      <c r="F57" s="13">
        <f>400+413+100+2148+5348+591</f>
        <v>9000</v>
      </c>
      <c r="G57" s="43">
        <f t="shared" si="8"/>
        <v>9000</v>
      </c>
      <c r="H57" s="43" t="s">
        <v>392</v>
      </c>
      <c r="I57" s="189" t="s">
        <v>191</v>
      </c>
      <c r="J57" s="177" t="s">
        <v>68</v>
      </c>
    </row>
    <row r="58" spans="1:11" ht="13.5" customHeight="1" x14ac:dyDescent="0.2">
      <c r="A58" s="107"/>
      <c r="B58" s="24">
        <v>3412</v>
      </c>
      <c r="C58" s="24">
        <v>216</v>
      </c>
      <c r="D58" s="141" t="s">
        <v>252</v>
      </c>
      <c r="E58" s="34"/>
      <c r="F58" s="13">
        <v>10474</v>
      </c>
      <c r="G58" s="43">
        <f t="shared" si="8"/>
        <v>10474</v>
      </c>
      <c r="H58" s="43" t="s">
        <v>387</v>
      </c>
      <c r="I58" s="190" t="s">
        <v>273</v>
      </c>
      <c r="J58" s="178" t="s">
        <v>108</v>
      </c>
      <c r="K58" s="76" t="s">
        <v>279</v>
      </c>
    </row>
    <row r="59" spans="1:11" ht="13.5" customHeight="1" x14ac:dyDescent="0.2">
      <c r="A59" s="107"/>
      <c r="B59" s="24">
        <v>3412</v>
      </c>
      <c r="C59" s="24">
        <v>216</v>
      </c>
      <c r="D59" s="141" t="s">
        <v>372</v>
      </c>
      <c r="E59" s="34">
        <v>200</v>
      </c>
      <c r="F59" s="13"/>
      <c r="G59" s="43">
        <f t="shared" si="8"/>
        <v>200</v>
      </c>
      <c r="H59" s="43"/>
      <c r="I59" s="190"/>
      <c r="J59" s="178"/>
    </row>
    <row r="60" spans="1:11" ht="13.5" customHeight="1" x14ac:dyDescent="0.2">
      <c r="A60" s="107"/>
      <c r="B60" s="24">
        <v>3419</v>
      </c>
      <c r="C60" s="24">
        <v>105</v>
      </c>
      <c r="D60" s="141" t="s">
        <v>313</v>
      </c>
      <c r="E60" s="34">
        <f>45+415</f>
        <v>460</v>
      </c>
      <c r="F60" s="13"/>
      <c r="G60" s="43">
        <f t="shared" si="8"/>
        <v>460</v>
      </c>
      <c r="H60" s="43"/>
      <c r="I60" s="189" t="s">
        <v>247</v>
      </c>
      <c r="J60" s="177" t="s">
        <v>68</v>
      </c>
    </row>
    <row r="61" spans="1:11" ht="12.75" customHeight="1" x14ac:dyDescent="0.2">
      <c r="A61" s="107"/>
      <c r="B61" s="24">
        <v>3421</v>
      </c>
      <c r="C61" s="24">
        <v>105</v>
      </c>
      <c r="D61" s="141" t="s">
        <v>166</v>
      </c>
      <c r="E61" s="34">
        <v>1000</v>
      </c>
      <c r="F61" s="13"/>
      <c r="G61" s="43">
        <f t="shared" si="8"/>
        <v>1000</v>
      </c>
      <c r="H61" s="43"/>
      <c r="I61" s="189" t="s">
        <v>247</v>
      </c>
      <c r="J61" s="177" t="s">
        <v>68</v>
      </c>
    </row>
    <row r="62" spans="1:11" x14ac:dyDescent="0.2">
      <c r="A62" s="108">
        <v>35</v>
      </c>
      <c r="B62" s="19">
        <v>3500</v>
      </c>
      <c r="C62" s="19"/>
      <c r="D62" s="249" t="s">
        <v>105</v>
      </c>
      <c r="E62" s="44">
        <f>SUM(E63:E63)</f>
        <v>0</v>
      </c>
      <c r="F62" s="45">
        <f>SUM(F63:F63)</f>
        <v>0</v>
      </c>
      <c r="G62" s="46">
        <f>SUM(G63:G63)</f>
        <v>0</v>
      </c>
      <c r="H62" s="46"/>
      <c r="I62" s="44"/>
      <c r="J62" s="183"/>
    </row>
    <row r="63" spans="1:11" x14ac:dyDescent="0.2">
      <c r="A63" s="72"/>
      <c r="B63" s="27">
        <v>3522</v>
      </c>
      <c r="C63" s="27">
        <v>233</v>
      </c>
      <c r="D63" s="230" t="s">
        <v>281</v>
      </c>
      <c r="E63" s="41"/>
      <c r="F63" s="15"/>
      <c r="G63" s="43">
        <f t="shared" ref="G63" si="9">E63+F63</f>
        <v>0</v>
      </c>
      <c r="H63" s="42"/>
      <c r="I63" s="41"/>
      <c r="J63" s="59"/>
    </row>
    <row r="64" spans="1:11" x14ac:dyDescent="0.2">
      <c r="A64" s="108">
        <v>36</v>
      </c>
      <c r="B64" s="19">
        <v>3600</v>
      </c>
      <c r="C64" s="19"/>
      <c r="D64" s="249" t="s">
        <v>73</v>
      </c>
      <c r="E64" s="44">
        <f t="shared" ref="E64:G64" si="10">SUM(E65:E82)</f>
        <v>16812</v>
      </c>
      <c r="F64" s="45">
        <f t="shared" si="10"/>
        <v>5800</v>
      </c>
      <c r="G64" s="46">
        <f t="shared" si="10"/>
        <v>22612</v>
      </c>
      <c r="H64" s="46"/>
      <c r="I64" s="44"/>
      <c r="J64" s="183"/>
    </row>
    <row r="65" spans="1:10" ht="12" customHeight="1" x14ac:dyDescent="0.2">
      <c r="A65" s="107"/>
      <c r="B65" s="24">
        <v>3612</v>
      </c>
      <c r="C65" s="24" t="s">
        <v>257</v>
      </c>
      <c r="D65" s="141" t="s">
        <v>114</v>
      </c>
      <c r="E65" s="34">
        <v>5598</v>
      </c>
      <c r="F65" s="13"/>
      <c r="G65" s="43">
        <f>E65+F65</f>
        <v>5598</v>
      </c>
      <c r="H65" s="43" t="s">
        <v>359</v>
      </c>
      <c r="I65" s="186" t="s">
        <v>367</v>
      </c>
      <c r="J65" s="184" t="s">
        <v>256</v>
      </c>
    </row>
    <row r="66" spans="1:10" x14ac:dyDescent="0.2">
      <c r="A66" s="107"/>
      <c r="B66" s="24">
        <v>3612</v>
      </c>
      <c r="C66" s="24" t="s">
        <v>257</v>
      </c>
      <c r="D66" s="141" t="s">
        <v>115</v>
      </c>
      <c r="E66" s="34">
        <v>3578</v>
      </c>
      <c r="F66" s="13"/>
      <c r="G66" s="43">
        <f>E66+F66</f>
        <v>3578</v>
      </c>
      <c r="H66" s="43" t="s">
        <v>268</v>
      </c>
      <c r="I66" s="186" t="s">
        <v>367</v>
      </c>
      <c r="J66" s="184" t="s">
        <v>256</v>
      </c>
    </row>
    <row r="67" spans="1:10" x14ac:dyDescent="0.2">
      <c r="A67" s="107"/>
      <c r="B67" s="24">
        <v>3612</v>
      </c>
      <c r="C67" s="24">
        <v>218</v>
      </c>
      <c r="D67" s="141" t="s">
        <v>301</v>
      </c>
      <c r="E67" s="34">
        <v>350</v>
      </c>
      <c r="F67" s="13"/>
      <c r="G67" s="43">
        <f>E67+F67</f>
        <v>350</v>
      </c>
      <c r="H67" s="43" t="s">
        <v>343</v>
      </c>
      <c r="I67" s="190" t="s">
        <v>273</v>
      </c>
      <c r="J67" s="178" t="s">
        <v>108</v>
      </c>
    </row>
    <row r="68" spans="1:10" x14ac:dyDescent="0.2">
      <c r="A68" s="107"/>
      <c r="B68" s="24">
        <v>3612</v>
      </c>
      <c r="C68" s="24">
        <v>326</v>
      </c>
      <c r="D68" s="141" t="s">
        <v>238</v>
      </c>
      <c r="E68" s="34"/>
      <c r="F68" s="13">
        <v>2000</v>
      </c>
      <c r="G68" s="43">
        <f t="shared" ref="G68:G82" si="11">E68+F68</f>
        <v>2000</v>
      </c>
      <c r="H68" s="43" t="s">
        <v>271</v>
      </c>
      <c r="I68" s="190" t="s">
        <v>273</v>
      </c>
      <c r="J68" s="178" t="s">
        <v>108</v>
      </c>
    </row>
    <row r="69" spans="1:10" x14ac:dyDescent="0.2">
      <c r="A69" s="107"/>
      <c r="B69" s="24">
        <v>3613</v>
      </c>
      <c r="C69" s="24">
        <v>316</v>
      </c>
      <c r="D69" s="141" t="s">
        <v>314</v>
      </c>
      <c r="E69" s="34">
        <v>422</v>
      </c>
      <c r="F69" s="13">
        <f>1500+2000</f>
        <v>3500</v>
      </c>
      <c r="G69" s="43">
        <f t="shared" si="11"/>
        <v>3922</v>
      </c>
      <c r="H69" s="43"/>
      <c r="I69" s="190" t="s">
        <v>148</v>
      </c>
      <c r="J69" s="178" t="s">
        <v>108</v>
      </c>
    </row>
    <row r="70" spans="1:10" x14ac:dyDescent="0.2">
      <c r="A70" s="107"/>
      <c r="B70" s="24">
        <v>3613</v>
      </c>
      <c r="C70" s="24">
        <v>317</v>
      </c>
      <c r="D70" s="141" t="s">
        <v>194</v>
      </c>
      <c r="E70" s="34">
        <v>150</v>
      </c>
      <c r="F70" s="13"/>
      <c r="G70" s="43">
        <f t="shared" si="11"/>
        <v>150</v>
      </c>
      <c r="H70" s="43"/>
      <c r="I70" s="192" t="s">
        <v>282</v>
      </c>
      <c r="J70" s="178" t="s">
        <v>66</v>
      </c>
    </row>
    <row r="71" spans="1:10" x14ac:dyDescent="0.2">
      <c r="A71" s="107"/>
      <c r="B71" s="24">
        <v>3613</v>
      </c>
      <c r="C71" s="24">
        <v>703</v>
      </c>
      <c r="D71" s="141" t="s">
        <v>116</v>
      </c>
      <c r="E71" s="34">
        <v>300</v>
      </c>
      <c r="F71" s="13"/>
      <c r="G71" s="43">
        <f t="shared" si="11"/>
        <v>300</v>
      </c>
      <c r="H71" s="43" t="s">
        <v>360</v>
      </c>
      <c r="I71" s="186" t="s">
        <v>367</v>
      </c>
      <c r="J71" s="184" t="s">
        <v>256</v>
      </c>
    </row>
    <row r="72" spans="1:10" x14ac:dyDescent="0.2">
      <c r="A72" s="107"/>
      <c r="B72" s="24">
        <v>3613</v>
      </c>
      <c r="C72" s="24">
        <v>703</v>
      </c>
      <c r="D72" s="141" t="s">
        <v>117</v>
      </c>
      <c r="E72" s="34">
        <v>331</v>
      </c>
      <c r="F72" s="13"/>
      <c r="G72" s="43">
        <f t="shared" si="11"/>
        <v>331</v>
      </c>
      <c r="H72" s="43"/>
      <c r="I72" s="186" t="s">
        <v>367</v>
      </c>
      <c r="J72" s="184" t="s">
        <v>256</v>
      </c>
    </row>
    <row r="73" spans="1:10" x14ac:dyDescent="0.2">
      <c r="A73" s="107"/>
      <c r="B73" s="24"/>
      <c r="C73" s="24"/>
      <c r="D73" s="251" t="s">
        <v>348</v>
      </c>
      <c r="E73" s="34">
        <f>2797-646</f>
        <v>2151</v>
      </c>
      <c r="F73" s="13"/>
      <c r="G73" s="43">
        <f t="shared" si="11"/>
        <v>2151</v>
      </c>
      <c r="H73" s="43" t="s">
        <v>352</v>
      </c>
      <c r="I73" s="190" t="s">
        <v>287</v>
      </c>
      <c r="J73" s="178" t="s">
        <v>273</v>
      </c>
    </row>
    <row r="74" spans="1:10" x14ac:dyDescent="0.2">
      <c r="A74" s="107"/>
      <c r="B74" s="24">
        <v>3631</v>
      </c>
      <c r="C74" s="24">
        <v>107</v>
      </c>
      <c r="D74" s="141" t="s">
        <v>74</v>
      </c>
      <c r="E74" s="34">
        <v>1620</v>
      </c>
      <c r="F74" s="13"/>
      <c r="G74" s="43">
        <f t="shared" si="11"/>
        <v>1620</v>
      </c>
      <c r="H74" s="43"/>
      <c r="I74" s="190" t="s">
        <v>189</v>
      </c>
      <c r="J74" s="178" t="s">
        <v>108</v>
      </c>
    </row>
    <row r="75" spans="1:10" x14ac:dyDescent="0.2">
      <c r="A75" s="107"/>
      <c r="B75" s="24">
        <v>3632</v>
      </c>
      <c r="C75" s="24">
        <v>238</v>
      </c>
      <c r="D75" s="141" t="s">
        <v>36</v>
      </c>
      <c r="E75" s="34">
        <v>360</v>
      </c>
      <c r="F75" s="13">
        <v>300</v>
      </c>
      <c r="G75" s="43">
        <f t="shared" si="11"/>
        <v>660</v>
      </c>
      <c r="H75" s="43" t="s">
        <v>319</v>
      </c>
      <c r="I75" s="192" t="s">
        <v>282</v>
      </c>
      <c r="J75" s="178" t="s">
        <v>66</v>
      </c>
    </row>
    <row r="76" spans="1:10" x14ac:dyDescent="0.2">
      <c r="A76" s="107"/>
      <c r="B76" s="24">
        <v>3635</v>
      </c>
      <c r="C76" s="24">
        <v>248</v>
      </c>
      <c r="D76" s="141" t="s">
        <v>197</v>
      </c>
      <c r="E76" s="34">
        <v>100</v>
      </c>
      <c r="F76" s="13"/>
      <c r="G76" s="43">
        <f t="shared" si="11"/>
        <v>100</v>
      </c>
      <c r="H76" s="43"/>
      <c r="I76" s="193" t="s">
        <v>196</v>
      </c>
      <c r="J76" s="185" t="s">
        <v>195</v>
      </c>
    </row>
    <row r="77" spans="1:10" x14ac:dyDescent="0.2">
      <c r="A77" s="107"/>
      <c r="B77" s="24">
        <v>3636</v>
      </c>
      <c r="C77" s="24">
        <v>249</v>
      </c>
      <c r="D77" s="141" t="s">
        <v>223</v>
      </c>
      <c r="E77" s="34">
        <v>141</v>
      </c>
      <c r="F77" s="13"/>
      <c r="G77" s="43">
        <f t="shared" si="11"/>
        <v>141</v>
      </c>
      <c r="H77" s="13"/>
      <c r="I77" s="190" t="s">
        <v>273</v>
      </c>
      <c r="J77" s="178" t="s">
        <v>108</v>
      </c>
    </row>
    <row r="78" spans="1:10" x14ac:dyDescent="0.2">
      <c r="A78" s="107"/>
      <c r="B78" s="24">
        <v>3639</v>
      </c>
      <c r="C78" s="24">
        <v>108</v>
      </c>
      <c r="D78" s="141" t="s">
        <v>90</v>
      </c>
      <c r="E78" s="34">
        <v>500</v>
      </c>
      <c r="F78" s="13"/>
      <c r="G78" s="43">
        <f t="shared" si="11"/>
        <v>500</v>
      </c>
      <c r="H78" s="43"/>
      <c r="I78" s="190" t="s">
        <v>148</v>
      </c>
      <c r="J78" s="178" t="s">
        <v>66</v>
      </c>
    </row>
    <row r="79" spans="1:10" x14ac:dyDescent="0.2">
      <c r="A79" s="107"/>
      <c r="B79" s="24">
        <v>3639</v>
      </c>
      <c r="C79" s="24">
        <v>239</v>
      </c>
      <c r="D79" s="141" t="s">
        <v>179</v>
      </c>
      <c r="E79" s="34">
        <v>561</v>
      </c>
      <c r="F79" s="13"/>
      <c r="G79" s="43">
        <f t="shared" si="11"/>
        <v>561</v>
      </c>
      <c r="H79" s="43"/>
      <c r="I79" s="190" t="s">
        <v>189</v>
      </c>
      <c r="J79" s="178" t="s">
        <v>108</v>
      </c>
    </row>
    <row r="80" spans="1:10" x14ac:dyDescent="0.2">
      <c r="A80" s="107"/>
      <c r="B80" s="24">
        <v>3639</v>
      </c>
      <c r="C80" s="24">
        <v>243</v>
      </c>
      <c r="D80" s="141" t="s">
        <v>143</v>
      </c>
      <c r="E80" s="34">
        <f>62+271</f>
        <v>333</v>
      </c>
      <c r="F80" s="13"/>
      <c r="G80" s="43">
        <f t="shared" si="11"/>
        <v>333</v>
      </c>
      <c r="H80" s="43"/>
      <c r="I80" s="192" t="s">
        <v>66</v>
      </c>
      <c r="J80" s="178" t="s">
        <v>274</v>
      </c>
    </row>
    <row r="81" spans="1:10" x14ac:dyDescent="0.2">
      <c r="A81" s="107"/>
      <c r="B81" s="24">
        <v>3639</v>
      </c>
      <c r="C81" s="24">
        <v>319</v>
      </c>
      <c r="D81" s="141" t="s">
        <v>234</v>
      </c>
      <c r="E81" s="34">
        <v>227</v>
      </c>
      <c r="F81" s="13"/>
      <c r="G81" s="43">
        <f t="shared" si="11"/>
        <v>227</v>
      </c>
      <c r="H81" s="43" t="s">
        <v>272</v>
      </c>
      <c r="I81" s="192" t="s">
        <v>282</v>
      </c>
      <c r="J81" s="178" t="s">
        <v>66</v>
      </c>
    </row>
    <row r="82" spans="1:10" x14ac:dyDescent="0.2">
      <c r="A82" s="109"/>
      <c r="B82" s="29">
        <v>3639</v>
      </c>
      <c r="C82" s="29">
        <v>319.20999999999998</v>
      </c>
      <c r="D82" s="250" t="s">
        <v>232</v>
      </c>
      <c r="E82" s="34">
        <f>21+69</f>
        <v>90</v>
      </c>
      <c r="F82" s="13"/>
      <c r="G82" s="43">
        <f t="shared" si="11"/>
        <v>90</v>
      </c>
      <c r="H82" s="49"/>
      <c r="I82" s="252" t="s">
        <v>282</v>
      </c>
      <c r="J82" s="180" t="s">
        <v>66</v>
      </c>
    </row>
    <row r="83" spans="1:10" x14ac:dyDescent="0.2">
      <c r="A83" s="108">
        <v>37</v>
      </c>
      <c r="B83" s="19"/>
      <c r="C83" s="19"/>
      <c r="D83" s="249" t="s">
        <v>106</v>
      </c>
      <c r="E83" s="44">
        <f>SUM(E84:E92)</f>
        <v>13484</v>
      </c>
      <c r="F83" s="45">
        <f>SUM(F84:F92)</f>
        <v>1155</v>
      </c>
      <c r="G83" s="46">
        <f>SUM(G84:G92)</f>
        <v>14639</v>
      </c>
      <c r="H83" s="46"/>
      <c r="I83" s="41"/>
      <c r="J83" s="59"/>
    </row>
    <row r="84" spans="1:10" x14ac:dyDescent="0.2">
      <c r="A84" s="107"/>
      <c r="B84" s="24">
        <v>3722</v>
      </c>
      <c r="C84" s="24">
        <v>240</v>
      </c>
      <c r="D84" s="141" t="s">
        <v>75</v>
      </c>
      <c r="E84" s="34">
        <v>5973</v>
      </c>
      <c r="F84" s="13"/>
      <c r="G84" s="43">
        <f t="shared" ref="G84:G92" si="12">E84+F84</f>
        <v>5973</v>
      </c>
      <c r="H84" s="43"/>
      <c r="I84" s="190" t="s">
        <v>287</v>
      </c>
      <c r="J84" s="178" t="s">
        <v>189</v>
      </c>
    </row>
    <row r="85" spans="1:10" x14ac:dyDescent="0.2">
      <c r="A85" s="107"/>
      <c r="B85" s="24">
        <v>3722</v>
      </c>
      <c r="C85" s="24">
        <v>5110</v>
      </c>
      <c r="D85" s="141" t="s">
        <v>244</v>
      </c>
      <c r="E85" s="34">
        <f>300+607</f>
        <v>907</v>
      </c>
      <c r="F85" s="13"/>
      <c r="G85" s="43">
        <f t="shared" si="12"/>
        <v>907</v>
      </c>
      <c r="H85" s="43" t="s">
        <v>363</v>
      </c>
      <c r="I85" s="190" t="s">
        <v>287</v>
      </c>
      <c r="J85" s="178" t="s">
        <v>189</v>
      </c>
    </row>
    <row r="86" spans="1:10" x14ac:dyDescent="0.2">
      <c r="A86" s="107"/>
      <c r="B86" s="24">
        <v>3722</v>
      </c>
      <c r="C86" s="24">
        <v>250</v>
      </c>
      <c r="D86" s="251" t="s">
        <v>312</v>
      </c>
      <c r="E86" s="34">
        <v>45</v>
      </c>
      <c r="F86" s="13">
        <v>55</v>
      </c>
      <c r="G86" s="43">
        <f t="shared" si="12"/>
        <v>100</v>
      </c>
      <c r="H86" s="241" t="s">
        <v>350</v>
      </c>
      <c r="I86" s="190" t="s">
        <v>287</v>
      </c>
      <c r="J86" s="178" t="s">
        <v>273</v>
      </c>
    </row>
    <row r="87" spans="1:10" x14ac:dyDescent="0.2">
      <c r="A87" s="107"/>
      <c r="B87" s="24">
        <v>3722</v>
      </c>
      <c r="C87" s="24"/>
      <c r="D87" s="141" t="s">
        <v>340</v>
      </c>
      <c r="E87" s="34">
        <v>230</v>
      </c>
      <c r="F87" s="13"/>
      <c r="G87" s="43">
        <f t="shared" si="12"/>
        <v>230</v>
      </c>
      <c r="H87" s="43"/>
      <c r="I87" s="190" t="s">
        <v>287</v>
      </c>
      <c r="J87" s="178" t="s">
        <v>273</v>
      </c>
    </row>
    <row r="88" spans="1:10" x14ac:dyDescent="0.2">
      <c r="A88" s="107"/>
      <c r="B88" s="24">
        <v>3745</v>
      </c>
      <c r="C88" s="24">
        <v>241</v>
      </c>
      <c r="D88" s="141" t="s">
        <v>76</v>
      </c>
      <c r="E88" s="34">
        <f>2026+1653</f>
        <v>3679</v>
      </c>
      <c r="F88" s="13"/>
      <c r="G88" s="43">
        <f t="shared" si="12"/>
        <v>3679</v>
      </c>
      <c r="H88" s="43"/>
      <c r="I88" s="190" t="s">
        <v>250</v>
      </c>
      <c r="J88" s="178" t="s">
        <v>189</v>
      </c>
    </row>
    <row r="89" spans="1:10" x14ac:dyDescent="0.2">
      <c r="A89" s="107"/>
      <c r="B89" s="24">
        <v>3745</v>
      </c>
      <c r="C89" s="24">
        <v>242</v>
      </c>
      <c r="D89" s="141" t="s">
        <v>210</v>
      </c>
      <c r="E89" s="34">
        <v>460</v>
      </c>
      <c r="F89" s="13"/>
      <c r="G89" s="43">
        <f t="shared" si="12"/>
        <v>460</v>
      </c>
      <c r="H89" s="43"/>
      <c r="I89" s="190" t="s">
        <v>250</v>
      </c>
      <c r="J89" s="178" t="s">
        <v>189</v>
      </c>
    </row>
    <row r="90" spans="1:10" x14ac:dyDescent="0.2">
      <c r="A90" s="107"/>
      <c r="B90" s="24">
        <v>3745</v>
      </c>
      <c r="C90" s="24">
        <v>244</v>
      </c>
      <c r="D90" s="251" t="s">
        <v>260</v>
      </c>
      <c r="E90" s="34">
        <v>40</v>
      </c>
      <c r="F90" s="13"/>
      <c r="G90" s="43">
        <f t="shared" si="12"/>
        <v>40</v>
      </c>
      <c r="H90" s="241" t="s">
        <v>261</v>
      </c>
      <c r="I90" s="190" t="s">
        <v>250</v>
      </c>
      <c r="J90" s="178" t="s">
        <v>273</v>
      </c>
    </row>
    <row r="91" spans="1:10" x14ac:dyDescent="0.2">
      <c r="A91" s="107"/>
      <c r="B91" s="24">
        <v>3745</v>
      </c>
      <c r="C91" s="24"/>
      <c r="D91" s="251" t="s">
        <v>336</v>
      </c>
      <c r="E91" s="34">
        <v>650</v>
      </c>
      <c r="F91" s="13"/>
      <c r="G91" s="43">
        <f t="shared" si="12"/>
        <v>650</v>
      </c>
      <c r="H91" s="241" t="s">
        <v>261</v>
      </c>
      <c r="I91" s="190" t="s">
        <v>250</v>
      </c>
      <c r="J91" s="178" t="s">
        <v>273</v>
      </c>
    </row>
    <row r="92" spans="1:10" x14ac:dyDescent="0.2">
      <c r="A92" s="109"/>
      <c r="B92" s="29">
        <v>3745</v>
      </c>
      <c r="C92" s="29">
        <v>246</v>
      </c>
      <c r="D92" s="250" t="s">
        <v>246</v>
      </c>
      <c r="E92" s="47">
        <f>1200+300</f>
        <v>1500</v>
      </c>
      <c r="F92" s="50">
        <f>800+300</f>
        <v>1100</v>
      </c>
      <c r="G92" s="49">
        <f t="shared" si="12"/>
        <v>2600</v>
      </c>
      <c r="H92" s="49" t="s">
        <v>284</v>
      </c>
      <c r="I92" s="252" t="s">
        <v>365</v>
      </c>
      <c r="J92" s="180" t="s">
        <v>273</v>
      </c>
    </row>
    <row r="93" spans="1:10" x14ac:dyDescent="0.2">
      <c r="A93" s="72">
        <v>43</v>
      </c>
      <c r="B93" s="27">
        <v>4300</v>
      </c>
      <c r="C93" s="27"/>
      <c r="D93" s="243" t="s">
        <v>77</v>
      </c>
      <c r="E93" s="41">
        <f t="shared" ref="E93:G93" si="13">SUM(E94:E97)</f>
        <v>6227</v>
      </c>
      <c r="F93" s="15">
        <f t="shared" si="13"/>
        <v>1250</v>
      </c>
      <c r="G93" s="42">
        <f t="shared" si="13"/>
        <v>7477</v>
      </c>
      <c r="H93" s="42"/>
      <c r="I93" s="41"/>
      <c r="J93" s="59"/>
    </row>
    <row r="94" spans="1:10" x14ac:dyDescent="0.2">
      <c r="A94" s="107"/>
      <c r="B94" s="24">
        <v>4349</v>
      </c>
      <c r="C94" s="24">
        <v>228</v>
      </c>
      <c r="D94" s="141" t="s">
        <v>198</v>
      </c>
      <c r="E94" s="13">
        <f>70+300</f>
        <v>370</v>
      </c>
      <c r="F94" s="13"/>
      <c r="G94" s="43">
        <f>E94+F94</f>
        <v>370</v>
      </c>
      <c r="H94" s="43" t="s">
        <v>329</v>
      </c>
      <c r="I94" s="48" t="s">
        <v>248</v>
      </c>
      <c r="J94" s="43" t="s">
        <v>265</v>
      </c>
    </row>
    <row r="95" spans="1:10" x14ac:dyDescent="0.2">
      <c r="A95" s="107"/>
      <c r="B95" s="24">
        <v>4351</v>
      </c>
      <c r="C95" s="24">
        <v>227</v>
      </c>
      <c r="D95" s="141" t="s">
        <v>37</v>
      </c>
      <c r="E95" s="34">
        <f>425+3964</f>
        <v>4389</v>
      </c>
      <c r="F95" s="13">
        <f>350+100</f>
        <v>450</v>
      </c>
      <c r="G95" s="43">
        <f>E95+F95</f>
        <v>4839</v>
      </c>
      <c r="H95" s="43" t="s">
        <v>331</v>
      </c>
      <c r="I95" s="194" t="s">
        <v>154</v>
      </c>
      <c r="J95" s="140" t="s">
        <v>78</v>
      </c>
    </row>
    <row r="96" spans="1:10" x14ac:dyDescent="0.2">
      <c r="A96" s="107"/>
      <c r="B96" s="24">
        <v>4355</v>
      </c>
      <c r="C96" s="24">
        <v>307</v>
      </c>
      <c r="D96" s="141" t="s">
        <v>212</v>
      </c>
      <c r="E96" s="34">
        <f>712+756</f>
        <v>1468</v>
      </c>
      <c r="F96" s="13">
        <f>500+200</f>
        <v>700</v>
      </c>
      <c r="G96" s="43">
        <f>E96+F96</f>
        <v>2168</v>
      </c>
      <c r="H96" s="43" t="s">
        <v>373</v>
      </c>
      <c r="I96" s="189" t="s">
        <v>191</v>
      </c>
      <c r="J96" s="177" t="s">
        <v>68</v>
      </c>
    </row>
    <row r="97" spans="1:10" ht="12.75" customHeight="1" x14ac:dyDescent="0.2">
      <c r="A97" s="107"/>
      <c r="B97" s="24">
        <v>4359</v>
      </c>
      <c r="C97" s="24">
        <v>226</v>
      </c>
      <c r="D97" s="251" t="s">
        <v>286</v>
      </c>
      <c r="E97" s="34"/>
      <c r="F97" s="13">
        <v>100</v>
      </c>
      <c r="G97" s="43">
        <f>E97+F97</f>
        <v>100</v>
      </c>
      <c r="H97" s="241" t="s">
        <v>347</v>
      </c>
      <c r="I97" s="190" t="s">
        <v>273</v>
      </c>
      <c r="J97" s="180" t="s">
        <v>108</v>
      </c>
    </row>
    <row r="98" spans="1:10" x14ac:dyDescent="0.2">
      <c r="A98" s="108">
        <v>53</v>
      </c>
      <c r="B98" s="19">
        <v>5300</v>
      </c>
      <c r="C98" s="19"/>
      <c r="D98" s="249" t="s">
        <v>95</v>
      </c>
      <c r="E98" s="44">
        <f t="shared" ref="E98:G98" si="14">SUM(E99:E102)</f>
        <v>3581</v>
      </c>
      <c r="F98" s="45">
        <f t="shared" si="14"/>
        <v>7079</v>
      </c>
      <c r="G98" s="46">
        <f t="shared" si="14"/>
        <v>10660</v>
      </c>
      <c r="H98" s="46"/>
      <c r="I98" s="44"/>
      <c r="J98" s="59"/>
    </row>
    <row r="99" spans="1:10" x14ac:dyDescent="0.2">
      <c r="A99" s="72"/>
      <c r="B99" s="24">
        <v>5272</v>
      </c>
      <c r="C99" s="28">
        <v>320</v>
      </c>
      <c r="D99" s="141" t="s">
        <v>129</v>
      </c>
      <c r="E99" s="34">
        <f>243</f>
        <v>243</v>
      </c>
      <c r="F99" s="13"/>
      <c r="G99" s="43">
        <f>E99+F99</f>
        <v>243</v>
      </c>
      <c r="H99" s="43"/>
      <c r="I99" s="210" t="s">
        <v>199</v>
      </c>
      <c r="J99" s="179" t="s">
        <v>192</v>
      </c>
    </row>
    <row r="100" spans="1:10" ht="13.5" customHeight="1" x14ac:dyDescent="0.2">
      <c r="A100" s="107"/>
      <c r="B100" s="24">
        <v>5311</v>
      </c>
      <c r="C100" s="24">
        <v>321</v>
      </c>
      <c r="D100" s="141" t="s">
        <v>79</v>
      </c>
      <c r="E100" s="34">
        <f>375+2104+25</f>
        <v>2504</v>
      </c>
      <c r="F100" s="13"/>
      <c r="G100" s="43">
        <f>E100+F100</f>
        <v>2504</v>
      </c>
      <c r="H100" s="43" t="s">
        <v>357</v>
      </c>
      <c r="I100" s="195" t="s">
        <v>147</v>
      </c>
      <c r="J100" s="179" t="s">
        <v>255</v>
      </c>
    </row>
    <row r="101" spans="1:10" ht="13.5" customHeight="1" x14ac:dyDescent="0.2">
      <c r="A101" s="107"/>
      <c r="B101" s="24">
        <v>5512</v>
      </c>
      <c r="C101" s="24">
        <v>224</v>
      </c>
      <c r="D101" s="141" t="s">
        <v>245</v>
      </c>
      <c r="E101" s="34">
        <v>450</v>
      </c>
      <c r="F101" s="13"/>
      <c r="G101" s="43">
        <f>E101+F101</f>
        <v>450</v>
      </c>
      <c r="H101" s="43" t="s">
        <v>333</v>
      </c>
      <c r="I101" s="190" t="s">
        <v>148</v>
      </c>
      <c r="J101" s="178" t="s">
        <v>108</v>
      </c>
    </row>
    <row r="102" spans="1:10" x14ac:dyDescent="0.2">
      <c r="A102" s="107"/>
      <c r="B102" s="24">
        <v>5512</v>
      </c>
      <c r="C102" s="24">
        <v>223</v>
      </c>
      <c r="D102" s="141" t="s">
        <v>184</v>
      </c>
      <c r="E102" s="34">
        <v>384</v>
      </c>
      <c r="F102" s="13">
        <f>6329+750</f>
        <v>7079</v>
      </c>
      <c r="G102" s="43">
        <f>E102+F102</f>
        <v>7463</v>
      </c>
      <c r="H102" s="43" t="s">
        <v>330</v>
      </c>
      <c r="I102" s="51" t="s">
        <v>150</v>
      </c>
      <c r="J102" s="253" t="s">
        <v>255</v>
      </c>
    </row>
    <row r="103" spans="1:10" x14ac:dyDescent="0.2">
      <c r="A103" s="108">
        <v>61</v>
      </c>
      <c r="B103" s="19">
        <v>6100</v>
      </c>
      <c r="C103" s="19"/>
      <c r="D103" s="249" t="s">
        <v>80</v>
      </c>
      <c r="E103" s="44">
        <f t="shared" ref="E103:G103" si="15">SUM(E104:E109)</f>
        <v>57080</v>
      </c>
      <c r="F103" s="45">
        <f t="shared" si="15"/>
        <v>2175</v>
      </c>
      <c r="G103" s="46">
        <f t="shared" si="15"/>
        <v>59255</v>
      </c>
      <c r="H103" s="46"/>
      <c r="I103" s="191"/>
      <c r="J103" s="59"/>
    </row>
    <row r="104" spans="1:10" x14ac:dyDescent="0.2">
      <c r="A104" s="107"/>
      <c r="B104" s="24">
        <v>6112</v>
      </c>
      <c r="C104" s="24">
        <v>314</v>
      </c>
      <c r="D104" s="141" t="s">
        <v>81</v>
      </c>
      <c r="E104" s="34">
        <f>60+2552</f>
        <v>2612</v>
      </c>
      <c r="F104" s="13"/>
      <c r="G104" s="43">
        <f>E104+F104</f>
        <v>2612</v>
      </c>
      <c r="H104" s="43"/>
      <c r="I104" s="187" t="s">
        <v>255</v>
      </c>
      <c r="J104" s="179" t="s">
        <v>192</v>
      </c>
    </row>
    <row r="105" spans="1:10" x14ac:dyDescent="0.2">
      <c r="A105" s="107"/>
      <c r="B105" s="24">
        <v>6118</v>
      </c>
      <c r="C105" s="24">
        <v>110</v>
      </c>
      <c r="D105" s="141" t="s">
        <v>315</v>
      </c>
      <c r="E105" s="34">
        <v>200</v>
      </c>
      <c r="F105" s="13"/>
      <c r="G105" s="43">
        <f t="shared" ref="G105:G108" si="16">E105+F105</f>
        <v>200</v>
      </c>
      <c r="H105" s="43"/>
      <c r="I105" s="187"/>
      <c r="J105" s="179" t="s">
        <v>368</v>
      </c>
    </row>
    <row r="106" spans="1:10" x14ac:dyDescent="0.2">
      <c r="A106" s="107"/>
      <c r="B106" s="24">
        <v>6171</v>
      </c>
      <c r="C106" s="24">
        <v>314</v>
      </c>
      <c r="D106" s="141" t="s">
        <v>92</v>
      </c>
      <c r="E106" s="34">
        <v>50098</v>
      </c>
      <c r="F106" s="13">
        <v>2175</v>
      </c>
      <c r="G106" s="43">
        <f t="shared" si="16"/>
        <v>52273</v>
      </c>
      <c r="H106" s="43"/>
      <c r="I106" s="196" t="s">
        <v>176</v>
      </c>
      <c r="J106" s="59"/>
    </row>
    <row r="107" spans="1:10" x14ac:dyDescent="0.2">
      <c r="A107" s="107"/>
      <c r="B107" s="24">
        <v>6171</v>
      </c>
      <c r="C107" s="24">
        <v>3005</v>
      </c>
      <c r="D107" s="251" t="s">
        <v>290</v>
      </c>
      <c r="E107" s="34">
        <v>1275</v>
      </c>
      <c r="F107" s="13"/>
      <c r="G107" s="43">
        <f t="shared" si="16"/>
        <v>1275</v>
      </c>
      <c r="H107" s="241" t="s">
        <v>294</v>
      </c>
      <c r="I107" s="48" t="s">
        <v>248</v>
      </c>
      <c r="J107" s="178" t="s">
        <v>108</v>
      </c>
    </row>
    <row r="108" spans="1:10" x14ac:dyDescent="0.2">
      <c r="A108" s="107"/>
      <c r="B108" s="24">
        <v>6171</v>
      </c>
      <c r="C108" s="24">
        <v>6206</v>
      </c>
      <c r="D108" s="251" t="s">
        <v>293</v>
      </c>
      <c r="E108" s="34">
        <v>2095</v>
      </c>
      <c r="F108" s="13"/>
      <c r="G108" s="43">
        <f t="shared" si="16"/>
        <v>2095</v>
      </c>
      <c r="H108" s="241" t="s">
        <v>294</v>
      </c>
      <c r="I108" s="48" t="s">
        <v>248</v>
      </c>
      <c r="J108" s="43" t="s">
        <v>265</v>
      </c>
    </row>
    <row r="109" spans="1:10" x14ac:dyDescent="0.2">
      <c r="A109" s="107"/>
      <c r="B109" s="24">
        <v>6171</v>
      </c>
      <c r="C109" s="24">
        <v>318</v>
      </c>
      <c r="D109" s="141" t="s">
        <v>208</v>
      </c>
      <c r="E109" s="34">
        <v>800</v>
      </c>
      <c r="F109" s="13"/>
      <c r="G109" s="43">
        <f>E109+F109</f>
        <v>800</v>
      </c>
      <c r="H109" s="43"/>
      <c r="I109" s="188" t="s">
        <v>148</v>
      </c>
      <c r="J109" s="180" t="s">
        <v>66</v>
      </c>
    </row>
    <row r="110" spans="1:10" x14ac:dyDescent="0.2">
      <c r="A110" s="108" t="s">
        <v>82</v>
      </c>
      <c r="B110" s="19">
        <v>6300</v>
      </c>
      <c r="C110" s="19"/>
      <c r="D110" s="249" t="s">
        <v>83</v>
      </c>
      <c r="E110" s="44">
        <f t="shared" ref="E110:G110" si="17">SUM(E111:E117)</f>
        <v>5045</v>
      </c>
      <c r="F110" s="45">
        <f t="shared" si="17"/>
        <v>700</v>
      </c>
      <c r="G110" s="46">
        <f t="shared" si="17"/>
        <v>5745</v>
      </c>
      <c r="H110" s="46"/>
      <c r="I110" s="191"/>
      <c r="J110" s="59"/>
    </row>
    <row r="111" spans="1:10" x14ac:dyDescent="0.2">
      <c r="A111" s="107"/>
      <c r="B111" s="24">
        <v>6320</v>
      </c>
      <c r="C111" s="24">
        <v>314</v>
      </c>
      <c r="D111" s="141" t="s">
        <v>185</v>
      </c>
      <c r="E111" s="34">
        <v>200</v>
      </c>
      <c r="F111" s="13"/>
      <c r="G111" s="43">
        <f t="shared" ref="G111:G117" si="18">E111+F111</f>
        <v>200</v>
      </c>
      <c r="H111" s="43"/>
      <c r="I111" s="192" t="s">
        <v>149</v>
      </c>
      <c r="J111" s="178" t="s">
        <v>66</v>
      </c>
    </row>
    <row r="112" spans="1:10" x14ac:dyDescent="0.2">
      <c r="A112" s="107"/>
      <c r="B112" s="24">
        <v>6399</v>
      </c>
      <c r="C112" s="24">
        <v>314</v>
      </c>
      <c r="D112" s="141" t="s">
        <v>209</v>
      </c>
      <c r="E112" s="34">
        <v>70</v>
      </c>
      <c r="F112" s="13"/>
      <c r="G112" s="43">
        <f t="shared" si="18"/>
        <v>70</v>
      </c>
      <c r="H112" s="43"/>
      <c r="I112" s="197" t="s">
        <v>68</v>
      </c>
      <c r="J112" s="179" t="s">
        <v>192</v>
      </c>
    </row>
    <row r="113" spans="1:10" x14ac:dyDescent="0.2">
      <c r="A113" s="107"/>
      <c r="B113" s="24">
        <v>6399</v>
      </c>
      <c r="C113" s="24">
        <v>315</v>
      </c>
      <c r="D113" s="141" t="s">
        <v>84</v>
      </c>
      <c r="E113" s="34">
        <v>2536</v>
      </c>
      <c r="F113" s="13"/>
      <c r="G113" s="43">
        <f t="shared" si="18"/>
        <v>2536</v>
      </c>
      <c r="H113" s="43" t="s">
        <v>186</v>
      </c>
      <c r="I113" s="189" t="s">
        <v>191</v>
      </c>
      <c r="J113" s="177" t="s">
        <v>68</v>
      </c>
    </row>
    <row r="114" spans="1:10" x14ac:dyDescent="0.2">
      <c r="A114" s="107"/>
      <c r="B114" s="24">
        <v>6399</v>
      </c>
      <c r="C114" s="24">
        <v>665</v>
      </c>
      <c r="D114" s="141" t="s">
        <v>213</v>
      </c>
      <c r="E114" s="34">
        <v>1275</v>
      </c>
      <c r="F114" s="13"/>
      <c r="G114" s="43">
        <f t="shared" si="18"/>
        <v>1275</v>
      </c>
      <c r="H114" s="43" t="s">
        <v>335</v>
      </c>
      <c r="I114" s="189" t="s">
        <v>191</v>
      </c>
      <c r="J114" s="177" t="s">
        <v>68</v>
      </c>
    </row>
    <row r="115" spans="1:10" x14ac:dyDescent="0.2">
      <c r="A115" s="107"/>
      <c r="B115" s="24">
        <v>6402</v>
      </c>
      <c r="C115" s="24"/>
      <c r="D115" s="141" t="s">
        <v>308</v>
      </c>
      <c r="E115" s="34">
        <v>17</v>
      </c>
      <c r="F115" s="13"/>
      <c r="G115" s="43">
        <f t="shared" si="18"/>
        <v>17</v>
      </c>
      <c r="H115" s="43"/>
      <c r="I115" s="189" t="s">
        <v>191</v>
      </c>
      <c r="J115" s="177" t="s">
        <v>68</v>
      </c>
    </row>
    <row r="116" spans="1:10" x14ac:dyDescent="0.2">
      <c r="A116" s="107"/>
      <c r="B116" s="24">
        <v>6409</v>
      </c>
      <c r="C116" s="24">
        <v>100</v>
      </c>
      <c r="D116" s="141" t="s">
        <v>151</v>
      </c>
      <c r="E116" s="34">
        <v>379</v>
      </c>
      <c r="F116" s="13"/>
      <c r="G116" s="43">
        <f t="shared" si="18"/>
        <v>379</v>
      </c>
      <c r="H116" s="43"/>
      <c r="I116" s="189" t="s">
        <v>191</v>
      </c>
      <c r="J116" s="179" t="s">
        <v>255</v>
      </c>
    </row>
    <row r="117" spans="1:10" ht="13.5" thickBot="1" x14ac:dyDescent="0.25">
      <c r="A117" s="107"/>
      <c r="B117" s="24">
        <v>6409</v>
      </c>
      <c r="C117" s="24"/>
      <c r="D117" s="243" t="s">
        <v>132</v>
      </c>
      <c r="E117" s="34">
        <f>926-65+7-300</f>
        <v>568</v>
      </c>
      <c r="F117" s="13">
        <f>1000-300</f>
        <v>700</v>
      </c>
      <c r="G117" s="43">
        <f t="shared" si="18"/>
        <v>1268</v>
      </c>
      <c r="H117" s="43"/>
      <c r="I117" s="189" t="s">
        <v>68</v>
      </c>
      <c r="J117" s="177" t="s">
        <v>266</v>
      </c>
    </row>
    <row r="118" spans="1:10" ht="16.5" thickBot="1" x14ac:dyDescent="0.3">
      <c r="A118" s="280"/>
      <c r="B118" s="93"/>
      <c r="C118" s="93"/>
      <c r="D118" s="281" t="s">
        <v>85</v>
      </c>
      <c r="E118" s="279">
        <f>SUM(E5+E9+E15+E27+E41+E54+E62+E64+E83+E93+E98+E103+E110)</f>
        <v>141863</v>
      </c>
      <c r="F118" s="279">
        <f>SUM(F5+F9+F15+F27+F41+F54+F62+F64+F83+F93+F98+F103+F110)</f>
        <v>72440</v>
      </c>
      <c r="G118" s="279">
        <f>SUM(G5+G9+G15+G27+G41+G54+G62+G64+G83+G93+G98+G103+G110)</f>
        <v>214303</v>
      </c>
      <c r="H118" s="282"/>
      <c r="I118" s="279"/>
      <c r="J118" s="283"/>
    </row>
    <row r="119" spans="1:10" x14ac:dyDescent="0.2">
      <c r="A119" s="32"/>
      <c r="B119" s="18"/>
      <c r="C119" s="18"/>
      <c r="D119" s="274"/>
      <c r="E119" s="18"/>
      <c r="F119" s="18"/>
      <c r="G119" s="110"/>
      <c r="H119" s="110"/>
      <c r="I119" s="18"/>
    </row>
    <row r="120" spans="1:10" x14ac:dyDescent="0.2">
      <c r="D120" s="155"/>
      <c r="E120" s="201"/>
      <c r="F120" s="201"/>
      <c r="G120" s="113"/>
      <c r="H120" s="260"/>
      <c r="I120" s="18"/>
    </row>
    <row r="121" spans="1:10" x14ac:dyDescent="0.2">
      <c r="D121" s="156"/>
      <c r="E121" s="201"/>
      <c r="F121" s="201"/>
      <c r="G121" s="113"/>
      <c r="H121" s="237"/>
      <c r="I121" s="18"/>
      <c r="J121" s="92"/>
    </row>
    <row r="122" spans="1:10" x14ac:dyDescent="0.2">
      <c r="D122" s="156"/>
      <c r="E122" s="92"/>
      <c r="F122" s="92"/>
      <c r="H122" s="237"/>
      <c r="I122" s="18"/>
      <c r="J122" s="92"/>
    </row>
    <row r="123" spans="1:10" x14ac:dyDescent="0.2">
      <c r="D123" s="155"/>
      <c r="E123" s="92"/>
      <c r="F123" s="92"/>
      <c r="H123" s="101"/>
      <c r="I123" s="18"/>
    </row>
    <row r="124" spans="1:10" x14ac:dyDescent="0.2">
      <c r="D124" s="155"/>
      <c r="E124" s="92"/>
      <c r="F124" s="92"/>
      <c r="H124" s="237"/>
    </row>
    <row r="125" spans="1:10" x14ac:dyDescent="0.2">
      <c r="D125" s="155"/>
      <c r="E125" s="92"/>
      <c r="F125" s="92"/>
      <c r="I125" s="53"/>
    </row>
    <row r="126" spans="1:10" x14ac:dyDescent="0.2">
      <c r="D126" s="155"/>
      <c r="E126" s="92"/>
      <c r="F126" s="92"/>
      <c r="H126" s="101"/>
      <c r="I126" s="52"/>
    </row>
    <row r="127" spans="1:10" x14ac:dyDescent="0.2">
      <c r="D127" s="155"/>
      <c r="E127" s="92"/>
      <c r="F127" s="92"/>
      <c r="H127" s="101"/>
      <c r="I127" s="52"/>
    </row>
    <row r="128" spans="1:10" x14ac:dyDescent="0.2">
      <c r="D128" s="155"/>
      <c r="E128" s="92"/>
      <c r="F128" s="92"/>
      <c r="H128" s="263"/>
    </row>
    <row r="129" spans="4:6" x14ac:dyDescent="0.2">
      <c r="D129" s="155"/>
      <c r="E129" s="92"/>
      <c r="F129" s="92"/>
    </row>
    <row r="130" spans="4:6" x14ac:dyDescent="0.2">
      <c r="E130" s="92"/>
      <c r="F130" s="92"/>
    </row>
    <row r="131" spans="4:6" x14ac:dyDescent="0.2">
      <c r="D131" s="155"/>
      <c r="E131" s="92"/>
      <c r="F131" s="92"/>
    </row>
    <row r="132" spans="4:6" x14ac:dyDescent="0.2">
      <c r="D132" s="155"/>
      <c r="E132" s="92"/>
      <c r="F132" s="92"/>
    </row>
    <row r="133" spans="4:6" x14ac:dyDescent="0.2">
      <c r="D133" s="155"/>
      <c r="E133" s="92"/>
      <c r="F133" s="92"/>
    </row>
    <row r="134" spans="4:6" x14ac:dyDescent="0.2">
      <c r="D134" s="155"/>
      <c r="E134" s="92"/>
      <c r="F134" s="92"/>
    </row>
    <row r="135" spans="4:6" x14ac:dyDescent="0.2">
      <c r="E135" s="92"/>
      <c r="F135" s="92"/>
    </row>
    <row r="136" spans="4:6" x14ac:dyDescent="0.2">
      <c r="E136" s="92"/>
      <c r="F136" s="92"/>
    </row>
    <row r="137" spans="4:6" x14ac:dyDescent="0.2">
      <c r="D137" s="155"/>
      <c r="E137" s="92"/>
      <c r="F137" s="92"/>
    </row>
    <row r="140" spans="4:6" x14ac:dyDescent="0.2">
      <c r="D140" s="156"/>
    </row>
    <row r="141" spans="4:6" x14ac:dyDescent="0.2">
      <c r="D141" s="156"/>
    </row>
    <row r="142" spans="4:6" x14ac:dyDescent="0.2">
      <c r="D142" s="156"/>
    </row>
    <row r="143" spans="4:6" x14ac:dyDescent="0.2">
      <c r="D143" s="156"/>
    </row>
  </sheetData>
  <sortState ref="A90:HH93">
    <sortCondition ref="B90:B93"/>
  </sortState>
  <phoneticPr fontId="6" type="noConversion"/>
  <pageMargins left="0.15748031496062992" right="0.19685039370078741" top="0.23622047244094491" bottom="0.23622047244094491" header="0.15748031496062992" footer="0.23622047244094491"/>
  <pageSetup paperSize="9" scale="96" orientation="portrait" verticalDpi="300" r:id="rId1"/>
  <headerFooter alignWithMargins="0">
    <oddHeader xml:space="preserve">&amp;R&amp;P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sumář</vt:lpstr>
      <vt:lpstr>příjmy</vt:lpstr>
      <vt:lpstr>výdaje</vt:lpstr>
      <vt:lpstr>příjmy!Názvy_tisku</vt:lpstr>
      <vt:lpstr>výdaje!Názvy_tisku</vt:lpstr>
      <vt:lpstr>příjmy!Oblast_tisku</vt:lpstr>
      <vt:lpstr>výdaje!Oblast_tisku</vt:lpstr>
    </vt:vector>
  </TitlesOfParts>
  <Company>Jilemnice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Jilemnice</dc:creator>
  <cp:lastModifiedBy>Město Jilemnice</cp:lastModifiedBy>
  <cp:lastPrinted>2018-03-13T08:14:46Z</cp:lastPrinted>
  <dcterms:created xsi:type="dcterms:W3CDTF">1999-02-03T10:11:29Z</dcterms:created>
  <dcterms:modified xsi:type="dcterms:W3CDTF">2018-03-13T08:15:08Z</dcterms:modified>
</cp:coreProperties>
</file>