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4505" yWindow="-15" windowWidth="14310" windowHeight="14265" tabRatio="689"/>
  </bookViews>
  <sheets>
    <sheet name="sumář" sheetId="1" r:id="rId1"/>
    <sheet name="příjmy" sheetId="2" r:id="rId2"/>
    <sheet name="výdaje" sheetId="3" r:id="rId3"/>
    <sheet name="okruhy rozpočtu" sheetId="14" r:id="rId4"/>
    <sheet name="Projekty" sheetId="21" r:id="rId5"/>
  </sheets>
  <definedNames>
    <definedName name="_xlnm.Print_Titles" localSheetId="1">příjmy!$A:$E,příjmy!$1:$3</definedName>
    <definedName name="_xlnm.Print_Titles" localSheetId="2">výdaje!$A:$D,výdaje!$1:$4</definedName>
    <definedName name="_xlnm.Print_Area" localSheetId="1">příjmy!$A$1:$T$143</definedName>
    <definedName name="_xlnm.Print_Area" localSheetId="2">výdaje!$A$1:$AJ$132</definedName>
  </definedNames>
  <calcPr calcId="145621"/>
</workbook>
</file>

<file path=xl/calcChain.xml><?xml version="1.0" encoding="utf-8"?>
<calcChain xmlns="http://schemas.openxmlformats.org/spreadsheetml/2006/main">
  <c r="G8" i="21" l="1"/>
  <c r="I8" i="21"/>
  <c r="AD130" i="3" l="1"/>
  <c r="AF63" i="3"/>
  <c r="J8" i="21" l="1"/>
  <c r="AF22" i="3" l="1"/>
  <c r="AD67" i="3" l="1"/>
  <c r="AE25" i="3" l="1"/>
  <c r="I21" i="21" l="1"/>
  <c r="O19" i="21"/>
  <c r="N19" i="21"/>
  <c r="M19" i="21"/>
  <c r="H19" i="21"/>
  <c r="P18" i="21"/>
  <c r="P19" i="21" s="1"/>
  <c r="G18" i="21"/>
  <c r="I18" i="21" s="1"/>
  <c r="I17" i="21"/>
  <c r="R17" i="21" s="1"/>
  <c r="I16" i="21"/>
  <c r="R16" i="21" s="1"/>
  <c r="I15" i="21"/>
  <c r="R15" i="21" s="1"/>
  <c r="Q14" i="21"/>
  <c r="I14" i="21"/>
  <c r="I13" i="21"/>
  <c r="I11" i="21"/>
  <c r="Q11" i="21" s="1"/>
  <c r="Q8" i="21"/>
  <c r="R8" i="21"/>
  <c r="I7" i="21"/>
  <c r="R7" i="21" s="1"/>
  <c r="Q6" i="21"/>
  <c r="L6" i="21"/>
  <c r="L19" i="21" s="1"/>
  <c r="G6" i="21"/>
  <c r="I6" i="21" s="1"/>
  <c r="I5" i="21"/>
  <c r="I19" i="21" l="1"/>
  <c r="Q5" i="21"/>
  <c r="Q19" i="21" s="1"/>
  <c r="R19" i="21"/>
  <c r="G19" i="21"/>
  <c r="S9" i="2"/>
  <c r="S7" i="2"/>
  <c r="S6" i="2"/>
  <c r="AD13" i="3" l="1"/>
  <c r="AD45" i="3"/>
  <c r="AE107" i="3"/>
  <c r="AE64" i="3"/>
  <c r="AE20" i="3" l="1"/>
  <c r="AD18" i="3" l="1"/>
  <c r="AF66" i="3" l="1"/>
  <c r="I95" i="3" l="1"/>
  <c r="H95" i="3"/>
  <c r="AD94" i="3" l="1"/>
  <c r="Y65" i="3" l="1"/>
  <c r="AD35" i="3" l="1"/>
  <c r="AD82" i="3" l="1"/>
  <c r="I119" i="3" l="1"/>
  <c r="H119" i="3"/>
  <c r="H6" i="3" l="1"/>
  <c r="H9" i="3"/>
  <c r="G114" i="2"/>
  <c r="O68" i="2" l="1"/>
  <c r="Y116" i="3"/>
  <c r="Y83" i="3" l="1"/>
  <c r="Y111" i="3" l="1"/>
  <c r="O69" i="2"/>
  <c r="O23" i="2"/>
  <c r="AA128" i="3" l="1"/>
  <c r="Y122" i="3"/>
  <c r="Z119" i="3"/>
  <c r="Y119" i="3" s="1"/>
  <c r="AA117" i="3"/>
  <c r="AA118" i="3"/>
  <c r="AA116" i="3"/>
  <c r="Y95" i="3"/>
  <c r="AA95" i="3" s="1"/>
  <c r="Y91" i="3"/>
  <c r="Y84" i="3"/>
  <c r="AA78" i="3"/>
  <c r="Z69" i="3"/>
  <c r="Y69" i="3"/>
  <c r="AA70" i="3"/>
  <c r="Y68" i="3"/>
  <c r="AA49" i="3"/>
  <c r="AA50" i="3"/>
  <c r="AA51" i="3"/>
  <c r="AA52" i="3"/>
  <c r="AA53" i="3"/>
  <c r="AA54" i="3"/>
  <c r="AA55" i="3"/>
  <c r="Y38" i="3"/>
  <c r="Y36" i="3"/>
  <c r="Y35" i="3"/>
  <c r="Y34" i="3"/>
  <c r="Y31" i="3"/>
  <c r="Y24" i="3"/>
  <c r="Z20" i="3"/>
  <c r="AC100" i="3" l="1"/>
  <c r="AC96" i="3"/>
  <c r="AC82" i="3"/>
  <c r="AC78" i="3"/>
  <c r="AC64" i="3"/>
  <c r="AC54" i="3"/>
  <c r="AC49" i="3"/>
  <c r="AC42" i="3"/>
  <c r="AC37" i="3"/>
  <c r="AC25" i="3"/>
  <c r="AC7" i="3"/>
  <c r="O99" i="2" l="1"/>
  <c r="O98" i="2" s="1"/>
  <c r="O126" i="2" l="1"/>
  <c r="O125" i="2" s="1"/>
  <c r="O111" i="2"/>
  <c r="O112" i="2"/>
  <c r="O76" i="2" l="1"/>
  <c r="O57" i="2"/>
  <c r="O89" i="2"/>
  <c r="G89" i="2"/>
  <c r="H91" i="2"/>
  <c r="O91" i="2"/>
  <c r="O53" i="2"/>
  <c r="O90" i="2"/>
  <c r="O114" i="2"/>
  <c r="O59" i="2"/>
  <c r="O62" i="2"/>
  <c r="O52" i="2"/>
  <c r="O65" i="2"/>
  <c r="O60" i="2"/>
  <c r="O56" i="2"/>
  <c r="O43" i="2"/>
  <c r="O108" i="2"/>
  <c r="O82" i="2"/>
  <c r="O36" i="2"/>
  <c r="O18" i="2"/>
  <c r="O28" i="2"/>
  <c r="O16" i="2"/>
  <c r="Q128" i="2" l="1"/>
  <c r="Q127" i="2"/>
  <c r="Q116" i="2"/>
  <c r="Q110" i="2"/>
  <c r="Q102" i="2"/>
  <c r="Q99" i="2"/>
  <c r="Q92" i="2"/>
  <c r="Q91" i="2"/>
  <c r="Q77" i="2"/>
  <c r="Q67" i="2"/>
  <c r="Q66" i="2"/>
  <c r="Q46" i="2"/>
  <c r="Q45" i="2"/>
  <c r="O30" i="2"/>
  <c r="I65" i="3" l="1"/>
  <c r="H106" i="3"/>
  <c r="H107" i="3"/>
  <c r="H133" i="2"/>
  <c r="G129" i="2"/>
  <c r="G130" i="2"/>
  <c r="P133" i="2" l="1"/>
  <c r="Q133" i="2"/>
  <c r="AD105" i="3"/>
  <c r="AF65" i="3"/>
  <c r="AF64" i="3"/>
  <c r="AF49" i="3"/>
  <c r="AE17" i="3"/>
  <c r="AF17" i="3" s="1"/>
  <c r="AF8" i="3"/>
  <c r="S65" i="2"/>
  <c r="AH51" i="3" l="1"/>
  <c r="AD51" i="3"/>
  <c r="AH78" i="3" l="1"/>
  <c r="AF42" i="3"/>
  <c r="K83" i="3" l="1"/>
  <c r="W116" i="3"/>
  <c r="W117" i="3"/>
  <c r="W118" i="3"/>
  <c r="J62" i="3"/>
  <c r="S125" i="2" l="1"/>
  <c r="S112" i="2"/>
  <c r="AH111" i="3"/>
  <c r="AD111" i="3"/>
  <c r="AD115" i="3"/>
  <c r="AH110" i="3"/>
  <c r="AD110" i="3"/>
  <c r="AH106" i="3"/>
  <c r="AD106" i="3"/>
  <c r="AH97" i="3"/>
  <c r="AD97" i="3"/>
  <c r="H31" i="3" l="1"/>
  <c r="H134" i="2"/>
  <c r="G121" i="2"/>
  <c r="H113" i="3"/>
  <c r="G119" i="2"/>
  <c r="H111" i="3"/>
  <c r="G112" i="2"/>
  <c r="P134" i="2" l="1"/>
  <c r="Q134" i="2"/>
  <c r="AH107" i="3"/>
  <c r="AD107" i="3"/>
  <c r="AF37" i="3" l="1"/>
  <c r="AF70" i="3"/>
  <c r="AH62" i="3"/>
  <c r="AH69" i="3"/>
  <c r="AE69" i="3"/>
  <c r="AD69" i="3"/>
  <c r="AH113" i="3" l="1"/>
  <c r="AH89" i="3" l="1"/>
  <c r="AD89" i="3"/>
  <c r="AH45" i="3" l="1"/>
  <c r="AH6" i="3"/>
  <c r="AD6" i="3"/>
  <c r="AD33" i="3" l="1"/>
  <c r="AF116" i="3" l="1"/>
  <c r="AF117" i="3"/>
  <c r="AF118" i="3"/>
  <c r="AF55" i="3"/>
  <c r="AF82" i="3" l="1"/>
  <c r="AH20" i="3" l="1"/>
  <c r="AF128" i="3" l="1"/>
  <c r="AE78" i="3"/>
  <c r="AH47" i="3"/>
  <c r="AD47" i="3"/>
  <c r="AF95" i="3"/>
  <c r="AF96" i="3"/>
  <c r="AF25" i="3"/>
  <c r="AF100" i="3"/>
  <c r="S18" i="2" l="1"/>
  <c r="AF54" i="3" l="1"/>
  <c r="S126" i="2" l="1"/>
  <c r="AH34" i="3" l="1"/>
  <c r="AE106" i="3" l="1"/>
  <c r="S56" i="2"/>
  <c r="AE113" i="3" l="1"/>
  <c r="S57" i="2" l="1"/>
  <c r="S82" i="2"/>
  <c r="S23" i="2"/>
  <c r="S62" i="2" l="1"/>
  <c r="T109" i="2" l="1"/>
  <c r="T111" i="2"/>
  <c r="T113" i="2"/>
  <c r="T115" i="2"/>
  <c r="T117" i="2"/>
  <c r="AH105" i="3" l="1"/>
  <c r="U71" i="2" l="1"/>
  <c r="S71" i="2"/>
  <c r="AH29" i="3" l="1"/>
  <c r="S53" i="2" l="1"/>
  <c r="U65" i="2"/>
  <c r="S99" i="2" l="1"/>
  <c r="AD91" i="3"/>
  <c r="AF78" i="3" l="1"/>
  <c r="AF7" i="3" l="1"/>
  <c r="AD12" i="3"/>
  <c r="AH123" i="3"/>
  <c r="AH109" i="3"/>
  <c r="AH104" i="3"/>
  <c r="AH92" i="3"/>
  <c r="AH72" i="3"/>
  <c r="AH57" i="3"/>
  <c r="AH44" i="3"/>
  <c r="AH16" i="3"/>
  <c r="AH10" i="3"/>
  <c r="AH5" i="3"/>
  <c r="I17" i="3" l="1"/>
  <c r="H58" i="3"/>
  <c r="G59" i="2"/>
  <c r="H130" i="3"/>
  <c r="H123" i="2"/>
  <c r="H34" i="3"/>
  <c r="H132" i="2"/>
  <c r="J116" i="3"/>
  <c r="L116" i="3" s="1"/>
  <c r="G108" i="2"/>
  <c r="P132" i="2" l="1"/>
  <c r="Q132" i="2"/>
  <c r="P123" i="2"/>
  <c r="Q123" i="2"/>
  <c r="AC116" i="3"/>
  <c r="AB116" i="3"/>
  <c r="K95" i="3"/>
  <c r="U121" i="3" l="1"/>
  <c r="U120" i="3"/>
  <c r="U115" i="3"/>
  <c r="U111" i="3"/>
  <c r="U110" i="3"/>
  <c r="U106" i="3"/>
  <c r="U97" i="3"/>
  <c r="U89" i="3"/>
  <c r="U51" i="3"/>
  <c r="U45" i="3"/>
  <c r="U6" i="3"/>
  <c r="J117" i="3" l="1"/>
  <c r="H36" i="3"/>
  <c r="H108" i="2"/>
  <c r="H122" i="2"/>
  <c r="H124" i="2"/>
  <c r="P108" i="2" l="1"/>
  <c r="Q108" i="2"/>
  <c r="P122" i="2"/>
  <c r="Q122" i="2"/>
  <c r="P124" i="2"/>
  <c r="Q124" i="2"/>
  <c r="L117" i="3"/>
  <c r="N124" i="2"/>
  <c r="N122" i="2"/>
  <c r="W128" i="3"/>
  <c r="V119" i="3"/>
  <c r="U119" i="3" s="1"/>
  <c r="W78" i="3"/>
  <c r="V69" i="3"/>
  <c r="U69" i="3"/>
  <c r="W70" i="3"/>
  <c r="W55" i="3"/>
  <c r="U31" i="3"/>
  <c r="U36" i="3"/>
  <c r="U35" i="3"/>
  <c r="U24" i="3"/>
  <c r="M76" i="2"/>
  <c r="M10" i="2"/>
  <c r="M126" i="2"/>
  <c r="M57" i="2"/>
  <c r="M69" i="2"/>
  <c r="M68" i="2"/>
  <c r="M50" i="2"/>
  <c r="M125" i="2" l="1"/>
  <c r="AB117" i="3"/>
  <c r="AC117" i="3"/>
  <c r="M90" i="2"/>
  <c r="M112" i="2"/>
  <c r="M53" i="2"/>
  <c r="M79" i="2"/>
  <c r="M65" i="2"/>
  <c r="M26" i="2" l="1"/>
  <c r="M59" i="2"/>
  <c r="M89" i="2"/>
  <c r="M62" i="2" l="1"/>
  <c r="M52" i="2"/>
  <c r="M56" i="2"/>
  <c r="N108" i="2" l="1"/>
  <c r="M23" i="2"/>
  <c r="M82" i="2"/>
  <c r="M36" i="2"/>
  <c r="M85" i="2"/>
  <c r="M18" i="2"/>
  <c r="M16" i="2"/>
  <c r="M30" i="2"/>
  <c r="H67" i="3" l="1"/>
  <c r="H101" i="3"/>
  <c r="J95" i="3"/>
  <c r="L95" i="3" s="1"/>
  <c r="AC95" i="3" l="1"/>
  <c r="AB95" i="3"/>
  <c r="H60" i="2"/>
  <c r="Q60" i="2" l="1"/>
  <c r="P60" i="2"/>
  <c r="N60" i="2"/>
  <c r="G111" i="2" l="1"/>
  <c r="H90" i="2" l="1"/>
  <c r="Q90" i="2" s="1"/>
  <c r="H47" i="3"/>
  <c r="H89" i="2"/>
  <c r="Q89" i="2" s="1"/>
  <c r="H121" i="2"/>
  <c r="P121" i="2" l="1"/>
  <c r="Q121" i="2"/>
  <c r="N121" i="2"/>
  <c r="Q89" i="3" l="1"/>
  <c r="Q51" i="3"/>
  <c r="Q45" i="3"/>
  <c r="Q97" i="3"/>
  <c r="Q106" i="3"/>
  <c r="Q6" i="3"/>
  <c r="Q111" i="3"/>
  <c r="Q115" i="3"/>
  <c r="Q110" i="3"/>
  <c r="Q120" i="3"/>
  <c r="Q121" i="3"/>
  <c r="Q119" i="3"/>
  <c r="Q15" i="3" l="1"/>
  <c r="I26" i="1"/>
  <c r="S128" i="3"/>
  <c r="S118" i="3"/>
  <c r="Q109" i="3"/>
  <c r="Q107" i="3"/>
  <c r="S77" i="3"/>
  <c r="Q91" i="3"/>
  <c r="Q68" i="3"/>
  <c r="S55" i="3"/>
  <c r="Q36" i="3"/>
  <c r="K76" i="2" l="1"/>
  <c r="K57" i="2"/>
  <c r="K69" i="2"/>
  <c r="K68" i="2"/>
  <c r="K50" i="2"/>
  <c r="K90" i="2"/>
  <c r="K112" i="2"/>
  <c r="K53" i="2"/>
  <c r="K111" i="2"/>
  <c r="K89" i="2"/>
  <c r="K62" i="2"/>
  <c r="K52" i="2"/>
  <c r="K65" i="2"/>
  <c r="K56" i="2"/>
  <c r="K91" i="2"/>
  <c r="K23" i="2"/>
  <c r="K82" i="2"/>
  <c r="K36" i="2"/>
  <c r="K85" i="2"/>
  <c r="K18" i="2"/>
  <c r="K16" i="2"/>
  <c r="K30" i="2"/>
  <c r="J118" i="3" l="1"/>
  <c r="H118" i="2"/>
  <c r="H120" i="2"/>
  <c r="P120" i="2" l="1"/>
  <c r="Q120" i="2"/>
  <c r="P118" i="2"/>
  <c r="Q118" i="2"/>
  <c r="L118" i="3"/>
  <c r="N120" i="2"/>
  <c r="N118" i="2"/>
  <c r="L118" i="2"/>
  <c r="L120" i="2"/>
  <c r="J130" i="3"/>
  <c r="AC118" i="3" l="1"/>
  <c r="AB118" i="3"/>
  <c r="J55" i="3"/>
  <c r="H138" i="2"/>
  <c r="P138" i="2" l="1"/>
  <c r="Q138" i="2"/>
  <c r="L55" i="3"/>
  <c r="X55" i="3" s="1"/>
  <c r="M89" i="3"/>
  <c r="M51" i="3"/>
  <c r="M45" i="3"/>
  <c r="M97" i="3"/>
  <c r="M106" i="3"/>
  <c r="M6" i="3"/>
  <c r="M111" i="3"/>
  <c r="M115" i="3"/>
  <c r="M110" i="3"/>
  <c r="M120" i="3"/>
  <c r="M119" i="3"/>
  <c r="AB55" i="3" l="1"/>
  <c r="AC55" i="3"/>
  <c r="T55" i="3"/>
  <c r="O128" i="3" l="1"/>
  <c r="M107" i="3"/>
  <c r="M91" i="3"/>
  <c r="M15" i="3" l="1"/>
  <c r="I62" i="2"/>
  <c r="I76" i="2"/>
  <c r="I91" i="2"/>
  <c r="I57" i="2"/>
  <c r="I69" i="2"/>
  <c r="I68" i="2"/>
  <c r="I50" i="2"/>
  <c r="I30" i="2"/>
  <c r="I112" i="2"/>
  <c r="I53" i="2"/>
  <c r="I54" i="2"/>
  <c r="I65" i="2"/>
  <c r="I56" i="2"/>
  <c r="I23" i="2"/>
  <c r="I82" i="2"/>
  <c r="I36" i="2"/>
  <c r="I18" i="2"/>
  <c r="I28" i="2"/>
  <c r="I84" i="2"/>
  <c r="I16" i="2"/>
  <c r="J128" i="3" l="1"/>
  <c r="H131" i="2"/>
  <c r="H119" i="2"/>
  <c r="P119" i="2" l="1"/>
  <c r="Q119" i="2"/>
  <c r="P131" i="2"/>
  <c r="Q131" i="2"/>
  <c r="L128" i="3"/>
  <c r="T128" i="3" s="1"/>
  <c r="N119" i="2"/>
  <c r="N131" i="2"/>
  <c r="L131" i="2"/>
  <c r="L119" i="2"/>
  <c r="J119" i="2"/>
  <c r="J131" i="2"/>
  <c r="AK123" i="3"/>
  <c r="AK114" i="3"/>
  <c r="AK109" i="3"/>
  <c r="AK104" i="3"/>
  <c r="AK92" i="3"/>
  <c r="AK72" i="3"/>
  <c r="AK69" i="3"/>
  <c r="AK57" i="3"/>
  <c r="AK44" i="3"/>
  <c r="AK30" i="3"/>
  <c r="AK16" i="3"/>
  <c r="AK10" i="3"/>
  <c r="AK5" i="3"/>
  <c r="AF130" i="3"/>
  <c r="AF129" i="3"/>
  <c r="AF127" i="3"/>
  <c r="AF126" i="3"/>
  <c r="AF125" i="3"/>
  <c r="AF124" i="3"/>
  <c r="AE123" i="3"/>
  <c r="AD123" i="3"/>
  <c r="AF122" i="3"/>
  <c r="AF121" i="3"/>
  <c r="AF120" i="3"/>
  <c r="AF115" i="3"/>
  <c r="AH115" i="3" s="1"/>
  <c r="AF113" i="3"/>
  <c r="AF112" i="3"/>
  <c r="AF111" i="3"/>
  <c r="AF110" i="3"/>
  <c r="AE109" i="3"/>
  <c r="AD109" i="3"/>
  <c r="AF107" i="3"/>
  <c r="AF108" i="3"/>
  <c r="AF106" i="3"/>
  <c r="AF105" i="3"/>
  <c r="AE104" i="3"/>
  <c r="AD104" i="3"/>
  <c r="AF103" i="3"/>
  <c r="AF102" i="3"/>
  <c r="AF101" i="3"/>
  <c r="AF99" i="3"/>
  <c r="AF98" i="3"/>
  <c r="AF97" i="3"/>
  <c r="AF94" i="3"/>
  <c r="AF93" i="3"/>
  <c r="AE92" i="3"/>
  <c r="AD92" i="3"/>
  <c r="AF91" i="3"/>
  <c r="AF90" i="3"/>
  <c r="AF89" i="3"/>
  <c r="AF88" i="3"/>
  <c r="AF87" i="3"/>
  <c r="AF86" i="3"/>
  <c r="AF85" i="3"/>
  <c r="AF84" i="3"/>
  <c r="AF83" i="3"/>
  <c r="AF81" i="3"/>
  <c r="AF80" i="3"/>
  <c r="AF79" i="3"/>
  <c r="AF77" i="3"/>
  <c r="AF76" i="3"/>
  <c r="AF75" i="3"/>
  <c r="AF74" i="3"/>
  <c r="AF73" i="3"/>
  <c r="AE72" i="3"/>
  <c r="AD72" i="3"/>
  <c r="AF71" i="3"/>
  <c r="AF68" i="3"/>
  <c r="AF67" i="3"/>
  <c r="AF62" i="3"/>
  <c r="AF61" i="3"/>
  <c r="AF60" i="3"/>
  <c r="AF59" i="3"/>
  <c r="AF58" i="3"/>
  <c r="AE57" i="3"/>
  <c r="AD57" i="3"/>
  <c r="AF56" i="3"/>
  <c r="AF53" i="3"/>
  <c r="AF52" i="3"/>
  <c r="AF51" i="3"/>
  <c r="AF50" i="3"/>
  <c r="AF48" i="3"/>
  <c r="AF47" i="3"/>
  <c r="AF46" i="3"/>
  <c r="AF45" i="3"/>
  <c r="AE44" i="3"/>
  <c r="AD44" i="3"/>
  <c r="AF43" i="3"/>
  <c r="AF41" i="3"/>
  <c r="AH41" i="3" s="1"/>
  <c r="AF40" i="3"/>
  <c r="AF39" i="3"/>
  <c r="AF38" i="3"/>
  <c r="AF36" i="3"/>
  <c r="AF35" i="3"/>
  <c r="AF34" i="3"/>
  <c r="AF33" i="3"/>
  <c r="AF32" i="3"/>
  <c r="AF31" i="3"/>
  <c r="AE30" i="3"/>
  <c r="AD30" i="3"/>
  <c r="AF29" i="3"/>
  <c r="AF28" i="3"/>
  <c r="AF27" i="3"/>
  <c r="AF26" i="3"/>
  <c r="AF21" i="3"/>
  <c r="AF19" i="3"/>
  <c r="AF23" i="3"/>
  <c r="AF24" i="3"/>
  <c r="AF20" i="3"/>
  <c r="AF18" i="3"/>
  <c r="AE16" i="3"/>
  <c r="AD16" i="3"/>
  <c r="AF15" i="3"/>
  <c r="AF14" i="3"/>
  <c r="AF13" i="3"/>
  <c r="AF12" i="3"/>
  <c r="AF11" i="3"/>
  <c r="AE10" i="3"/>
  <c r="AD10" i="3"/>
  <c r="AF9" i="3"/>
  <c r="AF6" i="3"/>
  <c r="AE5" i="3"/>
  <c r="AD5" i="3"/>
  <c r="AA130" i="3"/>
  <c r="AA129" i="3"/>
  <c r="AA127" i="3"/>
  <c r="AA126" i="3"/>
  <c r="AA125" i="3"/>
  <c r="AA124" i="3"/>
  <c r="Z123" i="3"/>
  <c r="Y123" i="3"/>
  <c r="AA122" i="3"/>
  <c r="AA121" i="3"/>
  <c r="AA120" i="3"/>
  <c r="AA119" i="3"/>
  <c r="AA115" i="3"/>
  <c r="Z114" i="3"/>
  <c r="Y114" i="3"/>
  <c r="AA113" i="3"/>
  <c r="AA112" i="3"/>
  <c r="AA111" i="3"/>
  <c r="AA110" i="3"/>
  <c r="Z109" i="3"/>
  <c r="Y109" i="3"/>
  <c r="AA107" i="3"/>
  <c r="AA108" i="3"/>
  <c r="AA106" i="3"/>
  <c r="AA105" i="3"/>
  <c r="Z104" i="3"/>
  <c r="Y104" i="3"/>
  <c r="AA103" i="3"/>
  <c r="AA102" i="3"/>
  <c r="AA101" i="3"/>
  <c r="AA99" i="3"/>
  <c r="AA98" i="3"/>
  <c r="AA97" i="3"/>
  <c r="AA94" i="3"/>
  <c r="AA93" i="3"/>
  <c r="Z92" i="3"/>
  <c r="Y92" i="3"/>
  <c r="AA91" i="3"/>
  <c r="AA90" i="3"/>
  <c r="AA89" i="3"/>
  <c r="AA88" i="3"/>
  <c r="AA87" i="3"/>
  <c r="AA86" i="3"/>
  <c r="AA85" i="3"/>
  <c r="AA84" i="3"/>
  <c r="AA83" i="3"/>
  <c r="AA81" i="3"/>
  <c r="AA80" i="3"/>
  <c r="AA79" i="3"/>
  <c r="AA77" i="3"/>
  <c r="AA76" i="3"/>
  <c r="AA75" i="3"/>
  <c r="AA74" i="3"/>
  <c r="AA73" i="3"/>
  <c r="Z72" i="3"/>
  <c r="Y72" i="3"/>
  <c r="AA71" i="3"/>
  <c r="AA69" i="3" s="1"/>
  <c r="AA68" i="3"/>
  <c r="AA67" i="3"/>
  <c r="AA65" i="3"/>
  <c r="AA62" i="3"/>
  <c r="AA61" i="3"/>
  <c r="AA60" i="3"/>
  <c r="AA59" i="3"/>
  <c r="AA58" i="3"/>
  <c r="Z57" i="3"/>
  <c r="Y57" i="3"/>
  <c r="AA56" i="3"/>
  <c r="AA48" i="3"/>
  <c r="AA47" i="3"/>
  <c r="AA46" i="3"/>
  <c r="AA45" i="3"/>
  <c r="Z44" i="3"/>
  <c r="Y44" i="3"/>
  <c r="AA43" i="3"/>
  <c r="AA41" i="3"/>
  <c r="AA40" i="3"/>
  <c r="AA39" i="3"/>
  <c r="AA38" i="3"/>
  <c r="AA36" i="3"/>
  <c r="AA35" i="3"/>
  <c r="AA34" i="3"/>
  <c r="AA33" i="3"/>
  <c r="AA32" i="3"/>
  <c r="AA31" i="3"/>
  <c r="Z30" i="3"/>
  <c r="Y30" i="3"/>
  <c r="AA29" i="3"/>
  <c r="AA28" i="3"/>
  <c r="AA27" i="3"/>
  <c r="AA26" i="3"/>
  <c r="AA21" i="3"/>
  <c r="AA19" i="3"/>
  <c r="AA23" i="3"/>
  <c r="AA24" i="3"/>
  <c r="AA20" i="3"/>
  <c r="AA18" i="3"/>
  <c r="AA17" i="3"/>
  <c r="Z16" i="3"/>
  <c r="Y16" i="3"/>
  <c r="AA15" i="3"/>
  <c r="AA14" i="3"/>
  <c r="AA13" i="3"/>
  <c r="AA12" i="3"/>
  <c r="AA11" i="3"/>
  <c r="Z10" i="3"/>
  <c r="Y10" i="3"/>
  <c r="AA9" i="3"/>
  <c r="AA8" i="3"/>
  <c r="AA6" i="3"/>
  <c r="Z5" i="3"/>
  <c r="Y5" i="3"/>
  <c r="W130" i="3"/>
  <c r="W129" i="3"/>
  <c r="W127" i="3"/>
  <c r="W126" i="3"/>
  <c r="W125" i="3"/>
  <c r="W124" i="3"/>
  <c r="V123" i="3"/>
  <c r="U123" i="3"/>
  <c r="W122" i="3"/>
  <c r="W121" i="3"/>
  <c r="W120" i="3"/>
  <c r="W119" i="3"/>
  <c r="W115" i="3"/>
  <c r="V114" i="3"/>
  <c r="U114" i="3"/>
  <c r="W113" i="3"/>
  <c r="W112" i="3"/>
  <c r="W111" i="3"/>
  <c r="W110" i="3"/>
  <c r="V109" i="3"/>
  <c r="U109" i="3"/>
  <c r="W107" i="3"/>
  <c r="W108" i="3"/>
  <c r="W106" i="3"/>
  <c r="W105" i="3"/>
  <c r="V104" i="3"/>
  <c r="U104" i="3"/>
  <c r="W103" i="3"/>
  <c r="W102" i="3"/>
  <c r="W101" i="3"/>
  <c r="W99" i="3"/>
  <c r="W98" i="3"/>
  <c r="W97" i="3"/>
  <c r="W94" i="3"/>
  <c r="W93" i="3"/>
  <c r="V92" i="3"/>
  <c r="U92" i="3"/>
  <c r="W91" i="3"/>
  <c r="W90" i="3"/>
  <c r="W89" i="3"/>
  <c r="W88" i="3"/>
  <c r="W87" i="3"/>
  <c r="W86" i="3"/>
  <c r="W85" i="3"/>
  <c r="W84" i="3"/>
  <c r="W83" i="3"/>
  <c r="W81" i="3"/>
  <c r="W80" i="3"/>
  <c r="W79" i="3"/>
  <c r="W77" i="3"/>
  <c r="W76" i="3"/>
  <c r="W75" i="3"/>
  <c r="W74" i="3"/>
  <c r="W73" i="3"/>
  <c r="V72" i="3"/>
  <c r="U72" i="3"/>
  <c r="W71" i="3"/>
  <c r="W69" i="3" s="1"/>
  <c r="W68" i="3"/>
  <c r="W67" i="3"/>
  <c r="W65" i="3"/>
  <c r="W62" i="3"/>
  <c r="W61" i="3"/>
  <c r="W60" i="3"/>
  <c r="W59" i="3"/>
  <c r="W58" i="3"/>
  <c r="V57" i="3"/>
  <c r="U57" i="3"/>
  <c r="W56" i="3"/>
  <c r="W53" i="3"/>
  <c r="W52" i="3"/>
  <c r="W51" i="3"/>
  <c r="W50" i="3"/>
  <c r="W48" i="3"/>
  <c r="W47" i="3"/>
  <c r="W46" i="3"/>
  <c r="W45" i="3"/>
  <c r="V44" i="3"/>
  <c r="U44" i="3"/>
  <c r="W43" i="3"/>
  <c r="W41" i="3"/>
  <c r="W40" i="3"/>
  <c r="W39" i="3"/>
  <c r="W38" i="3"/>
  <c r="W36" i="3"/>
  <c r="W35" i="3"/>
  <c r="W34" i="3"/>
  <c r="W33" i="3"/>
  <c r="W32" i="3"/>
  <c r="W31" i="3"/>
  <c r="V30" i="3"/>
  <c r="U30" i="3"/>
  <c r="W29" i="3"/>
  <c r="W28" i="3"/>
  <c r="W27" i="3"/>
  <c r="W26" i="3"/>
  <c r="W21" i="3"/>
  <c r="W19" i="3"/>
  <c r="W23" i="3"/>
  <c r="W24" i="3"/>
  <c r="W20" i="3"/>
  <c r="W18" i="3"/>
  <c r="W17" i="3"/>
  <c r="V16" i="3"/>
  <c r="U16" i="3"/>
  <c r="W15" i="3"/>
  <c r="W14" i="3"/>
  <c r="W13" i="3"/>
  <c r="W12" i="3"/>
  <c r="W11" i="3"/>
  <c r="V10" i="3"/>
  <c r="U10" i="3"/>
  <c r="W9" i="3"/>
  <c r="W8" i="3"/>
  <c r="W6" i="3"/>
  <c r="V5" i="3"/>
  <c r="U5" i="3"/>
  <c r="S130" i="3"/>
  <c r="S129" i="3"/>
  <c r="S127" i="3"/>
  <c r="S126" i="3"/>
  <c r="S125" i="3"/>
  <c r="S124" i="3"/>
  <c r="R123" i="3"/>
  <c r="Q123" i="3"/>
  <c r="S122" i="3"/>
  <c r="S121" i="3"/>
  <c r="S120" i="3"/>
  <c r="S119" i="3"/>
  <c r="S115" i="3"/>
  <c r="R114" i="3"/>
  <c r="Q114" i="3"/>
  <c r="S113" i="3"/>
  <c r="S112" i="3"/>
  <c r="S111" i="3"/>
  <c r="S110" i="3"/>
  <c r="R109" i="3"/>
  <c r="S107" i="3"/>
  <c r="S108" i="3"/>
  <c r="S106" i="3"/>
  <c r="S105" i="3"/>
  <c r="R104" i="3"/>
  <c r="Q104" i="3"/>
  <c r="S103" i="3"/>
  <c r="S102" i="3"/>
  <c r="S101" i="3"/>
  <c r="S99" i="3"/>
  <c r="S98" i="3"/>
  <c r="S97" i="3"/>
  <c r="S94" i="3"/>
  <c r="S93" i="3"/>
  <c r="R92" i="3"/>
  <c r="Q92" i="3"/>
  <c r="S91" i="3"/>
  <c r="S90" i="3"/>
  <c r="S89" i="3"/>
  <c r="S88" i="3"/>
  <c r="S87" i="3"/>
  <c r="S86" i="3"/>
  <c r="S85" i="3"/>
  <c r="S84" i="3"/>
  <c r="S83" i="3"/>
  <c r="S81" i="3"/>
  <c r="S80" i="3"/>
  <c r="S79" i="3"/>
  <c r="S76" i="3"/>
  <c r="S75" i="3"/>
  <c r="S74" i="3"/>
  <c r="S73" i="3"/>
  <c r="R72" i="3"/>
  <c r="Q72" i="3"/>
  <c r="S71" i="3"/>
  <c r="S69" i="3" s="1"/>
  <c r="R69" i="3"/>
  <c r="Q69" i="3"/>
  <c r="S68" i="3"/>
  <c r="S67" i="3"/>
  <c r="S65" i="3"/>
  <c r="S62" i="3"/>
  <c r="S61" i="3"/>
  <c r="S60" i="3"/>
  <c r="S59" i="3"/>
  <c r="S58" i="3"/>
  <c r="R57" i="3"/>
  <c r="Q57" i="3"/>
  <c r="S56" i="3"/>
  <c r="S53" i="3"/>
  <c r="S52" i="3"/>
  <c r="S51" i="3"/>
  <c r="S50" i="3"/>
  <c r="S48" i="3"/>
  <c r="S47" i="3"/>
  <c r="S46" i="3"/>
  <c r="S45" i="3"/>
  <c r="R44" i="3"/>
  <c r="Q44" i="3"/>
  <c r="S43" i="3"/>
  <c r="S41" i="3"/>
  <c r="S40" i="3"/>
  <c r="S39" i="3"/>
  <c r="S38" i="3"/>
  <c r="S36" i="3"/>
  <c r="S35" i="3"/>
  <c r="S34" i="3"/>
  <c r="S33" i="3"/>
  <c r="S32" i="3"/>
  <c r="S31" i="3"/>
  <c r="R30" i="3"/>
  <c r="Q30" i="3"/>
  <c r="S29" i="3"/>
  <c r="S28" i="3"/>
  <c r="S27" i="3"/>
  <c r="S26" i="3"/>
  <c r="S21" i="3"/>
  <c r="S19" i="3"/>
  <c r="S23" i="3"/>
  <c r="S24" i="3"/>
  <c r="S20" i="3"/>
  <c r="S18" i="3"/>
  <c r="S17" i="3"/>
  <c r="R16" i="3"/>
  <c r="Q16" i="3"/>
  <c r="S15" i="3"/>
  <c r="S14" i="3"/>
  <c r="S13" i="3"/>
  <c r="S12" i="3"/>
  <c r="S11" i="3"/>
  <c r="R10" i="3"/>
  <c r="Q10" i="3"/>
  <c r="S9" i="3"/>
  <c r="S8" i="3"/>
  <c r="S6" i="3"/>
  <c r="R5" i="3"/>
  <c r="Q5" i="3"/>
  <c r="O8" i="3"/>
  <c r="O9" i="3"/>
  <c r="O23" i="3"/>
  <c r="O19" i="3"/>
  <c r="O21" i="3"/>
  <c r="J48" i="3"/>
  <c r="J8" i="3"/>
  <c r="K8" i="3"/>
  <c r="J23" i="3"/>
  <c r="K23" i="3"/>
  <c r="J19" i="3"/>
  <c r="K19" i="3"/>
  <c r="J21" i="3"/>
  <c r="K21" i="3"/>
  <c r="J26" i="3"/>
  <c r="K26" i="3"/>
  <c r="O119" i="3"/>
  <c r="O120" i="3"/>
  <c r="O121" i="3"/>
  <c r="J120" i="3"/>
  <c r="J121" i="3"/>
  <c r="J108" i="3"/>
  <c r="K108" i="3"/>
  <c r="O108" i="3"/>
  <c r="O62" i="3"/>
  <c r="O65" i="3"/>
  <c r="O48" i="3"/>
  <c r="O50" i="3"/>
  <c r="AF69" i="3" l="1"/>
  <c r="AC128" i="3"/>
  <c r="AB128" i="3"/>
  <c r="AH30" i="3"/>
  <c r="L48" i="3"/>
  <c r="AC48" i="3" s="1"/>
  <c r="X128" i="3"/>
  <c r="AF30" i="3"/>
  <c r="AF44" i="3"/>
  <c r="AA16" i="3"/>
  <c r="W44" i="3"/>
  <c r="AF16" i="3"/>
  <c r="Z131" i="3"/>
  <c r="S5" i="3"/>
  <c r="S57" i="3"/>
  <c r="V131" i="3"/>
  <c r="AF109" i="3"/>
  <c r="AF72" i="3"/>
  <c r="W123" i="3"/>
  <c r="AF10" i="3"/>
  <c r="L8" i="3"/>
  <c r="AC8" i="3" s="1"/>
  <c r="S123" i="3"/>
  <c r="R131" i="3"/>
  <c r="AK131" i="3"/>
  <c r="L23" i="3"/>
  <c r="AC23" i="3" s="1"/>
  <c r="P48" i="3"/>
  <c r="S16" i="3"/>
  <c r="S72" i="3"/>
  <c r="W72" i="3"/>
  <c r="AA44" i="3"/>
  <c r="AA123" i="3"/>
  <c r="L26" i="3"/>
  <c r="AC26" i="3" s="1"/>
  <c r="T48" i="3"/>
  <c r="X48" i="3"/>
  <c r="AA10" i="3"/>
  <c r="AF5" i="3"/>
  <c r="Q131" i="3"/>
  <c r="U131" i="3"/>
  <c r="W114" i="3"/>
  <c r="AA5" i="3"/>
  <c r="AA30" i="3"/>
  <c r="AA72" i="3"/>
  <c r="AF104" i="3"/>
  <c r="AF123" i="3"/>
  <c r="L108" i="3"/>
  <c r="Y131" i="3"/>
  <c r="AB48" i="3"/>
  <c r="AA57" i="3"/>
  <c r="AA92" i="3"/>
  <c r="AF57" i="3"/>
  <c r="AF92" i="3"/>
  <c r="W10" i="3"/>
  <c r="W30" i="3"/>
  <c r="AA104" i="3"/>
  <c r="AA109" i="3"/>
  <c r="AA114" i="3"/>
  <c r="W16" i="3"/>
  <c r="W5" i="3"/>
  <c r="W57" i="3"/>
  <c r="W104" i="3"/>
  <c r="W109" i="3"/>
  <c r="W92" i="3"/>
  <c r="S44" i="3"/>
  <c r="S10" i="3"/>
  <c r="S30" i="3"/>
  <c r="S104" i="3"/>
  <c r="S109" i="3"/>
  <c r="S114" i="3"/>
  <c r="S92" i="3"/>
  <c r="L21" i="3"/>
  <c r="AC21" i="3" s="1"/>
  <c r="L121" i="3"/>
  <c r="L19" i="3"/>
  <c r="AC19" i="3" s="1"/>
  <c r="L120" i="3"/>
  <c r="AC120" i="3" s="1"/>
  <c r="AC108" i="3" l="1"/>
  <c r="AC121" i="3"/>
  <c r="P120" i="3"/>
  <c r="AA132" i="3"/>
  <c r="T8" i="3"/>
  <c r="AB8" i="3"/>
  <c r="W132" i="3"/>
  <c r="T108" i="3"/>
  <c r="X108" i="3"/>
  <c r="T120" i="3"/>
  <c r="T19" i="3"/>
  <c r="AB121" i="3"/>
  <c r="AB26" i="3"/>
  <c r="P108" i="3"/>
  <c r="P21" i="3"/>
  <c r="AB108" i="3"/>
  <c r="P8" i="3"/>
  <c r="X120" i="3"/>
  <c r="X8" i="3"/>
  <c r="X26" i="3"/>
  <c r="T26" i="3"/>
  <c r="AB23" i="3"/>
  <c r="S132" i="3"/>
  <c r="P23" i="3"/>
  <c r="T23" i="3"/>
  <c r="X23" i="3"/>
  <c r="X21" i="3"/>
  <c r="P121" i="3"/>
  <c r="P19" i="3"/>
  <c r="X19" i="3"/>
  <c r="AB21" i="3"/>
  <c r="AB120" i="3"/>
  <c r="X121" i="3"/>
  <c r="T121" i="3"/>
  <c r="T21" i="3"/>
  <c r="AB19" i="3"/>
  <c r="AA131" i="3"/>
  <c r="W131" i="3"/>
  <c r="S131" i="3"/>
  <c r="H5" i="3" l="1"/>
  <c r="I5" i="3"/>
  <c r="H10" i="3"/>
  <c r="I10" i="3"/>
  <c r="H16" i="3"/>
  <c r="I16" i="3"/>
  <c r="I30" i="3"/>
  <c r="H30" i="3"/>
  <c r="H44" i="3"/>
  <c r="I44" i="3"/>
  <c r="H57" i="3"/>
  <c r="I57" i="3"/>
  <c r="I69" i="3"/>
  <c r="H69" i="3"/>
  <c r="H72" i="3"/>
  <c r="I72" i="3"/>
  <c r="I92" i="3"/>
  <c r="H92" i="3"/>
  <c r="I104" i="3"/>
  <c r="H104" i="3"/>
  <c r="I109" i="3"/>
  <c r="H109" i="3"/>
  <c r="I114" i="3"/>
  <c r="H114" i="3"/>
  <c r="I123" i="3"/>
  <c r="H123" i="3"/>
  <c r="G130" i="3"/>
  <c r="E129" i="3"/>
  <c r="G129" i="3" s="1"/>
  <c r="G127" i="3"/>
  <c r="G126" i="3"/>
  <c r="E125" i="3"/>
  <c r="G125" i="3" s="1"/>
  <c r="G124" i="3"/>
  <c r="F123" i="3"/>
  <c r="G122" i="3"/>
  <c r="G121" i="3"/>
  <c r="AG121" i="3" s="1"/>
  <c r="G120" i="3"/>
  <c r="AG120" i="3" s="1"/>
  <c r="E115" i="3"/>
  <c r="G115" i="3" s="1"/>
  <c r="E113" i="3"/>
  <c r="G113" i="3" s="1"/>
  <c r="G112" i="3"/>
  <c r="E111" i="3"/>
  <c r="G111" i="3" s="1"/>
  <c r="E110" i="3"/>
  <c r="F109" i="3"/>
  <c r="E107" i="3"/>
  <c r="G107" i="3" s="1"/>
  <c r="G108" i="3"/>
  <c r="AG108" i="3" s="1"/>
  <c r="E106" i="3"/>
  <c r="G106" i="3" s="1"/>
  <c r="G105" i="3"/>
  <c r="F104" i="3"/>
  <c r="G103" i="3"/>
  <c r="G102" i="3"/>
  <c r="G101" i="3"/>
  <c r="G99" i="3"/>
  <c r="E98" i="3"/>
  <c r="G98" i="3" s="1"/>
  <c r="E97" i="3"/>
  <c r="G94" i="3"/>
  <c r="G93" i="3"/>
  <c r="F92" i="3"/>
  <c r="E91" i="3"/>
  <c r="G91" i="3" s="1"/>
  <c r="G90" i="3"/>
  <c r="E89" i="3"/>
  <c r="G89" i="3" s="1"/>
  <c r="E88" i="3"/>
  <c r="G88" i="3" s="1"/>
  <c r="G87" i="3"/>
  <c r="G86" i="3"/>
  <c r="G85" i="3"/>
  <c r="G84" i="3"/>
  <c r="G83" i="3"/>
  <c r="G81" i="3"/>
  <c r="AG81" i="3" s="1"/>
  <c r="G80" i="3"/>
  <c r="AG80" i="3" s="1"/>
  <c r="G79" i="3"/>
  <c r="AG79" i="3" s="1"/>
  <c r="E77" i="3"/>
  <c r="G77" i="3" s="1"/>
  <c r="AG77" i="3" s="1"/>
  <c r="G76" i="3"/>
  <c r="AG76" i="3" s="1"/>
  <c r="G75" i="3"/>
  <c r="AG75" i="3" s="1"/>
  <c r="G74" i="3"/>
  <c r="E73" i="3"/>
  <c r="F72" i="3"/>
  <c r="G71" i="3"/>
  <c r="G70" i="3"/>
  <c r="F69" i="3"/>
  <c r="E69" i="3"/>
  <c r="G68" i="3"/>
  <c r="G67" i="3"/>
  <c r="G65" i="3"/>
  <c r="G62" i="3"/>
  <c r="F61" i="3"/>
  <c r="G61" i="3" s="1"/>
  <c r="G60" i="3"/>
  <c r="G59" i="3"/>
  <c r="G58" i="3"/>
  <c r="F57" i="3"/>
  <c r="E57" i="3"/>
  <c r="G56" i="3"/>
  <c r="G53" i="3"/>
  <c r="G52" i="3"/>
  <c r="G51" i="3"/>
  <c r="G50" i="3"/>
  <c r="G48" i="3"/>
  <c r="AI48" i="3" s="1"/>
  <c r="G47" i="3"/>
  <c r="G46" i="3"/>
  <c r="E45" i="3"/>
  <c r="G45" i="3" s="1"/>
  <c r="F44" i="3"/>
  <c r="G43" i="3"/>
  <c r="G41" i="3"/>
  <c r="G40" i="3"/>
  <c r="G39" i="3"/>
  <c r="E38" i="3"/>
  <c r="G38" i="3" s="1"/>
  <c r="G36" i="3"/>
  <c r="E35" i="3"/>
  <c r="G35" i="3" s="1"/>
  <c r="G34" i="3"/>
  <c r="E33" i="3"/>
  <c r="G33" i="3" s="1"/>
  <c r="G32" i="3"/>
  <c r="G31" i="3"/>
  <c r="F30" i="3"/>
  <c r="G29" i="3"/>
  <c r="G28" i="3"/>
  <c r="G27" i="3"/>
  <c r="G26" i="3"/>
  <c r="AG26" i="3" s="1"/>
  <c r="G21" i="3"/>
  <c r="AG21" i="3" s="1"/>
  <c r="G19" i="3"/>
  <c r="G23" i="3"/>
  <c r="AG23" i="3" s="1"/>
  <c r="G24" i="3"/>
  <c r="F20" i="3"/>
  <c r="G20" i="3" s="1"/>
  <c r="G18" i="3"/>
  <c r="F17" i="3"/>
  <c r="G17" i="3" s="1"/>
  <c r="E16" i="3"/>
  <c r="G15" i="3"/>
  <c r="G14" i="3"/>
  <c r="G13" i="3"/>
  <c r="G12" i="3"/>
  <c r="G11" i="3"/>
  <c r="F10" i="3"/>
  <c r="E10" i="3"/>
  <c r="G9" i="3"/>
  <c r="G8" i="3"/>
  <c r="E6" i="3"/>
  <c r="G6" i="3" s="1"/>
  <c r="F5" i="3"/>
  <c r="H139" i="2"/>
  <c r="Q139" i="2" s="1"/>
  <c r="H113" i="2"/>
  <c r="H114" i="2"/>
  <c r="H115" i="2"/>
  <c r="H117" i="2"/>
  <c r="H126" i="2"/>
  <c r="H129" i="2"/>
  <c r="H101" i="2"/>
  <c r="O145" i="2"/>
  <c r="M145" i="2"/>
  <c r="K145" i="2"/>
  <c r="S136" i="2"/>
  <c r="S151" i="2" s="1"/>
  <c r="S106" i="2"/>
  <c r="S148" i="2" s="1"/>
  <c r="S104" i="2"/>
  <c r="S150" i="2" s="1"/>
  <c r="S93" i="2"/>
  <c r="S88" i="2"/>
  <c r="S80" i="2"/>
  <c r="S75" i="2"/>
  <c r="S63" i="2"/>
  <c r="S42" i="2"/>
  <c r="S37" i="2"/>
  <c r="S31" i="2"/>
  <c r="S27" i="2"/>
  <c r="S15" i="2"/>
  <c r="S5" i="2"/>
  <c r="O136" i="2"/>
  <c r="O151" i="2" s="1"/>
  <c r="O106" i="2"/>
  <c r="O148" i="2" s="1"/>
  <c r="O104" i="2"/>
  <c r="O150" i="2" s="1"/>
  <c r="O93" i="2"/>
  <c r="O88" i="2"/>
  <c r="O80" i="2"/>
  <c r="O75" i="2"/>
  <c r="O63" i="2"/>
  <c r="O42" i="2"/>
  <c r="O37" i="2"/>
  <c r="O31" i="2"/>
  <c r="O27" i="2"/>
  <c r="O15" i="2"/>
  <c r="O5" i="2"/>
  <c r="M136" i="2"/>
  <c r="M151" i="2" s="1"/>
  <c r="M106" i="2"/>
  <c r="M148" i="2" s="1"/>
  <c r="M104" i="2"/>
  <c r="M150" i="2" s="1"/>
  <c r="M93" i="2"/>
  <c r="M88" i="2"/>
  <c r="M80" i="2"/>
  <c r="M75" i="2"/>
  <c r="M63" i="2"/>
  <c r="M42" i="2"/>
  <c r="M37" i="2"/>
  <c r="M31" i="2"/>
  <c r="M27" i="2"/>
  <c r="M15" i="2"/>
  <c r="M5" i="2"/>
  <c r="K136" i="2"/>
  <c r="K151" i="2" s="1"/>
  <c r="K106" i="2"/>
  <c r="K148" i="2" s="1"/>
  <c r="K104" i="2"/>
  <c r="K150" i="2" s="1"/>
  <c r="K93" i="2"/>
  <c r="K88" i="2"/>
  <c r="K80" i="2"/>
  <c r="K75" i="2"/>
  <c r="K63" i="2"/>
  <c r="K42" i="2"/>
  <c r="K37" i="2"/>
  <c r="K31" i="2"/>
  <c r="K27" i="2"/>
  <c r="K15" i="2"/>
  <c r="K5" i="2"/>
  <c r="G136" i="2"/>
  <c r="G151" i="2" s="1"/>
  <c r="G106" i="2"/>
  <c r="G148" i="2" s="1"/>
  <c r="G104" i="2"/>
  <c r="G150" i="2" s="1"/>
  <c r="G93" i="2"/>
  <c r="G88" i="2"/>
  <c r="G80" i="2"/>
  <c r="G75" i="2"/>
  <c r="G63" i="2"/>
  <c r="G42" i="2"/>
  <c r="G37" i="2"/>
  <c r="G31" i="2"/>
  <c r="G27" i="2"/>
  <c r="G15" i="2"/>
  <c r="G5" i="2"/>
  <c r="F136" i="2"/>
  <c r="F151" i="2" s="1"/>
  <c r="F125" i="2"/>
  <c r="H125" i="2" s="1"/>
  <c r="F112" i="2"/>
  <c r="T112" i="2" s="1"/>
  <c r="F107" i="2"/>
  <c r="F104" i="2"/>
  <c r="F150" i="2" s="1"/>
  <c r="F93" i="2"/>
  <c r="F88" i="2"/>
  <c r="F82" i="2"/>
  <c r="F80" i="2" s="1"/>
  <c r="F75" i="2"/>
  <c r="F71" i="2"/>
  <c r="F65" i="2"/>
  <c r="F64" i="2"/>
  <c r="F62" i="2"/>
  <c r="F57" i="2"/>
  <c r="F56" i="2"/>
  <c r="F53" i="2"/>
  <c r="F37" i="2"/>
  <c r="F31" i="2"/>
  <c r="F27" i="2"/>
  <c r="F23" i="2"/>
  <c r="F18" i="2"/>
  <c r="F17" i="2"/>
  <c r="F5" i="2"/>
  <c r="P125" i="2" l="1"/>
  <c r="Q125" i="2"/>
  <c r="P129" i="2"/>
  <c r="Q129" i="2"/>
  <c r="P126" i="2"/>
  <c r="Q126" i="2"/>
  <c r="P113" i="2"/>
  <c r="Q113" i="2"/>
  <c r="P117" i="2"/>
  <c r="Q117" i="2"/>
  <c r="P101" i="2"/>
  <c r="Q101" i="2"/>
  <c r="P115" i="2"/>
  <c r="Q115" i="2"/>
  <c r="AI17" i="3"/>
  <c r="AG17" i="3"/>
  <c r="AI65" i="3"/>
  <c r="AG65" i="3"/>
  <c r="P114" i="2"/>
  <c r="Q114" i="2"/>
  <c r="AG19" i="3"/>
  <c r="AI19" i="3"/>
  <c r="N126" i="2"/>
  <c r="N113" i="2"/>
  <c r="N117" i="2"/>
  <c r="N115" i="2"/>
  <c r="N125" i="2"/>
  <c r="N129" i="2"/>
  <c r="N114" i="2"/>
  <c r="L101" i="2"/>
  <c r="L115" i="2"/>
  <c r="L117" i="2"/>
  <c r="J117" i="2"/>
  <c r="J101" i="2"/>
  <c r="J115" i="2"/>
  <c r="J125" i="2"/>
  <c r="J129" i="2"/>
  <c r="J114" i="2"/>
  <c r="J126" i="2"/>
  <c r="J113" i="2"/>
  <c r="G69" i="3"/>
  <c r="E104" i="3"/>
  <c r="AE114" i="3"/>
  <c r="AE131" i="3" s="1"/>
  <c r="F15" i="2"/>
  <c r="G5" i="3"/>
  <c r="E72" i="3"/>
  <c r="E109" i="3"/>
  <c r="G110" i="3"/>
  <c r="G109" i="3" s="1"/>
  <c r="G104" i="3"/>
  <c r="G73" i="3"/>
  <c r="G72" i="3" s="1"/>
  <c r="E92" i="3"/>
  <c r="G30" i="3"/>
  <c r="AI30" i="3" s="1"/>
  <c r="G44" i="3"/>
  <c r="G57" i="3"/>
  <c r="E123" i="3"/>
  <c r="G16" i="3"/>
  <c r="G97" i="3"/>
  <c r="G92" i="3" s="1"/>
  <c r="G10" i="3"/>
  <c r="AI10" i="3" s="1"/>
  <c r="E114" i="3"/>
  <c r="F114" i="3"/>
  <c r="I131" i="3"/>
  <c r="H131" i="3"/>
  <c r="D15" i="1" s="1"/>
  <c r="G123" i="3"/>
  <c r="E5" i="3"/>
  <c r="F16" i="3"/>
  <c r="E30" i="3"/>
  <c r="E44" i="3"/>
  <c r="S95" i="2"/>
  <c r="S147" i="2" s="1"/>
  <c r="P11" i="1" s="1"/>
  <c r="F106" i="2"/>
  <c r="F148" i="2" s="1"/>
  <c r="G39" i="2"/>
  <c r="F42" i="2"/>
  <c r="O39" i="2"/>
  <c r="O146" i="2" s="1"/>
  <c r="M10" i="1" s="1"/>
  <c r="O95" i="2"/>
  <c r="O147" i="2" s="1"/>
  <c r="M11" i="1" s="1"/>
  <c r="K39" i="2"/>
  <c r="K146" i="2" s="1"/>
  <c r="M95" i="2"/>
  <c r="M147" i="2" s="1"/>
  <c r="K11" i="1" s="1"/>
  <c r="K95" i="2"/>
  <c r="K147" i="2" s="1"/>
  <c r="I11" i="1" s="1"/>
  <c r="S39" i="2"/>
  <c r="S146" i="2" s="1"/>
  <c r="F63" i="2"/>
  <c r="G95" i="2"/>
  <c r="G147" i="2" s="1"/>
  <c r="D11" i="1" s="1"/>
  <c r="F39" i="2"/>
  <c r="M39" i="2"/>
  <c r="M146" i="2" s="1"/>
  <c r="S142" i="2"/>
  <c r="O142" i="2"/>
  <c r="M142" i="2"/>
  <c r="K142" i="2"/>
  <c r="G146" i="2"/>
  <c r="D10" i="1" s="1"/>
  <c r="G142" i="2"/>
  <c r="F146" i="2"/>
  <c r="AG18" i="3"/>
  <c r="AG27" i="3"/>
  <c r="F35" i="14"/>
  <c r="F30" i="14"/>
  <c r="F20" i="14"/>
  <c r="F17" i="14"/>
  <c r="F19" i="14" s="1"/>
  <c r="H15" i="14"/>
  <c r="H14" i="14"/>
  <c r="AG115" i="3"/>
  <c r="K62" i="3"/>
  <c r="L62" i="3" s="1"/>
  <c r="U72" i="2"/>
  <c r="U104" i="2" s="1"/>
  <c r="K70" i="3"/>
  <c r="L70" i="3" s="1"/>
  <c r="I136" i="2"/>
  <c r="I151" i="2" s="1"/>
  <c r="H141" i="2"/>
  <c r="H140" i="2"/>
  <c r="M72" i="3"/>
  <c r="O6" i="3"/>
  <c r="O99" i="3"/>
  <c r="O75" i="3"/>
  <c r="O26" i="3"/>
  <c r="O27" i="3"/>
  <c r="I75" i="2"/>
  <c r="I31" i="2"/>
  <c r="I42" i="2"/>
  <c r="I88" i="2"/>
  <c r="F7" i="14"/>
  <c r="F8" i="14" s="1"/>
  <c r="F10" i="14"/>
  <c r="F12" i="14"/>
  <c r="F14" i="14"/>
  <c r="F15" i="14"/>
  <c r="F21" i="14"/>
  <c r="F23" i="14"/>
  <c r="F24" i="14"/>
  <c r="E27" i="14"/>
  <c r="F27" i="14"/>
  <c r="F29" i="14"/>
  <c r="H29" i="14"/>
  <c r="F32" i="14"/>
  <c r="F34" i="14"/>
  <c r="N5" i="3"/>
  <c r="J6" i="3"/>
  <c r="K6" i="3"/>
  <c r="H7" i="14"/>
  <c r="H8" i="14" s="1"/>
  <c r="J9" i="3"/>
  <c r="K9" i="3"/>
  <c r="M10" i="3"/>
  <c r="N10" i="3"/>
  <c r="J11" i="3"/>
  <c r="K11" i="3"/>
  <c r="O11" i="3"/>
  <c r="O12" i="3"/>
  <c r="AI13" i="3"/>
  <c r="J13" i="3"/>
  <c r="K13" i="3"/>
  <c r="O13" i="3"/>
  <c r="AG13" i="3"/>
  <c r="AI14" i="3"/>
  <c r="J14" i="3"/>
  <c r="O14" i="3"/>
  <c r="AG14" i="3"/>
  <c r="AI15" i="3"/>
  <c r="J15" i="3"/>
  <c r="K15" i="3"/>
  <c r="O15" i="3"/>
  <c r="AG15" i="3"/>
  <c r="M16" i="3"/>
  <c r="N16" i="3"/>
  <c r="K17" i="3"/>
  <c r="J17" i="3"/>
  <c r="O17" i="3"/>
  <c r="K20" i="3"/>
  <c r="J20" i="3"/>
  <c r="O20" i="3"/>
  <c r="J18" i="3"/>
  <c r="K18" i="3"/>
  <c r="O18" i="3"/>
  <c r="AI24" i="3"/>
  <c r="J24" i="3"/>
  <c r="K24" i="3"/>
  <c r="O24" i="3"/>
  <c r="AG24" i="3"/>
  <c r="J27" i="3"/>
  <c r="K27" i="3"/>
  <c r="AI26" i="3"/>
  <c r="AI28" i="3"/>
  <c r="J28" i="3"/>
  <c r="K28" i="3"/>
  <c r="O28" i="3"/>
  <c r="AI29" i="3"/>
  <c r="J29" i="3"/>
  <c r="K29" i="3"/>
  <c r="O29" i="3"/>
  <c r="M30" i="3"/>
  <c r="N30" i="3"/>
  <c r="AI31" i="3"/>
  <c r="O31" i="3"/>
  <c r="AI32" i="3"/>
  <c r="J32" i="3"/>
  <c r="O32" i="3"/>
  <c r="J33" i="3"/>
  <c r="O33" i="3"/>
  <c r="AI34" i="3"/>
  <c r="J34" i="3"/>
  <c r="O34" i="3"/>
  <c r="AG34" i="3"/>
  <c r="J35" i="3"/>
  <c r="O35" i="3"/>
  <c r="J36" i="3"/>
  <c r="O36" i="3"/>
  <c r="AI38" i="3"/>
  <c r="J38" i="3"/>
  <c r="O38" i="3"/>
  <c r="AI39" i="3"/>
  <c r="J39" i="3"/>
  <c r="O39" i="3"/>
  <c r="AI40" i="3"/>
  <c r="J40" i="3"/>
  <c r="K40" i="3"/>
  <c r="K30" i="3" s="1"/>
  <c r="O40" i="3"/>
  <c r="AG40" i="3"/>
  <c r="AI41" i="3"/>
  <c r="J41" i="3"/>
  <c r="O41" i="3"/>
  <c r="AG41" i="3"/>
  <c r="AI43" i="3"/>
  <c r="J43" i="3"/>
  <c r="O43" i="3"/>
  <c r="AG43" i="3"/>
  <c r="K44" i="3"/>
  <c r="M44" i="3"/>
  <c r="N44" i="3"/>
  <c r="J45" i="3"/>
  <c r="O45" i="3"/>
  <c r="AI46" i="3"/>
  <c r="J46" i="3"/>
  <c r="O46" i="3"/>
  <c r="AG46" i="3"/>
  <c r="AI47" i="3"/>
  <c r="J47" i="3"/>
  <c r="O47" i="3"/>
  <c r="AI50" i="3"/>
  <c r="J50" i="3"/>
  <c r="J51" i="3"/>
  <c r="O51" i="3"/>
  <c r="H22" i="14"/>
  <c r="AI52" i="3"/>
  <c r="J52" i="3"/>
  <c r="O52" i="3"/>
  <c r="AG52" i="3"/>
  <c r="AI53" i="3"/>
  <c r="J53" i="3"/>
  <c r="O53" i="3"/>
  <c r="AI56" i="3"/>
  <c r="J56" i="3"/>
  <c r="O56" i="3"/>
  <c r="M57" i="3"/>
  <c r="N57" i="3"/>
  <c r="AI58" i="3"/>
  <c r="J58" i="3"/>
  <c r="K58" i="3"/>
  <c r="O58" i="3"/>
  <c r="AG58" i="3"/>
  <c r="AI59" i="3"/>
  <c r="J59" i="3"/>
  <c r="K59" i="3"/>
  <c r="O59" i="3"/>
  <c r="AI60" i="3"/>
  <c r="J60" i="3"/>
  <c r="K60" i="3"/>
  <c r="O60" i="3"/>
  <c r="K61" i="3"/>
  <c r="J61" i="3"/>
  <c r="O61" i="3"/>
  <c r="K65" i="3"/>
  <c r="J65" i="3"/>
  <c r="AI67" i="3"/>
  <c r="J67" i="3"/>
  <c r="O67" i="3"/>
  <c r="AG67" i="3"/>
  <c r="AI68" i="3"/>
  <c r="J68" i="3"/>
  <c r="O68" i="3"/>
  <c r="AG68" i="3"/>
  <c r="M69" i="3"/>
  <c r="N69" i="3"/>
  <c r="J71" i="3"/>
  <c r="K71" i="3"/>
  <c r="O71" i="3"/>
  <c r="O69" i="3" s="1"/>
  <c r="N72" i="3"/>
  <c r="J73" i="3"/>
  <c r="O73" i="3"/>
  <c r="H12" i="14"/>
  <c r="AI74" i="3"/>
  <c r="J74" i="3"/>
  <c r="O74" i="3"/>
  <c r="AG74" i="3"/>
  <c r="AI75" i="3"/>
  <c r="J75" i="3"/>
  <c r="J76" i="3"/>
  <c r="K76" i="3"/>
  <c r="O76" i="3"/>
  <c r="J80" i="3"/>
  <c r="O80" i="3"/>
  <c r="AI81" i="3"/>
  <c r="J81" i="3"/>
  <c r="O81" i="3"/>
  <c r="AI77" i="3"/>
  <c r="J77" i="3"/>
  <c r="O77" i="3"/>
  <c r="AI79" i="3"/>
  <c r="J79" i="3"/>
  <c r="O79" i="3"/>
  <c r="AI83" i="3"/>
  <c r="J83" i="3"/>
  <c r="O83" i="3"/>
  <c r="AI84" i="3"/>
  <c r="J84" i="3"/>
  <c r="K84" i="3"/>
  <c r="O84" i="3"/>
  <c r="AI85" i="3"/>
  <c r="J85" i="3"/>
  <c r="O85" i="3"/>
  <c r="AI86" i="3"/>
  <c r="J86" i="3"/>
  <c r="O86" i="3"/>
  <c r="AG86" i="3"/>
  <c r="AI87" i="3"/>
  <c r="J87" i="3"/>
  <c r="O87" i="3"/>
  <c r="AI88" i="3"/>
  <c r="J88" i="3"/>
  <c r="O88" i="3"/>
  <c r="J89" i="3"/>
  <c r="O89" i="3"/>
  <c r="J90" i="3"/>
  <c r="O90" i="3"/>
  <c r="AI91" i="3"/>
  <c r="J91" i="3"/>
  <c r="O91" i="3"/>
  <c r="AG91" i="3"/>
  <c r="M92" i="3"/>
  <c r="N92" i="3"/>
  <c r="O93" i="3"/>
  <c r="AG93" i="3"/>
  <c r="O94" i="3"/>
  <c r="J102" i="3"/>
  <c r="L102" i="3" s="1"/>
  <c r="O102" i="3"/>
  <c r="J97" i="3"/>
  <c r="O97" i="3"/>
  <c r="AI98" i="3"/>
  <c r="J98" i="3"/>
  <c r="O98" i="3"/>
  <c r="AI101" i="3"/>
  <c r="J101" i="3"/>
  <c r="L101" i="3" s="1"/>
  <c r="O101" i="3"/>
  <c r="AG101" i="3"/>
  <c r="J99" i="3"/>
  <c r="AI103" i="3"/>
  <c r="J103" i="3"/>
  <c r="O103" i="3"/>
  <c r="M104" i="3"/>
  <c r="N104" i="3"/>
  <c r="AI105" i="3"/>
  <c r="J105" i="3"/>
  <c r="O105" i="3"/>
  <c r="AI106" i="3"/>
  <c r="K104" i="3"/>
  <c r="O106" i="3"/>
  <c r="H33" i="14"/>
  <c r="J107" i="3"/>
  <c r="O107" i="3"/>
  <c r="M109" i="3"/>
  <c r="N109" i="3"/>
  <c r="J110" i="3"/>
  <c r="K110" i="3"/>
  <c r="O110" i="3"/>
  <c r="J111" i="3"/>
  <c r="K111" i="3"/>
  <c r="O111" i="3"/>
  <c r="AI111" i="3"/>
  <c r="AI112" i="3"/>
  <c r="J112" i="3"/>
  <c r="O112" i="3"/>
  <c r="AG112" i="3"/>
  <c r="J113" i="3"/>
  <c r="O113" i="3"/>
  <c r="M114" i="3"/>
  <c r="N114" i="3"/>
  <c r="J115" i="3"/>
  <c r="O115" i="3"/>
  <c r="AI122" i="3"/>
  <c r="J122" i="3"/>
  <c r="K122" i="3"/>
  <c r="O122" i="3"/>
  <c r="AG122" i="3"/>
  <c r="M123" i="3"/>
  <c r="N123" i="3"/>
  <c r="AI123" i="3"/>
  <c r="AI124" i="3"/>
  <c r="J124" i="3"/>
  <c r="O124" i="3"/>
  <c r="AI125" i="3"/>
  <c r="J125" i="3"/>
  <c r="O125" i="3"/>
  <c r="AG125" i="3"/>
  <c r="AI126" i="3"/>
  <c r="J126" i="3"/>
  <c r="O126" i="3"/>
  <c r="AG126" i="3"/>
  <c r="AI127" i="3"/>
  <c r="J127" i="3"/>
  <c r="O127" i="3"/>
  <c r="AG127" i="3"/>
  <c r="AI129" i="3"/>
  <c r="J129" i="3"/>
  <c r="O129" i="3"/>
  <c r="O130" i="3"/>
  <c r="I5" i="2"/>
  <c r="H6" i="2"/>
  <c r="Q6" i="2" s="1"/>
  <c r="T6" i="2"/>
  <c r="H7" i="2"/>
  <c r="Q7" i="2" s="1"/>
  <c r="T7" i="2"/>
  <c r="H8" i="2"/>
  <c r="Q8" i="2" s="1"/>
  <c r="T8" i="2"/>
  <c r="H9" i="2"/>
  <c r="Q9" i="2" s="1"/>
  <c r="T9" i="2"/>
  <c r="H10" i="2"/>
  <c r="Q10" i="2" s="1"/>
  <c r="T10" i="2"/>
  <c r="H11" i="2"/>
  <c r="Q11" i="2" s="1"/>
  <c r="T11" i="2"/>
  <c r="H12" i="2"/>
  <c r="H13" i="2"/>
  <c r="Q13" i="2" s="1"/>
  <c r="T13" i="2"/>
  <c r="I15" i="2"/>
  <c r="H16" i="2"/>
  <c r="Q16" i="2" s="1"/>
  <c r="T16" i="2"/>
  <c r="H17" i="2"/>
  <c r="Q17" i="2" s="1"/>
  <c r="T17" i="2"/>
  <c r="H18" i="2"/>
  <c r="Q18" i="2" s="1"/>
  <c r="T18" i="2"/>
  <c r="H19" i="2"/>
  <c r="Q19" i="2" s="1"/>
  <c r="T19" i="2"/>
  <c r="H20" i="2"/>
  <c r="Q20" i="2" s="1"/>
  <c r="T20" i="2"/>
  <c r="H21" i="2"/>
  <c r="Q21" i="2" s="1"/>
  <c r="T21" i="2"/>
  <c r="H22" i="2"/>
  <c r="Q22" i="2" s="1"/>
  <c r="T22" i="2"/>
  <c r="H23" i="2"/>
  <c r="Q23" i="2" s="1"/>
  <c r="T23" i="2"/>
  <c r="H24" i="2"/>
  <c r="Q24" i="2" s="1"/>
  <c r="T24" i="2"/>
  <c r="H25" i="2"/>
  <c r="Q25" i="2" s="1"/>
  <c r="T25" i="2"/>
  <c r="H26" i="2"/>
  <c r="Q26" i="2" s="1"/>
  <c r="I27" i="2"/>
  <c r="T27" i="2"/>
  <c r="H28" i="2"/>
  <c r="Q28" i="2" s="1"/>
  <c r="H30" i="2"/>
  <c r="Q30" i="2" s="1"/>
  <c r="T30" i="2"/>
  <c r="T31" i="2"/>
  <c r="H32" i="2"/>
  <c r="T32" i="2"/>
  <c r="H33" i="2"/>
  <c r="Q33" i="2" s="1"/>
  <c r="T33" i="2"/>
  <c r="H34" i="2"/>
  <c r="Q34" i="2" s="1"/>
  <c r="T34" i="2"/>
  <c r="H35" i="2"/>
  <c r="Q35" i="2" s="1"/>
  <c r="T35" i="2"/>
  <c r="H36" i="2"/>
  <c r="T36" i="2"/>
  <c r="I37" i="2"/>
  <c r="H38" i="2"/>
  <c r="T38" i="2"/>
  <c r="H43" i="2"/>
  <c r="Q43" i="2" s="1"/>
  <c r="T43" i="2"/>
  <c r="H44" i="2"/>
  <c r="Q44" i="2" s="1"/>
  <c r="T44" i="2"/>
  <c r="H47" i="2"/>
  <c r="Q47" i="2" s="1"/>
  <c r="T47" i="2"/>
  <c r="H48" i="2"/>
  <c r="Q48" i="2" s="1"/>
  <c r="T48" i="2"/>
  <c r="H49" i="2"/>
  <c r="Q49" i="2" s="1"/>
  <c r="T49" i="2"/>
  <c r="H50" i="2"/>
  <c r="Q50" i="2" s="1"/>
  <c r="T50" i="2"/>
  <c r="H51" i="2"/>
  <c r="Q51" i="2" s="1"/>
  <c r="T51" i="2"/>
  <c r="H52" i="2"/>
  <c r="Q52" i="2" s="1"/>
  <c r="T52" i="2"/>
  <c r="H53" i="2"/>
  <c r="Q53" i="2" s="1"/>
  <c r="T53" i="2"/>
  <c r="H54" i="2"/>
  <c r="Q54" i="2" s="1"/>
  <c r="T54" i="2"/>
  <c r="H55" i="2"/>
  <c r="Q55" i="2" s="1"/>
  <c r="T55" i="2"/>
  <c r="H56" i="2"/>
  <c r="Q56" i="2" s="1"/>
  <c r="T56" i="2"/>
  <c r="H57" i="2"/>
  <c r="Q57" i="2" s="1"/>
  <c r="H58" i="2"/>
  <c r="Q58" i="2" s="1"/>
  <c r="T58" i="2"/>
  <c r="H59" i="2"/>
  <c r="Q59" i="2" s="1"/>
  <c r="T59" i="2"/>
  <c r="T62" i="2"/>
  <c r="H62" i="2"/>
  <c r="Q62" i="2" s="1"/>
  <c r="I63" i="2"/>
  <c r="H64" i="2"/>
  <c r="Q64" i="2" s="1"/>
  <c r="T64" i="2"/>
  <c r="H65" i="2"/>
  <c r="Q65" i="2" s="1"/>
  <c r="T65" i="2"/>
  <c r="H68" i="2"/>
  <c r="Q68" i="2" s="1"/>
  <c r="T68" i="2"/>
  <c r="H69" i="2"/>
  <c r="Q69" i="2" s="1"/>
  <c r="T69" i="2"/>
  <c r="H70" i="2"/>
  <c r="Q70" i="2" s="1"/>
  <c r="T70" i="2"/>
  <c r="H72" i="2"/>
  <c r="Q72" i="2" s="1"/>
  <c r="T72" i="2"/>
  <c r="H73" i="2"/>
  <c r="Q73" i="2" s="1"/>
  <c r="T73" i="2"/>
  <c r="H74" i="2"/>
  <c r="Q74" i="2" s="1"/>
  <c r="T74" i="2"/>
  <c r="T75" i="2"/>
  <c r="H76" i="2"/>
  <c r="Q76" i="2" s="1"/>
  <c r="T76" i="2"/>
  <c r="H78" i="2"/>
  <c r="T78" i="2"/>
  <c r="H79" i="2"/>
  <c r="Q79" i="2" s="1"/>
  <c r="T79" i="2"/>
  <c r="I80" i="2"/>
  <c r="H81" i="2"/>
  <c r="Q81" i="2" s="1"/>
  <c r="T81" i="2"/>
  <c r="H82" i="2"/>
  <c r="Q82" i="2" s="1"/>
  <c r="T82" i="2"/>
  <c r="H83" i="2"/>
  <c r="Q83" i="2" s="1"/>
  <c r="T83" i="2"/>
  <c r="H84" i="2"/>
  <c r="Q84" i="2" s="1"/>
  <c r="T84" i="2"/>
  <c r="H85" i="2"/>
  <c r="Q85" i="2" s="1"/>
  <c r="T85" i="2"/>
  <c r="H86" i="2"/>
  <c r="Q86" i="2" s="1"/>
  <c r="T86" i="2"/>
  <c r="H87" i="2"/>
  <c r="Q87" i="2" s="1"/>
  <c r="T87" i="2"/>
  <c r="I93" i="2"/>
  <c r="H94" i="2"/>
  <c r="Q94" i="2" s="1"/>
  <c r="H98" i="2"/>
  <c r="Q98" i="2" s="1"/>
  <c r="T98" i="2"/>
  <c r="H100" i="2"/>
  <c r="H103" i="2"/>
  <c r="T103" i="2"/>
  <c r="I104" i="2"/>
  <c r="I150" i="2" s="1"/>
  <c r="I106" i="2"/>
  <c r="I148" i="2" s="1"/>
  <c r="H107" i="2"/>
  <c r="Q107" i="2" s="1"/>
  <c r="T107" i="2"/>
  <c r="H111" i="2"/>
  <c r="H130" i="2"/>
  <c r="T130" i="2"/>
  <c r="H112" i="2"/>
  <c r="H109" i="2"/>
  <c r="T125" i="2"/>
  <c r="T126" i="2"/>
  <c r="H135" i="2"/>
  <c r="T151" i="2"/>
  <c r="T136" i="2"/>
  <c r="H137" i="2"/>
  <c r="C12" i="1"/>
  <c r="D12" i="1"/>
  <c r="M12" i="1"/>
  <c r="E22" i="1"/>
  <c r="E23" i="1"/>
  <c r="E24" i="1"/>
  <c r="D25" i="1"/>
  <c r="E25" i="1" s="1"/>
  <c r="E26" i="1"/>
  <c r="D16" i="1"/>
  <c r="AI90" i="3"/>
  <c r="AI80" i="3"/>
  <c r="AG84" i="3"/>
  <c r="AG53" i="3"/>
  <c r="H17" i="14"/>
  <c r="H19" i="14" s="1"/>
  <c r="AG31" i="3"/>
  <c r="J31" i="3"/>
  <c r="AG28" i="3"/>
  <c r="AG12" i="3"/>
  <c r="AI11" i="3"/>
  <c r="J12" i="3"/>
  <c r="AG11" i="3"/>
  <c r="AI76" i="3"/>
  <c r="AG47" i="3"/>
  <c r="D13" i="1"/>
  <c r="C13" i="1"/>
  <c r="I13" i="1"/>
  <c r="I12" i="1"/>
  <c r="H71" i="2"/>
  <c r="Q71" i="2" s="1"/>
  <c r="T57" i="2"/>
  <c r="L114" i="2"/>
  <c r="L113" i="2"/>
  <c r="T71" i="2"/>
  <c r="P70" i="2"/>
  <c r="L126" i="2"/>
  <c r="H88" i="2"/>
  <c r="P68" i="2"/>
  <c r="T15" i="2"/>
  <c r="K12" i="1"/>
  <c r="K13" i="1"/>
  <c r="AG90" i="3"/>
  <c r="K92" i="3"/>
  <c r="AI130" i="3"/>
  <c r="AI35" i="3"/>
  <c r="AI18" i="3"/>
  <c r="AI20" i="3"/>
  <c r="M5" i="3"/>
  <c r="AI61" i="3"/>
  <c r="AI36" i="3"/>
  <c r="AG87" i="3"/>
  <c r="AI51" i="3"/>
  <c r="AG51" i="3"/>
  <c r="AG39" i="3"/>
  <c r="AG59" i="3"/>
  <c r="AG36" i="3"/>
  <c r="AG29" i="3"/>
  <c r="T37" i="2"/>
  <c r="T5" i="2"/>
  <c r="T148" i="2"/>
  <c r="T104" i="2"/>
  <c r="T150" i="2"/>
  <c r="P12" i="1"/>
  <c r="T80" i="2"/>
  <c r="AG32" i="3"/>
  <c r="T42" i="2"/>
  <c r="AG85" i="3"/>
  <c r="AG103" i="3"/>
  <c r="AG56" i="3"/>
  <c r="P13" i="1"/>
  <c r="J98" i="2"/>
  <c r="M13" i="1"/>
  <c r="H27" i="14"/>
  <c r="H10" i="14"/>
  <c r="J10" i="14" s="1"/>
  <c r="F13" i="14"/>
  <c r="AG35" i="3"/>
  <c r="AG6" i="3"/>
  <c r="AG106" i="3"/>
  <c r="J94" i="3"/>
  <c r="AG94" i="3"/>
  <c r="J93" i="3"/>
  <c r="AG113" i="3"/>
  <c r="K113" i="3"/>
  <c r="AI33" i="3"/>
  <c r="H13" i="14"/>
  <c r="H34" i="14"/>
  <c r="H36" i="14" s="1"/>
  <c r="AI113" i="3"/>
  <c r="AI94" i="3"/>
  <c r="AI93" i="3"/>
  <c r="P137" i="2" l="1"/>
  <c r="Q137" i="2"/>
  <c r="N137" i="2"/>
  <c r="P130" i="2"/>
  <c r="Q130" i="2"/>
  <c r="Q100" i="2"/>
  <c r="Q78" i="2"/>
  <c r="Q38" i="2"/>
  <c r="Q12" i="2"/>
  <c r="P140" i="2"/>
  <c r="Q140" i="2"/>
  <c r="N140" i="2"/>
  <c r="P109" i="2"/>
  <c r="Q109" i="2"/>
  <c r="P111" i="2"/>
  <c r="Q111" i="2"/>
  <c r="Q103" i="2"/>
  <c r="P141" i="2"/>
  <c r="Q141" i="2"/>
  <c r="N141" i="2"/>
  <c r="Q135" i="2"/>
  <c r="P112" i="2"/>
  <c r="Q112" i="2"/>
  <c r="Q36" i="2"/>
  <c r="Q32" i="2"/>
  <c r="AG73" i="3"/>
  <c r="AI73" i="3"/>
  <c r="AC101" i="3"/>
  <c r="AC102" i="3"/>
  <c r="AB70" i="3"/>
  <c r="AC70" i="3"/>
  <c r="AC62" i="3"/>
  <c r="AF119" i="3"/>
  <c r="P23" i="2"/>
  <c r="P87" i="2"/>
  <c r="J9" i="2"/>
  <c r="L70" i="2"/>
  <c r="J68" i="2"/>
  <c r="N47" i="2"/>
  <c r="J12" i="14"/>
  <c r="L12" i="3"/>
  <c r="X12" i="3" s="1"/>
  <c r="L129" i="3"/>
  <c r="AB129" i="3" s="1"/>
  <c r="L125" i="3"/>
  <c r="K109" i="3"/>
  <c r="L115" i="3"/>
  <c r="T115" i="3" s="1"/>
  <c r="L124" i="3"/>
  <c r="T124" i="3" s="1"/>
  <c r="L105" i="3"/>
  <c r="AL105" i="3" s="1"/>
  <c r="J69" i="3"/>
  <c r="L127" i="3"/>
  <c r="X127" i="3" s="1"/>
  <c r="L68" i="3"/>
  <c r="X68" i="3" s="1"/>
  <c r="L126" i="3"/>
  <c r="AB126" i="3" s="1"/>
  <c r="P10" i="2"/>
  <c r="F33" i="14"/>
  <c r="L28" i="3"/>
  <c r="AC28" i="3" s="1"/>
  <c r="N112" i="2"/>
  <c r="L56" i="2"/>
  <c r="N109" i="2"/>
  <c r="N111" i="2"/>
  <c r="N130" i="2"/>
  <c r="L107" i="3"/>
  <c r="AC107" i="3" s="1"/>
  <c r="H26" i="1"/>
  <c r="K26" i="1"/>
  <c r="L14" i="3"/>
  <c r="L59" i="2"/>
  <c r="L67" i="3"/>
  <c r="L94" i="3"/>
  <c r="AL94" i="3" s="1"/>
  <c r="L31" i="3"/>
  <c r="AC31" i="3" s="1"/>
  <c r="L103" i="3"/>
  <c r="AL103" i="3" s="1"/>
  <c r="L98" i="3"/>
  <c r="AL98" i="3" s="1"/>
  <c r="L90" i="3"/>
  <c r="L79" i="3"/>
  <c r="AL79" i="3" s="1"/>
  <c r="L56" i="3"/>
  <c r="AC56" i="3" s="1"/>
  <c r="L50" i="3"/>
  <c r="L43" i="3"/>
  <c r="L41" i="3"/>
  <c r="AC41" i="3" s="1"/>
  <c r="L39" i="3"/>
  <c r="AC39" i="3" s="1"/>
  <c r="L35" i="3"/>
  <c r="AC35" i="3" s="1"/>
  <c r="L32" i="3"/>
  <c r="AC32" i="3" s="1"/>
  <c r="L91" i="3"/>
  <c r="X91" i="3" s="1"/>
  <c r="L83" i="3"/>
  <c r="AC83" i="3" s="1"/>
  <c r="L75" i="3"/>
  <c r="L74" i="3"/>
  <c r="O30" i="3"/>
  <c r="L89" i="3"/>
  <c r="L85" i="3"/>
  <c r="L81" i="3"/>
  <c r="T81" i="3" s="1"/>
  <c r="L73" i="3"/>
  <c r="L45" i="3"/>
  <c r="AC45" i="3" s="1"/>
  <c r="L97" i="3"/>
  <c r="AB97" i="3" s="1"/>
  <c r="L87" i="3"/>
  <c r="L86" i="3"/>
  <c r="AC86" i="3" s="1"/>
  <c r="L77" i="3"/>
  <c r="L53" i="3"/>
  <c r="X53" i="3" s="1"/>
  <c r="L52" i="3"/>
  <c r="L51" i="3"/>
  <c r="X51" i="3" s="1"/>
  <c r="L46" i="3"/>
  <c r="AC46" i="3" s="1"/>
  <c r="L38" i="3"/>
  <c r="AC38" i="3" s="1"/>
  <c r="L88" i="3"/>
  <c r="T88" i="3" s="1"/>
  <c r="L34" i="3"/>
  <c r="AC34" i="3" s="1"/>
  <c r="L33" i="3"/>
  <c r="AC33" i="3" s="1"/>
  <c r="L36" i="3"/>
  <c r="AC36" i="3" s="1"/>
  <c r="L47" i="3"/>
  <c r="L59" i="3"/>
  <c r="L27" i="3"/>
  <c r="AC27" i="3" s="1"/>
  <c r="L15" i="3"/>
  <c r="AC15" i="3" s="1"/>
  <c r="K10" i="3"/>
  <c r="N19" i="2"/>
  <c r="G149" i="2"/>
  <c r="G152" i="2" s="1"/>
  <c r="N79" i="2"/>
  <c r="Q75" i="2"/>
  <c r="L71" i="2"/>
  <c r="L85" i="2"/>
  <c r="P56" i="2"/>
  <c r="N73" i="2"/>
  <c r="L68" i="2"/>
  <c r="L140" i="2"/>
  <c r="N18" i="2"/>
  <c r="P17" i="2"/>
  <c r="K149" i="2"/>
  <c r="K152" i="2" s="1"/>
  <c r="I10" i="1"/>
  <c r="I14" i="1" s="1"/>
  <c r="AL67" i="3"/>
  <c r="G29" i="14"/>
  <c r="J27" i="14"/>
  <c r="E12" i="1"/>
  <c r="J12" i="1" s="1"/>
  <c r="K119" i="3"/>
  <c r="K114" i="3" s="1"/>
  <c r="P125" i="3"/>
  <c r="AL102" i="3"/>
  <c r="L61" i="3"/>
  <c r="L60" i="3"/>
  <c r="AC60" i="3" s="1"/>
  <c r="J15" i="14"/>
  <c r="O5" i="3"/>
  <c r="G119" i="3"/>
  <c r="G114" i="3" s="1"/>
  <c r="G131" i="3" s="1"/>
  <c r="N70" i="2"/>
  <c r="L16" i="2"/>
  <c r="J23" i="2"/>
  <c r="E20" i="14"/>
  <c r="N50" i="2"/>
  <c r="J17" i="2"/>
  <c r="N57" i="2"/>
  <c r="J103" i="2"/>
  <c r="F16" i="14"/>
  <c r="L20" i="2"/>
  <c r="T39" i="2"/>
  <c r="L44" i="2"/>
  <c r="N65" i="2"/>
  <c r="P9" i="2"/>
  <c r="J21" i="2"/>
  <c r="J33" i="14"/>
  <c r="J71" i="2"/>
  <c r="L57" i="2"/>
  <c r="P71" i="2"/>
  <c r="J87" i="2"/>
  <c r="N98" i="2"/>
  <c r="J130" i="2"/>
  <c r="P79" i="2"/>
  <c r="L78" i="2"/>
  <c r="N64" i="2"/>
  <c r="N53" i="2"/>
  <c r="E7" i="14"/>
  <c r="E8" i="14" s="1"/>
  <c r="H37" i="2"/>
  <c r="P85" i="2"/>
  <c r="L69" i="2"/>
  <c r="L35" i="2"/>
  <c r="N71" i="2"/>
  <c r="J112" i="2"/>
  <c r="J73" i="2"/>
  <c r="N68" i="2"/>
  <c r="L55" i="2"/>
  <c r="E17" i="14"/>
  <c r="E19" i="14" s="1"/>
  <c r="J140" i="2"/>
  <c r="J109" i="2"/>
  <c r="J111" i="2"/>
  <c r="H93" i="2"/>
  <c r="Q93" i="2" s="1"/>
  <c r="N76" i="2"/>
  <c r="J56" i="2"/>
  <c r="N52" i="2"/>
  <c r="Q27" i="2"/>
  <c r="N24" i="2"/>
  <c r="L19" i="2"/>
  <c r="L10" i="2"/>
  <c r="N17" i="2"/>
  <c r="J22" i="2"/>
  <c r="J18" i="2"/>
  <c r="L7" i="2"/>
  <c r="J5" i="3"/>
  <c r="J6" i="2"/>
  <c r="J19" i="14"/>
  <c r="J24" i="2"/>
  <c r="N23" i="2"/>
  <c r="P6" i="2"/>
  <c r="E13" i="1"/>
  <c r="G13" i="1"/>
  <c r="N87" i="2"/>
  <c r="E14" i="14"/>
  <c r="N56" i="2"/>
  <c r="J52" i="2"/>
  <c r="L47" i="2"/>
  <c r="N107" i="2"/>
  <c r="P22" i="2"/>
  <c r="J8" i="2"/>
  <c r="J7" i="2"/>
  <c r="P53" i="2"/>
  <c r="AB12" i="3"/>
  <c r="T105" i="3"/>
  <c r="X105" i="3"/>
  <c r="AB14" i="3"/>
  <c r="N44" i="2"/>
  <c r="H75" i="2"/>
  <c r="N75" i="2" s="1"/>
  <c r="X115" i="3"/>
  <c r="X107" i="3"/>
  <c r="AB77" i="3"/>
  <c r="G143" i="2"/>
  <c r="F131" i="3"/>
  <c r="E29" i="14"/>
  <c r="I95" i="2"/>
  <c r="I147" i="2" s="1"/>
  <c r="G11" i="1" s="1"/>
  <c r="X103" i="3"/>
  <c r="T59" i="3"/>
  <c r="N25" i="2"/>
  <c r="P25" i="2"/>
  <c r="L9" i="2"/>
  <c r="Q104" i="2"/>
  <c r="Q150" i="2" s="1"/>
  <c r="P58" i="2"/>
  <c r="AB127" i="3"/>
  <c r="AL126" i="3"/>
  <c r="T126" i="3"/>
  <c r="X125" i="3"/>
  <c r="T125" i="3"/>
  <c r="P105" i="3"/>
  <c r="X101" i="3"/>
  <c r="T101" i="3"/>
  <c r="AB101" i="3"/>
  <c r="X75" i="3"/>
  <c r="L58" i="3"/>
  <c r="L29" i="3"/>
  <c r="AC29" i="3" s="1"/>
  <c r="F25" i="14"/>
  <c r="J14" i="14"/>
  <c r="F95" i="2"/>
  <c r="F147" i="2" s="1"/>
  <c r="N26" i="1"/>
  <c r="J26" i="1"/>
  <c r="L26" i="1"/>
  <c r="O72" i="3"/>
  <c r="P14" i="3"/>
  <c r="L13" i="3"/>
  <c r="AC13" i="3" s="1"/>
  <c r="L11" i="3"/>
  <c r="AC11" i="3" s="1"/>
  <c r="L20" i="3"/>
  <c r="AC20" i="3" s="1"/>
  <c r="D17" i="1"/>
  <c r="L65" i="3"/>
  <c r="AC65" i="3" s="1"/>
  <c r="O57" i="3"/>
  <c r="O44" i="3"/>
  <c r="K5" i="3"/>
  <c r="O16" i="3"/>
  <c r="J109" i="3"/>
  <c r="L24" i="3"/>
  <c r="J16" i="3"/>
  <c r="P115" i="3"/>
  <c r="K16" i="3"/>
  <c r="K69" i="3"/>
  <c r="O10" i="3"/>
  <c r="L17" i="3"/>
  <c r="AC17" i="3" s="1"/>
  <c r="L40" i="3"/>
  <c r="AC40" i="3" s="1"/>
  <c r="O104" i="3"/>
  <c r="AG92" i="3"/>
  <c r="AG123" i="3"/>
  <c r="AG10" i="3"/>
  <c r="AI115" i="3"/>
  <c r="AG30" i="3"/>
  <c r="H16" i="14"/>
  <c r="J123" i="3"/>
  <c r="AG111" i="3"/>
  <c r="L71" i="3"/>
  <c r="J30" i="3"/>
  <c r="M16" i="1"/>
  <c r="I15" i="1"/>
  <c r="L122" i="3"/>
  <c r="L76" i="3"/>
  <c r="I16" i="1"/>
  <c r="M131" i="3"/>
  <c r="G15" i="1" s="1"/>
  <c r="O109" i="3"/>
  <c r="P101" i="3"/>
  <c r="O92" i="3"/>
  <c r="P46" i="3"/>
  <c r="L113" i="3"/>
  <c r="J92" i="3"/>
  <c r="J10" i="3"/>
  <c r="P12" i="3"/>
  <c r="AL12" i="3"/>
  <c r="P26" i="3"/>
  <c r="L111" i="3"/>
  <c r="L84" i="3"/>
  <c r="L6" i="3"/>
  <c r="AC6" i="3" s="1"/>
  <c r="L112" i="3"/>
  <c r="L18" i="3"/>
  <c r="AC18" i="3" s="1"/>
  <c r="E131" i="3"/>
  <c r="C15" i="1" s="1"/>
  <c r="J57" i="3"/>
  <c r="M15" i="1"/>
  <c r="J119" i="3"/>
  <c r="AI92" i="3"/>
  <c r="AG107" i="3"/>
  <c r="AG97" i="3"/>
  <c r="AI97" i="3"/>
  <c r="AI12" i="3"/>
  <c r="J44" i="3"/>
  <c r="P59" i="3"/>
  <c r="AL129" i="3"/>
  <c r="O123" i="3"/>
  <c r="AG124" i="3"/>
  <c r="L110" i="3"/>
  <c r="AG105" i="3"/>
  <c r="L93" i="3"/>
  <c r="AL101" i="3"/>
  <c r="K130" i="3"/>
  <c r="K123" i="3" s="1"/>
  <c r="J13" i="14"/>
  <c r="N131" i="3"/>
  <c r="K16" i="1"/>
  <c r="L99" i="3"/>
  <c r="K72" i="3"/>
  <c r="AG60" i="3"/>
  <c r="AI45" i="3"/>
  <c r="AG88" i="3"/>
  <c r="J8" i="14"/>
  <c r="AG104" i="3"/>
  <c r="K57" i="3"/>
  <c r="AG50" i="3"/>
  <c r="L9" i="3"/>
  <c r="AC9" i="3" s="1"/>
  <c r="J29" i="14"/>
  <c r="AG98" i="3"/>
  <c r="P52" i="2"/>
  <c r="L87" i="2"/>
  <c r="L24" i="2"/>
  <c r="P20" i="2"/>
  <c r="E10" i="14"/>
  <c r="P47" i="2"/>
  <c r="E12" i="14"/>
  <c r="H104" i="2"/>
  <c r="H150" i="2" s="1"/>
  <c r="J25" i="2"/>
  <c r="E32" i="14"/>
  <c r="L98" i="2"/>
  <c r="N8" i="2"/>
  <c r="N9" i="2"/>
  <c r="L21" i="2"/>
  <c r="J20" i="2"/>
  <c r="O12" i="1"/>
  <c r="T106" i="2"/>
  <c r="P98" i="2"/>
  <c r="P55" i="2"/>
  <c r="L52" i="2"/>
  <c r="P50" i="2"/>
  <c r="L38" i="2"/>
  <c r="D14" i="1"/>
  <c r="K143" i="2"/>
  <c r="S149" i="2"/>
  <c r="S152" i="2" s="1"/>
  <c r="P10" i="1"/>
  <c r="P14" i="1" s="1"/>
  <c r="L109" i="2"/>
  <c r="Q13" i="1"/>
  <c r="Q12" i="1"/>
  <c r="L112" i="2"/>
  <c r="L49" i="2"/>
  <c r="J64" i="2"/>
  <c r="L103" i="2"/>
  <c r="N103" i="2"/>
  <c r="L51" i="2"/>
  <c r="E34" i="14"/>
  <c r="P49" i="2"/>
  <c r="P64" i="2"/>
  <c r="L79" i="2"/>
  <c r="J107" i="2"/>
  <c r="P16" i="2"/>
  <c r="N10" i="2"/>
  <c r="L8" i="2"/>
  <c r="J50" i="2"/>
  <c r="N21" i="2"/>
  <c r="L6" i="2"/>
  <c r="N6" i="2"/>
  <c r="L17" i="2"/>
  <c r="J10" i="2"/>
  <c r="P76" i="2"/>
  <c r="J47" i="2"/>
  <c r="N38" i="2"/>
  <c r="F142" i="2"/>
  <c r="T142" i="2" s="1"/>
  <c r="O149" i="2"/>
  <c r="O152" i="2" s="1"/>
  <c r="P107" i="2"/>
  <c r="P59" i="2"/>
  <c r="Q88" i="2"/>
  <c r="F22" i="14"/>
  <c r="J22" i="14" s="1"/>
  <c r="F36" i="14"/>
  <c r="J36" i="14" s="1"/>
  <c r="L111" i="2"/>
  <c r="M14" i="1"/>
  <c r="L125" i="2"/>
  <c r="N83" i="2"/>
  <c r="N82" i="2"/>
  <c r="H80" i="2"/>
  <c r="J80" i="2" s="1"/>
  <c r="H42" i="2"/>
  <c r="L42" i="2" s="1"/>
  <c r="N43" i="2"/>
  <c r="J32" i="2"/>
  <c r="N32" i="2"/>
  <c r="E23" i="14"/>
  <c r="L32" i="2"/>
  <c r="N22" i="2"/>
  <c r="L22" i="2"/>
  <c r="P18" i="2"/>
  <c r="H15" i="2"/>
  <c r="J15" i="2" s="1"/>
  <c r="L18" i="2"/>
  <c r="I39" i="2"/>
  <c r="I146" i="2" s="1"/>
  <c r="J13" i="2"/>
  <c r="L13" i="2"/>
  <c r="P13" i="2"/>
  <c r="N13" i="2"/>
  <c r="J84" i="2"/>
  <c r="P84" i="2"/>
  <c r="L84" i="2"/>
  <c r="N84" i="2"/>
  <c r="N74" i="2"/>
  <c r="L74" i="2"/>
  <c r="P74" i="2"/>
  <c r="E24" i="14"/>
  <c r="P62" i="2"/>
  <c r="L62" i="2"/>
  <c r="N62" i="2"/>
  <c r="P48" i="2"/>
  <c r="L48" i="2"/>
  <c r="E21" i="14"/>
  <c r="J30" i="2"/>
  <c r="P30" i="2"/>
  <c r="L30" i="2"/>
  <c r="N30" i="2"/>
  <c r="H106" i="2"/>
  <c r="P106" i="2" s="1"/>
  <c r="L129" i="2"/>
  <c r="L86" i="2"/>
  <c r="J86" i="2"/>
  <c r="N86" i="2"/>
  <c r="P72" i="2"/>
  <c r="L72" i="2"/>
  <c r="N72" i="2"/>
  <c r="L34" i="2"/>
  <c r="N34" i="2"/>
  <c r="P34" i="2"/>
  <c r="N11" i="2"/>
  <c r="L11" i="2"/>
  <c r="J11" i="2"/>
  <c r="N7" i="2"/>
  <c r="H5" i="2"/>
  <c r="P7" i="2"/>
  <c r="M149" i="2"/>
  <c r="M152" i="2" s="1"/>
  <c r="K10" i="1"/>
  <c r="K14" i="1" s="1"/>
  <c r="M143" i="2"/>
  <c r="O143" i="2"/>
  <c r="N51" i="2"/>
  <c r="P44" i="2"/>
  <c r="P51" i="2"/>
  <c r="E15" i="14"/>
  <c r="E13" i="14"/>
  <c r="H63" i="2"/>
  <c r="J63" i="2" s="1"/>
  <c r="N78" i="2"/>
  <c r="N20" i="2"/>
  <c r="P24" i="2"/>
  <c r="L23" i="2"/>
  <c r="P8" i="2"/>
  <c r="J16" i="2"/>
  <c r="N16" i="2"/>
  <c r="P19" i="2"/>
  <c r="J19" i="2"/>
  <c r="T63" i="2"/>
  <c r="S143" i="2"/>
  <c r="T146" i="2"/>
  <c r="C10" i="1"/>
  <c r="I142" i="2"/>
  <c r="P103" i="2"/>
  <c r="N85" i="2"/>
  <c r="J83" i="2"/>
  <c r="J82" i="2"/>
  <c r="L81" i="2"/>
  <c r="L73" i="2"/>
  <c r="P69" i="2"/>
  <c r="J65" i="2"/>
  <c r="N54" i="2"/>
  <c r="L43" i="2"/>
  <c r="N35" i="2"/>
  <c r="P83" i="2"/>
  <c r="P82" i="2"/>
  <c r="P81" i="2"/>
  <c r="P36" i="2"/>
  <c r="P33" i="2"/>
  <c r="H31" i="2"/>
  <c r="P11" i="2"/>
  <c r="L130" i="2"/>
  <c r="L107" i="2"/>
  <c r="L83" i="2"/>
  <c r="L82" i="2"/>
  <c r="N81" i="2"/>
  <c r="J76" i="2"/>
  <c r="P73" i="2"/>
  <c r="J72" i="2"/>
  <c r="L65" i="2"/>
  <c r="N55" i="2"/>
  <c r="P54" i="2"/>
  <c r="L50" i="2"/>
  <c r="P43" i="2"/>
  <c r="N36" i="2"/>
  <c r="P35" i="2"/>
  <c r="N33" i="2"/>
  <c r="P32" i="2"/>
  <c r="G12" i="1"/>
  <c r="N37" i="2"/>
  <c r="L37" i="2"/>
  <c r="H136" i="2"/>
  <c r="P86" i="2"/>
  <c r="J85" i="2"/>
  <c r="J79" i="2"/>
  <c r="J78" i="2"/>
  <c r="L76" i="2"/>
  <c r="J69" i="2"/>
  <c r="L64" i="2"/>
  <c r="J59" i="2"/>
  <c r="J58" i="2"/>
  <c r="J57" i="2"/>
  <c r="J55" i="2"/>
  <c r="J54" i="2"/>
  <c r="L53" i="2"/>
  <c r="J51" i="2"/>
  <c r="N49" i="2"/>
  <c r="J48" i="2"/>
  <c r="J44" i="2"/>
  <c r="P38" i="2"/>
  <c r="J36" i="2"/>
  <c r="J35" i="2"/>
  <c r="J34" i="2"/>
  <c r="J33" i="2"/>
  <c r="H27" i="2"/>
  <c r="L25" i="2"/>
  <c r="P57" i="2"/>
  <c r="J53" i="2"/>
  <c r="J49" i="2"/>
  <c r="N48" i="2"/>
  <c r="P21" i="2"/>
  <c r="E30" i="14"/>
  <c r="E35" i="14"/>
  <c r="P78" i="2"/>
  <c r="N69" i="2"/>
  <c r="N59" i="2"/>
  <c r="N58" i="2"/>
  <c r="Q37" i="2"/>
  <c r="J81" i="2"/>
  <c r="J74" i="2"/>
  <c r="J70" i="2"/>
  <c r="P65" i="2"/>
  <c r="J62" i="2"/>
  <c r="L58" i="2"/>
  <c r="L54" i="2"/>
  <c r="J43" i="2"/>
  <c r="J38" i="2"/>
  <c r="L36" i="2"/>
  <c r="L33" i="2"/>
  <c r="N26" i="2"/>
  <c r="AI104" i="3"/>
  <c r="AI107" i="3"/>
  <c r="AL127" i="3"/>
  <c r="AG20" i="3"/>
  <c r="AG130" i="3"/>
  <c r="AG89" i="3"/>
  <c r="P126" i="3"/>
  <c r="AG61" i="3"/>
  <c r="G10" i="14"/>
  <c r="AI6" i="3"/>
  <c r="J106" i="3"/>
  <c r="AG33" i="3"/>
  <c r="AG129" i="3"/>
  <c r="J72" i="3"/>
  <c r="L80" i="3"/>
  <c r="O114" i="3"/>
  <c r="H25" i="14"/>
  <c r="AG83" i="3"/>
  <c r="AG38" i="3"/>
  <c r="X15" i="3" l="1"/>
  <c r="T129" i="3"/>
  <c r="X129" i="3"/>
  <c r="X94" i="3"/>
  <c r="AB115" i="3"/>
  <c r="X33" i="3"/>
  <c r="N80" i="2"/>
  <c r="L31" i="2"/>
  <c r="Q31" i="2"/>
  <c r="T95" i="2"/>
  <c r="T60" i="3"/>
  <c r="P15" i="3"/>
  <c r="AL15" i="3"/>
  <c r="X97" i="3"/>
  <c r="AL86" i="3"/>
  <c r="P88" i="3"/>
  <c r="P60" i="3"/>
  <c r="P107" i="3"/>
  <c r="AL115" i="3"/>
  <c r="AB15" i="3"/>
  <c r="AB28" i="3"/>
  <c r="AC122" i="3"/>
  <c r="AC73" i="3"/>
  <c r="AB68" i="3"/>
  <c r="AB98" i="3"/>
  <c r="AC59" i="3"/>
  <c r="AC88" i="3"/>
  <c r="AC52" i="3"/>
  <c r="AB52" i="3"/>
  <c r="AC77" i="3"/>
  <c r="AC87" i="3"/>
  <c r="X14" i="3"/>
  <c r="AC14" i="3"/>
  <c r="AB125" i="3"/>
  <c r="AC125" i="3"/>
  <c r="AC12" i="3"/>
  <c r="AC110" i="3"/>
  <c r="AC71" i="3"/>
  <c r="AC24" i="3"/>
  <c r="AC93" i="3"/>
  <c r="AC84" i="3"/>
  <c r="G12" i="14"/>
  <c r="AB31" i="3"/>
  <c r="X87" i="3"/>
  <c r="T107" i="3"/>
  <c r="X45" i="3"/>
  <c r="AC81" i="3"/>
  <c r="AC89" i="3"/>
  <c r="AC74" i="3"/>
  <c r="AC43" i="3"/>
  <c r="AC90" i="3"/>
  <c r="AC103" i="3"/>
  <c r="AC94" i="3"/>
  <c r="AC92" i="3" s="1"/>
  <c r="X126" i="3"/>
  <c r="AC126" i="3"/>
  <c r="AC127" i="3"/>
  <c r="AC105" i="3"/>
  <c r="AC115" i="3"/>
  <c r="AC99" i="3"/>
  <c r="AC112" i="3"/>
  <c r="AC85" i="3"/>
  <c r="AC75" i="3"/>
  <c r="AC91" i="3"/>
  <c r="AB50" i="3"/>
  <c r="AC50" i="3"/>
  <c r="AC79" i="3"/>
  <c r="AC98" i="3"/>
  <c r="AC68" i="3"/>
  <c r="AC124" i="3"/>
  <c r="AC80" i="3"/>
  <c r="AL124" i="3"/>
  <c r="AC111" i="3"/>
  <c r="AC113" i="3"/>
  <c r="AC76" i="3"/>
  <c r="AC58" i="3"/>
  <c r="AB59" i="3"/>
  <c r="X88" i="3"/>
  <c r="X124" i="3"/>
  <c r="T14" i="3"/>
  <c r="X73" i="3"/>
  <c r="AC61" i="3"/>
  <c r="AL75" i="3"/>
  <c r="AC47" i="3"/>
  <c r="AB51" i="3"/>
  <c r="AC51" i="3"/>
  <c r="AB53" i="3"/>
  <c r="AC53" i="3"/>
  <c r="AC97" i="3"/>
  <c r="AC67" i="3"/>
  <c r="AC129" i="3"/>
  <c r="AL107" i="3"/>
  <c r="AB107" i="3"/>
  <c r="AL34" i="3"/>
  <c r="AL35" i="3"/>
  <c r="T36" i="3"/>
  <c r="AL32" i="3"/>
  <c r="AL33" i="3"/>
  <c r="P50" i="3"/>
  <c r="X31" i="3"/>
  <c r="X27" i="3"/>
  <c r="AF114" i="3"/>
  <c r="AF131" i="3" s="1"/>
  <c r="AH119" i="3"/>
  <c r="P28" i="3"/>
  <c r="T27" i="3"/>
  <c r="AD114" i="3"/>
  <c r="AD131" i="3" s="1"/>
  <c r="AF132" i="3" s="1"/>
  <c r="X60" i="3"/>
  <c r="X36" i="3"/>
  <c r="P94" i="3"/>
  <c r="AL77" i="3"/>
  <c r="P52" i="3"/>
  <c r="AL59" i="3"/>
  <c r="T68" i="3"/>
  <c r="X90" i="3"/>
  <c r="T46" i="3"/>
  <c r="AB86" i="3"/>
  <c r="P67" i="3"/>
  <c r="T67" i="3"/>
  <c r="AB103" i="3"/>
  <c r="T53" i="3"/>
  <c r="X86" i="3"/>
  <c r="P51" i="3"/>
  <c r="P97" i="3"/>
  <c r="AB94" i="3"/>
  <c r="T103" i="3"/>
  <c r="AL31" i="3"/>
  <c r="P31" i="3"/>
  <c r="AB32" i="3"/>
  <c r="AL38" i="3"/>
  <c r="G22" i="14"/>
  <c r="X28" i="3"/>
  <c r="I10" i="14"/>
  <c r="K10" i="14" s="1"/>
  <c r="P124" i="3"/>
  <c r="P103" i="3"/>
  <c r="P89" i="3"/>
  <c r="T127" i="3"/>
  <c r="T94" i="3"/>
  <c r="X67" i="3"/>
  <c r="AL68" i="3"/>
  <c r="AB124" i="3"/>
  <c r="AB46" i="3"/>
  <c r="X52" i="3"/>
  <c r="P68" i="3"/>
  <c r="T87" i="3"/>
  <c r="T97" i="3"/>
  <c r="AB45" i="3"/>
  <c r="AB105" i="3"/>
  <c r="T12" i="3"/>
  <c r="P45" i="3"/>
  <c r="P129" i="3"/>
  <c r="P127" i="3"/>
  <c r="AL125" i="3"/>
  <c r="L12" i="1"/>
  <c r="AL61" i="3"/>
  <c r="P86" i="3"/>
  <c r="AL28" i="3"/>
  <c r="AL51" i="3"/>
  <c r="AB41" i="3"/>
  <c r="AB67" i="3"/>
  <c r="T38" i="3"/>
  <c r="T51" i="3"/>
  <c r="T86" i="3"/>
  <c r="T28" i="3"/>
  <c r="T85" i="3"/>
  <c r="P83" i="3"/>
  <c r="N12" i="1"/>
  <c r="AB38" i="3"/>
  <c r="X38" i="3"/>
  <c r="O13" i="1"/>
  <c r="AL14" i="3"/>
  <c r="AL43" i="3"/>
  <c r="AL89" i="3"/>
  <c r="P81" i="3"/>
  <c r="X74" i="3"/>
  <c r="X83" i="3"/>
  <c r="T39" i="3"/>
  <c r="AB43" i="3"/>
  <c r="AB56" i="3"/>
  <c r="AB90" i="3"/>
  <c r="X81" i="3"/>
  <c r="X89" i="3"/>
  <c r="AL60" i="3"/>
  <c r="AL90" i="3"/>
  <c r="X34" i="3"/>
  <c r="AL53" i="3"/>
  <c r="AL39" i="3"/>
  <c r="AL56" i="3"/>
  <c r="P56" i="3"/>
  <c r="T74" i="3"/>
  <c r="T83" i="3"/>
  <c r="T32" i="3"/>
  <c r="X39" i="3"/>
  <c r="X43" i="3"/>
  <c r="X56" i="3"/>
  <c r="T47" i="3"/>
  <c r="AB81" i="3"/>
  <c r="AB89" i="3"/>
  <c r="AL74" i="3"/>
  <c r="AL36" i="3"/>
  <c r="X35" i="3"/>
  <c r="P32" i="3"/>
  <c r="P39" i="3"/>
  <c r="P47" i="3"/>
  <c r="AL81" i="3"/>
  <c r="AB74" i="3"/>
  <c r="AB83" i="3"/>
  <c r="X32" i="3"/>
  <c r="AB39" i="3"/>
  <c r="T43" i="3"/>
  <c r="T56" i="3"/>
  <c r="T90" i="3"/>
  <c r="AL47" i="3"/>
  <c r="P90" i="3"/>
  <c r="G15" i="14"/>
  <c r="I15" i="14" s="1"/>
  <c r="T89" i="3"/>
  <c r="P43" i="3"/>
  <c r="AL83" i="3"/>
  <c r="G13" i="14"/>
  <c r="I13" i="14" s="1"/>
  <c r="P74" i="3"/>
  <c r="I29" i="14"/>
  <c r="K29" i="14" s="1"/>
  <c r="J16" i="14"/>
  <c r="AB36" i="3"/>
  <c r="AB34" i="3"/>
  <c r="T34" i="3"/>
  <c r="AL85" i="3"/>
  <c r="AL50" i="3"/>
  <c r="AL91" i="3"/>
  <c r="T91" i="3"/>
  <c r="AB35" i="3"/>
  <c r="T41" i="3"/>
  <c r="AB73" i="3"/>
  <c r="P85" i="3"/>
  <c r="AL52" i="3"/>
  <c r="AL45" i="3"/>
  <c r="G17" i="14"/>
  <c r="G19" i="14" s="1"/>
  <c r="I19" i="14" s="1"/>
  <c r="K19" i="14" s="1"/>
  <c r="P91" i="3"/>
  <c r="L44" i="3"/>
  <c r="X44" i="3" s="1"/>
  <c r="P27" i="3"/>
  <c r="AL27" i="3"/>
  <c r="P33" i="3"/>
  <c r="P41" i="3"/>
  <c r="P73" i="3"/>
  <c r="P87" i="3"/>
  <c r="AB75" i="3"/>
  <c r="AB91" i="3"/>
  <c r="T35" i="3"/>
  <c r="X79" i="3"/>
  <c r="AB88" i="3"/>
  <c r="T98" i="3"/>
  <c r="T31" i="3"/>
  <c r="AB61" i="3"/>
  <c r="X47" i="3"/>
  <c r="T77" i="3"/>
  <c r="T33" i="3"/>
  <c r="T45" i="3"/>
  <c r="AB85" i="3"/>
  <c r="P53" i="3"/>
  <c r="P98" i="3"/>
  <c r="AL87" i="3"/>
  <c r="AL73" i="3"/>
  <c r="T50" i="3"/>
  <c r="AB79" i="3"/>
  <c r="P79" i="3"/>
  <c r="P77" i="3"/>
  <c r="AL88" i="3"/>
  <c r="AL46" i="3"/>
  <c r="P35" i="3"/>
  <c r="P75" i="3"/>
  <c r="T75" i="3"/>
  <c r="AB27" i="3"/>
  <c r="X41" i="3"/>
  <c r="X50" i="3"/>
  <c r="T79" i="3"/>
  <c r="X98" i="3"/>
  <c r="X46" i="3"/>
  <c r="AB47" i="3"/>
  <c r="T52" i="3"/>
  <c r="X77" i="3"/>
  <c r="AB87" i="3"/>
  <c r="AB33" i="3"/>
  <c r="T73" i="3"/>
  <c r="X85" i="3"/>
  <c r="AL41" i="3"/>
  <c r="P38" i="3"/>
  <c r="AL97" i="3"/>
  <c r="P34" i="3"/>
  <c r="P36" i="3"/>
  <c r="J114" i="3"/>
  <c r="AL11" i="3"/>
  <c r="P61" i="3"/>
  <c r="X59" i="3"/>
  <c r="T15" i="3"/>
  <c r="T61" i="3"/>
  <c r="AL24" i="3"/>
  <c r="H12" i="1"/>
  <c r="I12" i="14"/>
  <c r="N13" i="1"/>
  <c r="AL17" i="3"/>
  <c r="P29" i="3"/>
  <c r="P24" i="3"/>
  <c r="X61" i="3"/>
  <c r="P20" i="3"/>
  <c r="P65" i="3"/>
  <c r="AG119" i="3"/>
  <c r="G132" i="3"/>
  <c r="E22" i="14"/>
  <c r="H95" i="2"/>
  <c r="H147" i="2" s="1"/>
  <c r="J147" i="2" s="1"/>
  <c r="L75" i="2"/>
  <c r="F143" i="2"/>
  <c r="T143" i="2" s="1"/>
  <c r="N63" i="2"/>
  <c r="P104" i="2"/>
  <c r="J75" i="2"/>
  <c r="P75" i="2"/>
  <c r="P37" i="2"/>
  <c r="J37" i="2"/>
  <c r="L13" i="1"/>
  <c r="J25" i="14"/>
  <c r="J13" i="1"/>
  <c r="H13" i="1"/>
  <c r="D19" i="1"/>
  <c r="L63" i="2"/>
  <c r="E36" i="14"/>
  <c r="AB6" i="3"/>
  <c r="T6" i="3"/>
  <c r="X6" i="3"/>
  <c r="T76" i="3"/>
  <c r="X76" i="3"/>
  <c r="AB76" i="3"/>
  <c r="AB13" i="3"/>
  <c r="X13" i="3"/>
  <c r="T13" i="3"/>
  <c r="X58" i="3"/>
  <c r="AB58" i="3"/>
  <c r="T58" i="3"/>
  <c r="AB84" i="3"/>
  <c r="T84" i="3"/>
  <c r="X84" i="3"/>
  <c r="L10" i="3"/>
  <c r="P10" i="3" s="1"/>
  <c r="T122" i="3"/>
  <c r="X122" i="3"/>
  <c r="AB122" i="3"/>
  <c r="T24" i="3"/>
  <c r="X24" i="3"/>
  <c r="AB24" i="3"/>
  <c r="Q10" i="1"/>
  <c r="X99" i="3"/>
  <c r="AB99" i="3"/>
  <c r="T99" i="3"/>
  <c r="AB110" i="3"/>
  <c r="X110" i="3"/>
  <c r="T110" i="3"/>
  <c r="X18" i="3"/>
  <c r="AB18" i="3"/>
  <c r="T18" i="3"/>
  <c r="T111" i="3"/>
  <c r="X111" i="3"/>
  <c r="AB111" i="3"/>
  <c r="L57" i="3"/>
  <c r="P57" i="3" s="1"/>
  <c r="P58" i="3"/>
  <c r="L30" i="3"/>
  <c r="AB40" i="3"/>
  <c r="X40" i="3"/>
  <c r="T40" i="3"/>
  <c r="AL13" i="3"/>
  <c r="T20" i="3"/>
  <c r="AB20" i="3"/>
  <c r="X20" i="3"/>
  <c r="X80" i="3"/>
  <c r="AB80" i="3"/>
  <c r="T80" i="3"/>
  <c r="J31" i="2"/>
  <c r="AB93" i="3"/>
  <c r="T93" i="3"/>
  <c r="X93" i="3"/>
  <c r="P112" i="3"/>
  <c r="X112" i="3"/>
  <c r="AB112" i="3"/>
  <c r="T112" i="3"/>
  <c r="AB113" i="3"/>
  <c r="T113" i="3"/>
  <c r="X113" i="3"/>
  <c r="AB17" i="3"/>
  <c r="X17" i="3"/>
  <c r="T17" i="3"/>
  <c r="AB65" i="3"/>
  <c r="T65" i="3"/>
  <c r="X65" i="3"/>
  <c r="T11" i="3"/>
  <c r="AB11" i="3"/>
  <c r="X11" i="3"/>
  <c r="X29" i="3"/>
  <c r="T29" i="3"/>
  <c r="AB29" i="3"/>
  <c r="AL29" i="3"/>
  <c r="P16" i="1"/>
  <c r="AL65" i="3"/>
  <c r="P11" i="3"/>
  <c r="P13" i="3"/>
  <c r="AL20" i="3"/>
  <c r="AL112" i="3"/>
  <c r="K15" i="1"/>
  <c r="K17" i="1" s="1"/>
  <c r="I17" i="1"/>
  <c r="I19" i="1" s="1"/>
  <c r="I30" i="1" s="1"/>
  <c r="I28" i="1" s="1"/>
  <c r="P40" i="3"/>
  <c r="L69" i="3"/>
  <c r="AC69" i="3"/>
  <c r="P17" i="3"/>
  <c r="AG16" i="3"/>
  <c r="P76" i="3"/>
  <c r="AL76" i="3"/>
  <c r="P122" i="3"/>
  <c r="AL122" i="3"/>
  <c r="K131" i="3"/>
  <c r="AL26" i="3"/>
  <c r="L92" i="3"/>
  <c r="G25" i="14"/>
  <c r="AL113" i="3"/>
  <c r="P6" i="3"/>
  <c r="L119" i="3"/>
  <c r="AC119" i="3" s="1"/>
  <c r="P113" i="3"/>
  <c r="G7" i="14"/>
  <c r="G8" i="14" s="1"/>
  <c r="I8" i="14" s="1"/>
  <c r="K8" i="14" s="1"/>
  <c r="AC5" i="3"/>
  <c r="AL6" i="3"/>
  <c r="AL18" i="3"/>
  <c r="P18" i="3"/>
  <c r="L16" i="3"/>
  <c r="P84" i="3"/>
  <c r="AL84" i="3"/>
  <c r="G27" i="14"/>
  <c r="I27" i="14" s="1"/>
  <c r="K27" i="14" s="1"/>
  <c r="G34" i="14"/>
  <c r="G36" i="14" s="1"/>
  <c r="P111" i="3"/>
  <c r="C16" i="1"/>
  <c r="L5" i="3"/>
  <c r="AL99" i="3"/>
  <c r="P99" i="3"/>
  <c r="AI89" i="3"/>
  <c r="L130" i="3"/>
  <c r="AL110" i="3"/>
  <c r="AG110" i="3"/>
  <c r="AI110" i="3"/>
  <c r="AI44" i="3"/>
  <c r="L109" i="3"/>
  <c r="P110" i="3"/>
  <c r="P93" i="3"/>
  <c r="AG45" i="3"/>
  <c r="AG44" i="3"/>
  <c r="G16" i="1"/>
  <c r="G17" i="1" s="1"/>
  <c r="O132" i="3"/>
  <c r="N150" i="2"/>
  <c r="J150" i="2"/>
  <c r="Q80" i="2"/>
  <c r="L104" i="2"/>
  <c r="E33" i="14"/>
  <c r="Q5" i="2"/>
  <c r="P63" i="2"/>
  <c r="E25" i="14"/>
  <c r="J104" i="2"/>
  <c r="N104" i="2"/>
  <c r="I143" i="2"/>
  <c r="E10" i="1"/>
  <c r="T147" i="2"/>
  <c r="C11" i="1"/>
  <c r="C14" i="1" s="1"/>
  <c r="L80" i="2"/>
  <c r="P80" i="2"/>
  <c r="L106" i="2"/>
  <c r="F149" i="2"/>
  <c r="P15" i="2"/>
  <c r="N15" i="2"/>
  <c r="L15" i="2"/>
  <c r="E16" i="14"/>
  <c r="J106" i="2"/>
  <c r="H148" i="2"/>
  <c r="N106" i="2"/>
  <c r="J42" i="2"/>
  <c r="P42" i="2"/>
  <c r="N42" i="2"/>
  <c r="P5" i="2"/>
  <c r="N5" i="2"/>
  <c r="J5" i="2"/>
  <c r="L5" i="2"/>
  <c r="P150" i="2"/>
  <c r="L150" i="2"/>
  <c r="Q136" i="2"/>
  <c r="Q151" i="2" s="1"/>
  <c r="Q15" i="2"/>
  <c r="P31" i="2"/>
  <c r="N31" i="2"/>
  <c r="G10" i="1"/>
  <c r="G14" i="1" s="1"/>
  <c r="I149" i="2"/>
  <c r="I152" i="2" s="1"/>
  <c r="Q63" i="2"/>
  <c r="J27" i="2"/>
  <c r="L27" i="2"/>
  <c r="N27" i="2"/>
  <c r="P27" i="2"/>
  <c r="H39" i="2"/>
  <c r="Q42" i="2"/>
  <c r="N136" i="2"/>
  <c r="H151" i="2"/>
  <c r="P136" i="2"/>
  <c r="J136" i="2"/>
  <c r="L136" i="2"/>
  <c r="H142" i="2"/>
  <c r="Q106" i="2"/>
  <c r="G14" i="14"/>
  <c r="L72" i="3"/>
  <c r="P80" i="3"/>
  <c r="AL58" i="3"/>
  <c r="AI16" i="3"/>
  <c r="M17" i="1"/>
  <c r="L106" i="3"/>
  <c r="AC106" i="3" s="1"/>
  <c r="J104" i="3"/>
  <c r="O131" i="3"/>
  <c r="AG5" i="3"/>
  <c r="AI5" i="3"/>
  <c r="AG57" i="3"/>
  <c r="AI57" i="3"/>
  <c r="AL10" i="3" l="1"/>
  <c r="P15" i="1"/>
  <c r="Q15" i="1" s="1"/>
  <c r="AC10" i="3"/>
  <c r="AC44" i="3"/>
  <c r="AC130" i="3"/>
  <c r="AC123" i="3" s="1"/>
  <c r="AB69" i="3"/>
  <c r="P30" i="3"/>
  <c r="AC57" i="3"/>
  <c r="AH114" i="3"/>
  <c r="I22" i="14"/>
  <c r="K22" i="14" s="1"/>
  <c r="I36" i="14"/>
  <c r="K36" i="14" s="1"/>
  <c r="GU51" i="3"/>
  <c r="P44" i="3"/>
  <c r="O10" i="1"/>
  <c r="AL44" i="3"/>
  <c r="AC30" i="3"/>
  <c r="T44" i="3"/>
  <c r="J131" i="3"/>
  <c r="AB44" i="3"/>
  <c r="L95" i="2"/>
  <c r="L147" i="2"/>
  <c r="AC114" i="3"/>
  <c r="P147" i="2"/>
  <c r="N95" i="2"/>
  <c r="N147" i="2"/>
  <c r="J95" i="2"/>
  <c r="P95" i="2"/>
  <c r="D30" i="1"/>
  <c r="D28" i="1" s="1"/>
  <c r="AL57" i="3"/>
  <c r="Q16" i="1"/>
  <c r="F10" i="1"/>
  <c r="F12" i="1"/>
  <c r="X92" i="3"/>
  <c r="AB92" i="3"/>
  <c r="T92" i="3"/>
  <c r="T72" i="3"/>
  <c r="X72" i="3"/>
  <c r="AB72" i="3"/>
  <c r="T57" i="3"/>
  <c r="AB57" i="3"/>
  <c r="X57" i="3"/>
  <c r="P109" i="3"/>
  <c r="T109" i="3"/>
  <c r="AB109" i="3"/>
  <c r="X109" i="3"/>
  <c r="X119" i="3"/>
  <c r="AB119" i="3"/>
  <c r="T119" i="3"/>
  <c r="AB130" i="3"/>
  <c r="T130" i="3"/>
  <c r="X130" i="3"/>
  <c r="T30" i="3"/>
  <c r="X30" i="3"/>
  <c r="AB30" i="3"/>
  <c r="T16" i="3"/>
  <c r="AB16" i="3"/>
  <c r="X16" i="3"/>
  <c r="AB106" i="3"/>
  <c r="T106" i="3"/>
  <c r="X106" i="3"/>
  <c r="T5" i="3"/>
  <c r="X5" i="3"/>
  <c r="AB5" i="3"/>
  <c r="I25" i="14"/>
  <c r="K25" i="14" s="1"/>
  <c r="AB10" i="3"/>
  <c r="X10" i="3"/>
  <c r="T10" i="3"/>
  <c r="AC16" i="3"/>
  <c r="AL71" i="3"/>
  <c r="AL69" i="3" s="1"/>
  <c r="AL16" i="3"/>
  <c r="AL40" i="3"/>
  <c r="AL30" i="3" s="1"/>
  <c r="AC72" i="3"/>
  <c r="P119" i="3"/>
  <c r="P92" i="3"/>
  <c r="G19" i="1"/>
  <c r="G30" i="1" s="1"/>
  <c r="G28" i="1" s="1"/>
  <c r="AL9" i="3"/>
  <c r="AL5" i="3" s="1"/>
  <c r="AG114" i="3"/>
  <c r="L114" i="3"/>
  <c r="AL119" i="3"/>
  <c r="AL114" i="3" s="1"/>
  <c r="AC109" i="3"/>
  <c r="AL111" i="3"/>
  <c r="AL109" i="3" s="1"/>
  <c r="P16" i="3"/>
  <c r="E16" i="1"/>
  <c r="AL93" i="3"/>
  <c r="AL92" i="3" s="1"/>
  <c r="P130" i="3"/>
  <c r="L123" i="3"/>
  <c r="AL130" i="3"/>
  <c r="AL123" i="3" s="1"/>
  <c r="AI109" i="3"/>
  <c r="AG109" i="3"/>
  <c r="AI72" i="3"/>
  <c r="AG72" i="3"/>
  <c r="P5" i="3"/>
  <c r="L132" i="3"/>
  <c r="F13" i="1"/>
  <c r="Q14" i="1"/>
  <c r="H10" i="1"/>
  <c r="Q39" i="2"/>
  <c r="Q146" i="2" s="1"/>
  <c r="L148" i="2"/>
  <c r="N148" i="2"/>
  <c r="P148" i="2"/>
  <c r="J148" i="2"/>
  <c r="L10" i="1"/>
  <c r="J10" i="1"/>
  <c r="Q11" i="1"/>
  <c r="E11" i="1"/>
  <c r="F11" i="1"/>
  <c r="N10" i="1"/>
  <c r="L39" i="2"/>
  <c r="F152" i="2"/>
  <c r="T152" i="2" s="1"/>
  <c r="T149" i="2"/>
  <c r="Q95" i="2"/>
  <c r="Q147" i="2" s="1"/>
  <c r="P39" i="2"/>
  <c r="N39" i="2"/>
  <c r="J142" i="2"/>
  <c r="L142" i="2"/>
  <c r="N142" i="2"/>
  <c r="P142" i="2"/>
  <c r="L151" i="2"/>
  <c r="J151" i="2"/>
  <c r="P151" i="2"/>
  <c r="N151" i="2"/>
  <c r="H146" i="2"/>
  <c r="H143" i="2"/>
  <c r="J39" i="2"/>
  <c r="Q142" i="2"/>
  <c r="Q148" i="2"/>
  <c r="M19" i="1"/>
  <c r="C17" i="1"/>
  <c r="F15" i="1" s="1"/>
  <c r="E15" i="1"/>
  <c r="K19" i="1"/>
  <c r="P72" i="3"/>
  <c r="G16" i="14"/>
  <c r="I16" i="14" s="1"/>
  <c r="K16" i="14" s="1"/>
  <c r="I14" i="14"/>
  <c r="P106" i="3"/>
  <c r="G33" i="14"/>
  <c r="I33" i="14" s="1"/>
  <c r="K33" i="14" s="1"/>
  <c r="AC104" i="3"/>
  <c r="L104" i="3"/>
  <c r="AL80" i="3"/>
  <c r="AL72" i="3" s="1"/>
  <c r="AG131" i="3"/>
  <c r="P17" i="1" l="1"/>
  <c r="P19" i="1" s="1"/>
  <c r="P30" i="1" s="1"/>
  <c r="P28" i="1" s="1"/>
  <c r="AH131" i="3"/>
  <c r="AH133" i="3" s="1"/>
  <c r="H16" i="1"/>
  <c r="F14" i="1"/>
  <c r="P114" i="3"/>
  <c r="AB114" i="3"/>
  <c r="T114" i="3"/>
  <c r="X114" i="3"/>
  <c r="X104" i="3"/>
  <c r="T104" i="3"/>
  <c r="AB104" i="3"/>
  <c r="AB123" i="3"/>
  <c r="T123" i="3"/>
  <c r="X123" i="3"/>
  <c r="AI119" i="3"/>
  <c r="O16" i="1"/>
  <c r="AC131" i="3"/>
  <c r="N16" i="1"/>
  <c r="J16" i="1"/>
  <c r="L16" i="1"/>
  <c r="P123" i="3"/>
  <c r="L131" i="3"/>
  <c r="AL106" i="3"/>
  <c r="AL104" i="3" s="1"/>
  <c r="AL131" i="3" s="1"/>
  <c r="L11" i="1"/>
  <c r="J11" i="1"/>
  <c r="O11" i="1"/>
  <c r="N11" i="1"/>
  <c r="H11" i="1"/>
  <c r="E14" i="1"/>
  <c r="Q143" i="2"/>
  <c r="J143" i="2"/>
  <c r="P143" i="2"/>
  <c r="N143" i="2"/>
  <c r="L143" i="2"/>
  <c r="N146" i="2"/>
  <c r="L146" i="2"/>
  <c r="H149" i="2"/>
  <c r="J146" i="2"/>
  <c r="P146" i="2"/>
  <c r="Q149" i="2"/>
  <c r="Q152" i="2" s="1"/>
  <c r="M30" i="1"/>
  <c r="M28" i="1" s="1"/>
  <c r="K30" i="1"/>
  <c r="K28" i="1" s="1"/>
  <c r="J15" i="1"/>
  <c r="E17" i="1"/>
  <c r="H15" i="1"/>
  <c r="O15" i="1"/>
  <c r="L15" i="1"/>
  <c r="N15" i="1"/>
  <c r="C19" i="1"/>
  <c r="C30" i="1" s="1"/>
  <c r="C28" i="1" s="1"/>
  <c r="Q17" i="1"/>
  <c r="F16" i="1"/>
  <c r="P104" i="3"/>
  <c r="AI114" i="3"/>
  <c r="AB131" i="3" l="1"/>
  <c r="T131" i="3"/>
  <c r="X131" i="3"/>
  <c r="P131" i="3"/>
  <c r="O14" i="1"/>
  <c r="J14" i="1"/>
  <c r="H14" i="1"/>
  <c r="L14" i="1"/>
  <c r="N14" i="1"/>
  <c r="P149" i="2"/>
  <c r="H152" i="2"/>
  <c r="N149" i="2"/>
  <c r="L149" i="2"/>
  <c r="J149" i="2"/>
  <c r="E19" i="1"/>
  <c r="O19" i="1" s="1"/>
  <c r="J17" i="1"/>
  <c r="H17" i="1"/>
  <c r="N17" i="1"/>
  <c r="L17" i="1"/>
  <c r="O17" i="1"/>
  <c r="L152" i="2" l="1"/>
  <c r="J152" i="2"/>
  <c r="P152" i="2"/>
  <c r="N152" i="2"/>
  <c r="E30" i="1"/>
  <c r="E28" i="1" s="1"/>
  <c r="L19" i="1"/>
  <c r="N19" i="1"/>
</calcChain>
</file>

<file path=xl/comments1.xml><?xml version="1.0" encoding="utf-8"?>
<comments xmlns="http://schemas.openxmlformats.org/spreadsheetml/2006/main">
  <authors>
    <author>Ing. Miroslava Kynčlová</author>
    <author>Kynčlová</author>
    <author>Město Jilemnice</author>
  </authors>
  <commentList>
    <comment ref="E16" authorId="0">
      <text>
        <r>
          <rPr>
            <sz val="8"/>
            <color indexed="81"/>
            <rFont val="Tahoma"/>
            <family val="2"/>
            <charset val="238"/>
          </rPr>
          <t>3-trvalý pobyt
4-ověřování
6-změna jména
8-sňatky
9-video</t>
        </r>
      </text>
    </comment>
    <comment ref="E18" authorId="1">
      <text>
        <r>
          <rPr>
            <sz val="10"/>
            <color indexed="81"/>
            <rFont val="Tahoma"/>
            <family val="2"/>
            <charset val="238"/>
          </rPr>
          <t>10 rybářské lístky</t>
        </r>
        <r>
          <rPr>
            <sz val="10"/>
            <color indexed="81"/>
            <rFont val="Tahoma"/>
            <family val="2"/>
            <charset val="238"/>
          </rPr>
          <t xml:space="preserve">
23 životní prostředí </t>
        </r>
      </text>
    </comment>
    <comment ref="E23" authorId="0">
      <text>
        <r>
          <rPr>
            <sz val="8"/>
            <color indexed="81"/>
            <rFont val="Tahoma"/>
            <family val="2"/>
            <charset val="238"/>
          </rPr>
          <t xml:space="preserve">32-pasy
33-občanské průkazy
</t>
        </r>
      </text>
    </comment>
    <comment ref="E26" authorId="0">
      <text>
        <r>
          <rPr>
            <sz val="8"/>
            <color indexed="81"/>
            <rFont val="Tahoma"/>
            <family val="2"/>
            <charset val="238"/>
          </rPr>
          <t xml:space="preserve">13- 
19-vydání průkazů-soc
27-povolení tomboly
314-správa
</t>
        </r>
      </text>
    </comment>
    <comment ref="E28" authorId="0">
      <text>
        <r>
          <rPr>
            <sz val="8"/>
            <color indexed="81"/>
            <rFont val="Tahoma"/>
            <family val="2"/>
            <charset val="238"/>
          </rPr>
          <t xml:space="preserve">23 1332- za znečištní žp
12 1334 org 12 za odnětí půdy
</t>
        </r>
      </text>
    </comment>
    <comment ref="G4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43,323 dar na zalesnění po požáru</t>
        </r>
      </text>
    </comment>
    <comment ref="O4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43,323 dar na zalesnění</t>
        </r>
      </text>
    </comment>
    <comment ref="I5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11,491 náhrada
</t>
        </r>
      </text>
    </comment>
    <comment ref="K5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11,491 náhrada</t>
        </r>
      </text>
    </comment>
    <comment ref="M5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11,491 náhrady
</t>
        </r>
      </text>
    </comment>
    <comment ref="O5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z toho 45,101 náhrady za pohřby</t>
        </r>
      </text>
    </comment>
    <comment ref="F5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60 org. 319
12 org. 21</t>
        </r>
      </text>
    </comment>
    <comment ref="O5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24,85661 org. 21
37,977 org. 319</t>
        </r>
      </text>
    </comment>
    <comment ref="S5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21 org. 21
69 org. 319
</t>
        </r>
      </text>
    </comment>
    <comment ref="I5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z toho 25 dar
73,783 náhrada</t>
        </r>
      </text>
    </comment>
    <comment ref="K5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418,35 služby
25 dar
73,783 náhrada</t>
        </r>
      </text>
    </comment>
    <comment ref="M5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596,52288 služby
25 dar
73,783 náhrada</t>
        </r>
      </text>
    </comment>
    <comment ref="O5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828,09188 služby
100 dary
113,018 náhrady- vratka elektřiny za rok 2015,2016</t>
        </r>
      </text>
    </comment>
    <comment ref="F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70 služby sňatky 
30 ostatní</t>
        </r>
      </text>
    </comment>
    <comment ref="I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18,5 sňatky služby
11,856 exekuce Tužová</t>
        </r>
      </text>
    </comment>
    <comment ref="K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61 sňatky služby
1,16 prodej receptů
21,736 exekuce Tužová
1,54 služby
3,8 prodej majetku
6.152 náhrada
1,348 kopírování</t>
        </r>
      </text>
    </comment>
    <comment ref="M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78,5 sňatky služby
1,32 recepty
1,604 služby
4,4 prodej mejetku
6,152 náhrady
21,736 exekuce Tužová
2,5 kopírování
</t>
        </r>
      </text>
    </comment>
    <comment ref="O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80 sňatky služby
0,1 č. popisné
1,52 prodej receptů
29,64 exekuce Tužová
1,604 služby
4,4 prodej dr. Majetku
6,152 náhrady
2 propagace</t>
        </r>
      </text>
    </comment>
    <comment ref="S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70 služby sňatky 
30 ostatní</t>
        </r>
      </text>
    </comment>
    <comment ref="O6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0,01282 příjem za SC, p.o.</t>
        </r>
      </text>
    </comment>
    <comment ref="M65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18,5007 služby
1021,85161 nájemné
</t>
        </r>
      </text>
    </comment>
    <comment ref="O65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45,17905 služby
1396,63828 nájemné</t>
        </r>
      </text>
    </comment>
    <comment ref="U71" authorId="1">
      <text>
        <r>
          <rPr>
            <sz val="10"/>
            <color indexed="81"/>
            <rFont val="Tahoma"/>
            <family val="2"/>
            <charset val="238"/>
          </rPr>
          <t xml:space="preserve">48 jilemnická obch.
22 Žalý operátoři
</t>
        </r>
      </text>
    </comment>
    <comment ref="U7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48 DPH z nájemného
</t>
        </r>
      </text>
    </comment>
    <comment ref="E82" authorId="1">
      <text>
        <r>
          <rPr>
            <sz val="8"/>
            <color indexed="81"/>
            <rFont val="Tahoma"/>
            <family val="2"/>
            <charset val="238"/>
          </rPr>
          <t>33 občanské průkazy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14 přestupky
13 památky
</t>
        </r>
      </text>
    </comment>
    <comment ref="F8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60 přestupky
5 OP, CD</t>
        </r>
      </text>
    </comment>
    <comment ref="O8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99,94932 přestupky</t>
        </r>
      </text>
    </comment>
    <comment ref="S8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65 přestupky
7 OP, CD</t>
        </r>
      </text>
    </comment>
    <comment ref="G89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44,964 dar na zvoničku
10 pro ZŠ II na dětský den
20 dar na propagaci
</t>
        </r>
      </text>
    </comment>
    <comment ref="K89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44,964 dar na zvoničku
10 pro ZŠ II na dětský den</t>
        </r>
      </text>
    </comment>
    <comment ref="M89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44,964 dar na zvoničku
20 dar na propagaci
10 pro ZŠ Harrracha na dětský den</t>
        </r>
      </text>
    </comment>
    <comment ref="O89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44,964 dar na zvoničku
10 dar pro ZŠ Harracha
20 na propagaci</t>
        </r>
      </text>
    </comment>
    <comment ref="K9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11,2+0,514 požární ochrana
17,12218 policie</t>
        </r>
      </text>
    </comment>
    <comment ref="M9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11,2+0,514 požární ochrana
17,12218 policie</t>
        </r>
      </text>
    </comment>
    <comment ref="O9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29,126 požární ochrana
</t>
        </r>
      </text>
    </comment>
    <comment ref="I9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22,87 za veř. osvětlení
17,12218 policie</t>
        </r>
      </text>
    </comment>
    <comment ref="K9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22,87 za veř. osvětlení
17,12218 policie</t>
        </r>
      </text>
    </comment>
    <comment ref="M9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22,87 veř. osvětlení
</t>
        </r>
      </text>
    </comment>
    <comment ref="O9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22,87 veř. osvětlení
66,570 požární ochrana 
84,925 pojištění bonus z r. 2015-16
17,12218 městská policie</t>
        </r>
      </text>
    </comment>
    <comment ref="F107" authorId="2">
      <text>
        <r>
          <rPr>
            <sz val="9"/>
            <color indexed="81"/>
            <rFont val="Tahoma"/>
            <family val="2"/>
            <charset val="238"/>
          </rPr>
          <t>v tom 4*29=116 dotace na opatrovnictví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S10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 tom 5*29=145 tis. na opatrovance</t>
        </r>
      </text>
    </comment>
    <comment ref="O11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848,116 doplatek z r. 2016</t>
        </r>
      </text>
    </comment>
    <comment ref="F11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144 peč. Služba
468 veř. zeleň
169 policie
</t>
        </r>
      </text>
    </comment>
    <comment ref="G11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70 peč. Služba
33 MP
163 místní správa</t>
        </r>
      </text>
    </comment>
    <comment ref="I11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66,220 pečovatelská služba
77,793 veř. zeleň
45,689 správa
72 policie</t>
        </r>
      </text>
    </comment>
    <comment ref="K11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124,436 pečovatelská služba
251,01 veř. zeleň
162,512 správa
106,733 městská policie</t>
        </r>
      </text>
    </comment>
    <comment ref="M11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154,436 pečovatelská služba
341,010 veř. zeleň
162,512 místní správa
138,733 městská policie</t>
        </r>
      </text>
    </comment>
    <comment ref="O11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214,436 peč. Služba
474,558 veř. zeleň
162,512 správa
202,733 městská policie</t>
        </r>
      </text>
    </comment>
    <comment ref="S11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192 MP
180 pečovatelská služba
540 veřejná zeleň
</t>
        </r>
      </text>
    </comment>
    <comment ref="F125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130 přestupky
50 rušení tr. pobytů</t>
        </r>
      </text>
    </comment>
    <comment ref="S125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130 přestupky
50 rušení tr. pobytů</t>
        </r>
      </text>
    </comment>
    <comment ref="G13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53 úprava z rozhodnutí pro rok 2017
160 doplatek na rok 2017</t>
        </r>
      </text>
    </comment>
  </commentList>
</comments>
</file>

<file path=xl/comments2.xml><?xml version="1.0" encoding="utf-8"?>
<comments xmlns="http://schemas.openxmlformats.org/spreadsheetml/2006/main">
  <authors>
    <author>Město Jilemnice</author>
    <author>Notebook pracovní</author>
    <author>Jilemnice</author>
  </authors>
  <commentList>
    <comment ref="H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49,9 dotace LK na zajištění porostu lesa
43,323 na zalesnění po požáru - dar</t>
        </r>
      </text>
    </comment>
    <comment ref="AE1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rekonstrukce soc. zařízení</t>
        </r>
      </text>
    </comment>
    <comment ref="AE2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1687 doplatek VHS  vodovod
370 projekce</t>
        </r>
      </text>
    </comment>
    <comment ref="AH2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1687 doplatek VHS  vodovod
220 projekce</t>
        </r>
      </text>
    </comment>
    <comment ref="AE2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400 odkup komunikace pro 5 RD</t>
        </r>
      </text>
    </comment>
    <comment ref="AE25" authorId="0">
      <text>
        <r>
          <rPr>
            <b/>
            <sz val="9"/>
            <color indexed="81"/>
            <rFont val="Tahoma"/>
            <family val="2"/>
            <charset val="238"/>
          </rPr>
          <t>parkoviště:
U Zolmana,před gymnáziem,
Poštovní, Jungmanova, Tyršovo náměstí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3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391,4496 dotace z programu vzdělávání
45,04106 dotace LK na potravinovu pomoc</t>
        </r>
      </text>
    </comment>
    <comment ref="E3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3860 ZŠ II
1200 ZŠ I stěhování
1000 úpravy čp. 85</t>
        </r>
      </text>
    </comment>
    <comment ref="H3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1200 převedení na ZŠ Komenského (příspěvek na vybavení a stěhování do čp.101 (viz ZM 59/17
</t>
        </r>
      </text>
    </comment>
    <comment ref="AD3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3000 střecha čp.103,101
1000 reko WC v čp. 103</t>
        </r>
      </text>
    </comment>
    <comment ref="H3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1200 příspěvek na vybavení a stěhování do čp.101 (viz ZM 59/17)
230,52 dotace na nájem sportovišť
577,9596 dotace z OP VVV</t>
        </r>
      </text>
    </comment>
    <comment ref="H3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74 úprava o  svěření majetku čp. 101</t>
        </r>
      </text>
    </comment>
    <comment ref="H3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 dar na dětský den
110,16 dotace na nájem sportovišť
507,5226 dotace z programu vzdělávání
</t>
        </r>
      </text>
    </comment>
    <comment ref="AE36" authorId="1">
      <text>
        <r>
          <rPr>
            <b/>
            <sz val="9"/>
            <color indexed="81"/>
            <rFont val="Tahoma"/>
            <family val="2"/>
            <charset val="238"/>
          </rPr>
          <t>1100 úč. Dotace na horolezeckou stěnu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E37" authorId="1">
      <text>
        <r>
          <rPr>
            <sz val="9"/>
            <color indexed="81"/>
            <rFont val="Tahoma"/>
            <family val="2"/>
            <charset val="238"/>
          </rPr>
          <t xml:space="preserve">100 na projekci a VŘ
</t>
        </r>
      </text>
    </comment>
    <comment ref="H3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42,9 dotace LK na kompenzační pomůcky
</t>
        </r>
      </text>
    </comment>
    <comment ref="H4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640.000 dotace MK ČR na obnovu památek
44,964 dar na zvoničku
</t>
        </r>
      </text>
    </comment>
    <comment ref="AJ47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UZ 34054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D55" authorId="0">
      <text>
        <r>
          <rPr>
            <b/>
            <sz val="9"/>
            <color indexed="81"/>
            <rFont val="Tahoma"/>
            <family val="2"/>
            <charset val="238"/>
          </rPr>
          <t>60 dotace Jilemnicko svazek
40 na pivní slavnosti
40 na festival Dech hor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6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1454 vyrovnávací platba</t>
        </r>
      </text>
    </comment>
    <comment ref="E6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45 dotace na údržbu tratí SKI </t>
        </r>
      </text>
    </comment>
    <comment ref="H6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117,417 dotace TJ Jilemnice
48,140 dotace SK NIKÉ</t>
        </r>
      </text>
    </comment>
    <comment ref="AD7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422 energie, služby
</t>
        </r>
      </text>
    </comment>
    <comment ref="AE7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1500 kotelna
2000 prostory pro knihovnu</t>
        </r>
      </text>
    </comment>
    <comment ref="I8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266,058 RO č. 10/17 odkup VO Za Láněmi
</t>
        </r>
      </text>
    </comment>
    <comment ref="H8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42,840 dotace LK na zdravá města</t>
        </r>
      </text>
    </comment>
    <comment ref="AD9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21 voda org.21
69 voda org.319</t>
        </r>
      </text>
    </comment>
    <comment ref="AD9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z toho 607 příspěvek na koupi pozemku DSO Jilemnicko</t>
        </r>
      </text>
    </comment>
    <comment ref="H10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53 dotacena soc. služby LK 
160 dotace na soc. služby LK
70 dotace z úřadu práce
55 ze zvýšených příjmů
131,251 dotace na soc. služby LK</t>
        </r>
      </text>
    </comment>
    <comment ref="H10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5215 dotace MPSV na soc. služby
979 doplatek dotace na soc. služby
375,376 dotace LK na soc. služby
</t>
        </r>
      </text>
    </comment>
    <comment ref="AE10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500 účel. Příspěvek na přestavbu na odlehčovací služby
</t>
        </r>
      </text>
    </comment>
    <comment ref="AE10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100 dokončení projekce, VŘ
</t>
        </r>
      </text>
    </comment>
    <comment ref="H11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37 na radiostanice
33 z úřadu práce</t>
        </r>
      </text>
    </comment>
    <comment ref="H11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150 dotace MVČR na jednotky SDH
24,5 dopaltek dotace LK z r.2016
-0,85444 vratka dotace LK
38,516 dotace na akceschopnost od MV ČR</t>
        </r>
      </text>
    </comment>
    <comment ref="H11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39,717 dotace na soc. práci
848,116 doplatek dotace na OSPOD za rok 2016
24,450 dotace pro ŽP na kosení louky
533 zvýšení dotace na OSPOD
163 z úřadu práce
40,050 dotace Mze ČR na kosení louky</t>
        </r>
      </text>
    </comment>
    <comment ref="H13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0,67041 doplatek volby do krajů z r. 2016</t>
        </r>
      </text>
    </comment>
  </commentList>
</comments>
</file>

<file path=xl/comments3.xml><?xml version="1.0" encoding="utf-8"?>
<comments xmlns="http://schemas.openxmlformats.org/spreadsheetml/2006/main">
  <authors>
    <author>Město Jilemnice</author>
    <author>Kynčlová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15000 dotace  LK
20000 dotace MŠMT
</t>
        </r>
      </text>
    </comment>
    <comment ref="J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2139 příjmy z prodeje dřeva
495 za odvoz LPF, ZPF</t>
        </r>
      </text>
    </comment>
    <comment ref="H6" authorId="1">
      <text>
        <r>
          <rPr>
            <sz val="10"/>
            <color indexed="81"/>
            <rFont val="Tahoma"/>
            <family val="2"/>
            <charset val="238"/>
          </rPr>
          <t xml:space="preserve">2500 dotace LK
25000 dotace státní
</t>
        </r>
      </text>
    </comment>
    <comment ref="M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část k čerpací stanici</t>
        </r>
      </text>
    </comment>
    <comment ref="N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ošetření jilmové aleje
</t>
        </r>
      </text>
    </comment>
    <comment ref="O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1514 VHS kanalizace</t>
        </r>
      </text>
    </comment>
    <comment ref="G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46866 podíl LK
18465 chodníky a VO město
6177 vedlejší rozpo. náklady
4687 dotace VHS kanalizace a voda
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podíl Lib. kraje</t>
        </r>
      </text>
    </comment>
    <comment ref="P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3000 VHS kanalizace
</t>
        </r>
      </text>
    </comment>
    <comment ref="Q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1687 doplatek VHS  vodovod
220 projekce</t>
        </r>
      </text>
    </comment>
    <comment ref="H11" authorId="0">
      <text>
        <r>
          <rPr>
            <b/>
            <sz val="9"/>
            <color indexed="81"/>
            <rFont val="Tahoma"/>
            <family val="2"/>
            <charset val="238"/>
          </rPr>
          <t>2500 dotace MV ČR
1000 dotace LK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300 prodej staré cisterny
</t>
        </r>
      </text>
    </comment>
    <comment ref="G1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uznatelné náklady 475</t>
        </r>
      </text>
    </comment>
  </commentList>
</comments>
</file>

<file path=xl/sharedStrings.xml><?xml version="1.0" encoding="utf-8"?>
<sst xmlns="http://schemas.openxmlformats.org/spreadsheetml/2006/main" count="913" uniqueCount="589">
  <si>
    <t xml:space="preserve">                                 </t>
  </si>
  <si>
    <t xml:space="preserve">                           </t>
  </si>
  <si>
    <t>Rozpočet</t>
  </si>
  <si>
    <t>změna</t>
  </si>
  <si>
    <t>%</t>
  </si>
  <si>
    <t>Plnění</t>
  </si>
  <si>
    <t>k rozpočtu</t>
  </si>
  <si>
    <t>Třída 1 - Daňové příjmy</t>
  </si>
  <si>
    <t>Třída 2 - Nedaňové příjmy</t>
  </si>
  <si>
    <t>Třída 3 - Kapitálové příjmy</t>
  </si>
  <si>
    <t>Třída 4 - Přijaté dotace</t>
  </si>
  <si>
    <t>Příjmy celkem</t>
  </si>
  <si>
    <t>Třída 5 - Běžné výdaje</t>
  </si>
  <si>
    <t>Třída 6 - Kapitálové výdaje</t>
  </si>
  <si>
    <t>Výdaje celkem</t>
  </si>
  <si>
    <t>Saldo: Příjmy - výdaje</t>
  </si>
  <si>
    <t>pol.</t>
  </si>
  <si>
    <t>Třída 8 - financování</t>
  </si>
  <si>
    <t>Splátky úvěrů</t>
  </si>
  <si>
    <t>Celkem financování</t>
  </si>
  <si>
    <t>poznámka</t>
  </si>
  <si>
    <t>polož.</t>
  </si>
  <si>
    <t>§</t>
  </si>
  <si>
    <t>org.</t>
  </si>
  <si>
    <t>název</t>
  </si>
  <si>
    <t>1a) BĚŽNÉ</t>
  </si>
  <si>
    <t>DAŇOVÉ  - TŘÍDA  1</t>
  </si>
  <si>
    <t>11-daně z příjmů, zisku a kap. výnosů</t>
  </si>
  <si>
    <t>z toho:</t>
  </si>
  <si>
    <t>13-poplatky a daně z vybraných činností</t>
  </si>
  <si>
    <t>Matriční poplatky</t>
  </si>
  <si>
    <t>Živnostenské listy</t>
  </si>
  <si>
    <t>Hrací automaty</t>
  </si>
  <si>
    <t>15-majetkové daně</t>
  </si>
  <si>
    <t>bez</t>
  </si>
  <si>
    <t>Daňové příjmy celkem:</t>
  </si>
  <si>
    <t>NEDAŇOVÉ - TŘÍDA 2</t>
  </si>
  <si>
    <t>21-příjmy z vlastní činnosti</t>
  </si>
  <si>
    <t>Prodej zpravodaje</t>
  </si>
  <si>
    <t>Pohřebnictví</t>
  </si>
  <si>
    <t>Pečovatelská služba</t>
  </si>
  <si>
    <t>Příjmy z reklam ( zpravodaj, rozhlas)</t>
  </si>
  <si>
    <t>Nájemné:</t>
  </si>
  <si>
    <t>BH - Nájemné nebyt. prost.</t>
  </si>
  <si>
    <t>Nájemné Zásobování teplem s.r.o.</t>
  </si>
  <si>
    <t>Pokuty městská policie</t>
  </si>
  <si>
    <t>Nedaňové příjmy celkem:</t>
  </si>
  <si>
    <t>TŘÍDA  3</t>
  </si>
  <si>
    <t>31-příjmy z prodeje investičního majetku</t>
  </si>
  <si>
    <t>Kapitálové příjmy celkem:</t>
  </si>
  <si>
    <t xml:space="preserve">2)PŘIJATÉ DOTACE </t>
  </si>
  <si>
    <t>TŘÍDA  4</t>
  </si>
  <si>
    <t>2a) Běžné</t>
  </si>
  <si>
    <t>2b) Kapitálové</t>
  </si>
  <si>
    <t>Přijaté dotace celkem:</t>
  </si>
  <si>
    <t>Rekapitulace příjmů:</t>
  </si>
  <si>
    <t>Tř. 1 - Daňové příjmy</t>
  </si>
  <si>
    <t>Tř. 2. - Nedaňové příjmy</t>
  </si>
  <si>
    <t>Ze tř. 4 - Dotace běžné</t>
  </si>
  <si>
    <t>Vlastní příjmy celkem</t>
  </si>
  <si>
    <t>Tř. 3 - Kapitálové příjmy</t>
  </si>
  <si>
    <t>Ze tř. 4. - Dotace kapitálové</t>
  </si>
  <si>
    <t>Celkem příjmy</t>
  </si>
  <si>
    <t>sk</t>
  </si>
  <si>
    <t>Popis paragrafu</t>
  </si>
  <si>
    <t>běžné</t>
  </si>
  <si>
    <t>kap.</t>
  </si>
  <si>
    <t>celkem</t>
  </si>
  <si>
    <t>Zeměděl. a lesní hospodářství</t>
  </si>
  <si>
    <t>Morávková</t>
  </si>
  <si>
    <t>Doprava,vodovody,kanalizace</t>
  </si>
  <si>
    <t>Kynčlová</t>
  </si>
  <si>
    <t>Vzdělání</t>
  </si>
  <si>
    <t>Kultura, církve a sdělovací  prostř.</t>
  </si>
  <si>
    <t>Vydávání zpravodaje</t>
  </si>
  <si>
    <t>Tělovýchova a zájmová činnost</t>
  </si>
  <si>
    <t>Bydlení, komunální služby a územní rozvoj</t>
  </si>
  <si>
    <t>Bytové hospodářství</t>
  </si>
  <si>
    <t>Veřejné osvětlení- provoz ,opravy</t>
  </si>
  <si>
    <t>Sběr a svoz komun. odpadů</t>
  </si>
  <si>
    <t>Péče o vzhled obcí a veřejnou zeleň</t>
  </si>
  <si>
    <t>Sociální péče</t>
  </si>
  <si>
    <t>Šimková</t>
  </si>
  <si>
    <t xml:space="preserve">Obecní policie </t>
  </si>
  <si>
    <t>Státní správa, územní samospráva</t>
  </si>
  <si>
    <t>Místní zastupitelské orgány</t>
  </si>
  <si>
    <t>63,64</t>
  </si>
  <si>
    <t>Finanční operace, ostatní činnosti</t>
  </si>
  <si>
    <t>Daň z příjmu práv. osob za obce</t>
  </si>
  <si>
    <t>Celkem výdaje</t>
  </si>
  <si>
    <t>kontrola</t>
  </si>
  <si>
    <t>Příjmy z úroků a fin. majetku</t>
  </si>
  <si>
    <t>rozdíl</t>
  </si>
  <si>
    <t>Výkup pozemků</t>
  </si>
  <si>
    <t>Příjem z veřejných WC</t>
  </si>
  <si>
    <t>rozpočet</t>
  </si>
  <si>
    <t>Lesní hospodářství</t>
  </si>
  <si>
    <t>Opravy pronajímaných nebyt. prostor</t>
  </si>
  <si>
    <t>Projekty do 60000,-/ nad 60000</t>
  </si>
  <si>
    <t xml:space="preserve">Činnost místní správy </t>
  </si>
  <si>
    <t>Upravený</t>
  </si>
  <si>
    <t>Upr. rozp.</t>
  </si>
  <si>
    <t>Upravený rozpočet</t>
  </si>
  <si>
    <t>Ost. poplatky</t>
  </si>
  <si>
    <t xml:space="preserve">SPOZ </t>
  </si>
  <si>
    <t>Popl. za komunální odpad</t>
  </si>
  <si>
    <t>Bezpečnost, požár. ochrana</t>
  </si>
  <si>
    <t>k sestavení rozpočtu</t>
  </si>
  <si>
    <t>Poplatek ze psů</t>
  </si>
  <si>
    <t>Popl. za užívání veřejného prostranství</t>
  </si>
  <si>
    <t>Popl. ze vstupného</t>
  </si>
  <si>
    <t>Popl. za znečišťování životního  prostř.</t>
  </si>
  <si>
    <t>DPFO - závislá činnost</t>
  </si>
  <si>
    <t xml:space="preserve">DPH </t>
  </si>
  <si>
    <t>DPFO - srážková daň</t>
  </si>
  <si>
    <t>DP - právnických osob</t>
  </si>
  <si>
    <t>DP práv. osob za obce</t>
  </si>
  <si>
    <t>daň sdílená</t>
  </si>
  <si>
    <t>Zdravotnictví</t>
  </si>
  <si>
    <t>Životní prostředí</t>
  </si>
  <si>
    <t xml:space="preserve">Knihovna </t>
  </si>
  <si>
    <t>Šnorbert</t>
  </si>
  <si>
    <t xml:space="preserve">Dopravní obslužnost </t>
  </si>
  <si>
    <t>Kompenzace za tříděný odpad</t>
  </si>
  <si>
    <t>index</t>
  </si>
  <si>
    <t>Provoz parkoviště , park. automaty</t>
  </si>
  <si>
    <t>DPFO-závisl. činnost 1,5% podíl</t>
  </si>
  <si>
    <t>Prodej podílových listů</t>
  </si>
  <si>
    <t>Opravy, údržba komunikací</t>
  </si>
  <si>
    <t>Byty -  opravy z nájemného</t>
  </si>
  <si>
    <t>Byty - platby za služby</t>
  </si>
  <si>
    <t>Nebytové pr. - opravy</t>
  </si>
  <si>
    <t>Nebytové pr. - služby</t>
  </si>
  <si>
    <t>Zvelebilová</t>
  </si>
  <si>
    <t>Změna</t>
  </si>
  <si>
    <t>požadavek/</t>
  </si>
  <si>
    <t>Přebytek ( - ),   ztráta  (+)</t>
  </si>
  <si>
    <t>8127</t>
  </si>
  <si>
    <t>24- přijaté splátky půjček</t>
  </si>
  <si>
    <t>23-příjmy z prodeje majetku a ost.nedaňové příjmy</t>
  </si>
  <si>
    <t xml:space="preserve">22-přijaté sankční platby </t>
  </si>
  <si>
    <t>Pasy, obč. průkazy</t>
  </si>
  <si>
    <t xml:space="preserve">Pokuty dopravní </t>
  </si>
  <si>
    <t>Pokuty životní prostředí</t>
  </si>
  <si>
    <t>Odvod z výtěžku hracích přístrojů</t>
  </si>
  <si>
    <t>3,4,6,8,9</t>
  </si>
  <si>
    <t>Pokuty živnost.úřad</t>
  </si>
  <si>
    <t>Krizové řízení, ochrana obyvatelstva</t>
  </si>
  <si>
    <t>z úč. dotace,nerozpočtuje se</t>
  </si>
  <si>
    <t>uz</t>
  </si>
  <si>
    <t>Zachov. a obn.kult. památek města</t>
  </si>
  <si>
    <t>Rezerva rozpočtová</t>
  </si>
  <si>
    <t>BH - Nájemné byt. prostory vč. penále</t>
  </si>
  <si>
    <t xml:space="preserve">Pečovatelská služba </t>
  </si>
  <si>
    <t>Příjmy - výdaje = - financování</t>
  </si>
  <si>
    <t>Příjmy místního hospodářství</t>
  </si>
  <si>
    <t>Příjmy z poskytování služeb a výrobků</t>
  </si>
  <si>
    <t>Správní poplatky</t>
  </si>
  <si>
    <t xml:space="preserve">Místní poplatky </t>
  </si>
  <si>
    <t>1b) KAPITÁLOVÉ -</t>
  </si>
  <si>
    <t>rozpočtu</t>
  </si>
  <si>
    <t>správce</t>
  </si>
  <si>
    <t>Příspěvky činnost lesního hosp. z dotací</t>
  </si>
  <si>
    <t>Provoz veř. WC</t>
  </si>
  <si>
    <t>daň vlastní</t>
  </si>
  <si>
    <t>operace</t>
  </si>
  <si>
    <t>Vojtíšek</t>
  </si>
  <si>
    <t>Zelinka</t>
  </si>
  <si>
    <t>Augustin</t>
  </si>
  <si>
    <t>Němcová</t>
  </si>
  <si>
    <t>Cerman</t>
  </si>
  <si>
    <t>Platby do svazků obcí, sdružení</t>
  </si>
  <si>
    <t>příkazce</t>
  </si>
  <si>
    <t>Exnerová</t>
  </si>
  <si>
    <t>Hartigová</t>
  </si>
  <si>
    <t>Pokuty stavební úřad</t>
  </si>
  <si>
    <t>Stavební poplatky</t>
  </si>
  <si>
    <t>Propagace města, výročí, zahr.spolupráce</t>
  </si>
  <si>
    <t>Životní prostředí poplatky</t>
  </si>
  <si>
    <t>Zvl. užívání místních komun.</t>
  </si>
  <si>
    <t>Dopravní poplatky</t>
  </si>
  <si>
    <t>Areál služeb</t>
  </si>
  <si>
    <t>Městská knihovna</t>
  </si>
  <si>
    <t>Parkovné</t>
  </si>
  <si>
    <t>Nájemné z reklamních ploch</t>
  </si>
  <si>
    <t>Nájemné z ost. nemovitostí</t>
  </si>
  <si>
    <t>Grantový program města</t>
  </si>
  <si>
    <t>Daň z nemovitostí</t>
  </si>
  <si>
    <t>BH - služby byt. prostory</t>
  </si>
  <si>
    <t>BH - služby nebyt. prostory</t>
  </si>
  <si>
    <t>Kopírování, ost příjmy správy</t>
  </si>
  <si>
    <t>Příjmy z úroků - akce Roztocká</t>
  </si>
  <si>
    <t>Prodej pozemků</t>
  </si>
  <si>
    <t>Prodej nemovitostí - bytů,domů</t>
  </si>
  <si>
    <t>Inv. příspěvky 32b.j.</t>
  </si>
  <si>
    <t xml:space="preserve">Souhrnná neinvestiční dotace </t>
  </si>
  <si>
    <t>dle rozpisu položek v tabulce správa</t>
  </si>
  <si>
    <t>k datu</t>
  </si>
  <si>
    <t>3769,6171</t>
  </si>
  <si>
    <t>Veřejnopr. smlouvy policie</t>
  </si>
  <si>
    <t xml:space="preserve">Komunální služby </t>
  </si>
  <si>
    <t>Nájemné z pozemků</t>
  </si>
  <si>
    <t xml:space="preserve">Areál služeb </t>
  </si>
  <si>
    <t>Rozdíl</t>
  </si>
  <si>
    <t>Pěstební činnost v lesnictví</t>
  </si>
  <si>
    <t xml:space="preserve">Požární ochrana </t>
  </si>
  <si>
    <t>Pojistění majetku města</t>
  </si>
  <si>
    <t>stejná v příjmech</t>
  </si>
  <si>
    <t>13,14,19,27</t>
  </si>
  <si>
    <t>Zkoušky OZ řidičské průkazy</t>
  </si>
  <si>
    <t>DPFO - přiznání- 30% podíl</t>
  </si>
  <si>
    <t>DPFO - přiznání - sdílená část</t>
  </si>
  <si>
    <r>
      <t>F</t>
    </r>
    <r>
      <rPr>
        <sz val="8"/>
        <rFont val="Times New Roman"/>
        <family val="1"/>
        <charset val="238"/>
      </rPr>
      <t>ű</t>
    </r>
    <r>
      <rPr>
        <sz val="8"/>
        <rFont val="Arial CE"/>
        <family val="2"/>
        <charset val="238"/>
      </rPr>
      <t>ri</t>
    </r>
  </si>
  <si>
    <r>
      <t>M</t>
    </r>
    <r>
      <rPr>
        <sz val="8"/>
        <rFont val="Times New Roman"/>
        <family val="1"/>
        <charset val="238"/>
      </rPr>
      <t>ű</t>
    </r>
    <r>
      <rPr>
        <sz val="8"/>
        <rFont val="Arial CE"/>
        <family val="2"/>
        <charset val="238"/>
      </rPr>
      <t>llerová</t>
    </r>
  </si>
  <si>
    <t>Műllerová</t>
  </si>
  <si>
    <t>Čechová</t>
  </si>
  <si>
    <t>Opravy budov škol</t>
  </si>
  <si>
    <t>Výdaje,daň za prodej majetku</t>
  </si>
  <si>
    <t>Mečíř</t>
  </si>
  <si>
    <t>Bedrníková</t>
  </si>
  <si>
    <t>Územní plánování</t>
  </si>
  <si>
    <t xml:space="preserve">Ost. sociální péče </t>
  </si>
  <si>
    <t>Ouhrabková</t>
  </si>
  <si>
    <t>MŠ Jilemnice - příspěvek na provoz</t>
  </si>
  <si>
    <t>ZŠ Komenského- příspěvek na provoz</t>
  </si>
  <si>
    <t>ZŠ Harracha- příspěvek na provoz</t>
  </si>
  <si>
    <t>SC - příspěvek na provoz</t>
  </si>
  <si>
    <t>Příjmy</t>
  </si>
  <si>
    <t>Výdaje</t>
  </si>
  <si>
    <t>Plánovaná ztráta/zisk</t>
  </si>
  <si>
    <t>upravený</t>
  </si>
  <si>
    <t>plánované</t>
  </si>
  <si>
    <t>(+ uspoření</t>
  </si>
  <si>
    <t>skutečnost</t>
  </si>
  <si>
    <t>saldo</t>
  </si>
  <si>
    <t>- překročení )</t>
  </si>
  <si>
    <t>celkem příjmy</t>
  </si>
  <si>
    <t>Aareál služeb</t>
  </si>
  <si>
    <t>služby byty</t>
  </si>
  <si>
    <t>nájemné nebyty</t>
  </si>
  <si>
    <t>služby nebyty</t>
  </si>
  <si>
    <t>celkem BH</t>
  </si>
  <si>
    <t>Knihovna</t>
  </si>
  <si>
    <t>příjmy</t>
  </si>
  <si>
    <t>dar</t>
  </si>
  <si>
    <t>Zpravodaj</t>
  </si>
  <si>
    <t>příjmy za prodej</t>
  </si>
  <si>
    <t>příjmy z reklam</t>
  </si>
  <si>
    <t>Komunální odpad</t>
  </si>
  <si>
    <t>poplatek</t>
  </si>
  <si>
    <t>kompenzace za třídění</t>
  </si>
  <si>
    <t>Provoz veřejných WC</t>
  </si>
  <si>
    <t>Poznámka</t>
  </si>
  <si>
    <t>Czech Point poplatky</t>
  </si>
  <si>
    <t>Příjmy z věcných břemen pozemků</t>
  </si>
  <si>
    <t>Chodník Čsl. Legií - zvýšení bezpečnosti</t>
  </si>
  <si>
    <t>Dotace od ÚP</t>
  </si>
  <si>
    <t>Obnova a zachování kult. hodnot</t>
  </si>
  <si>
    <t>9513229,09513229</t>
  </si>
  <si>
    <t>Opravy budov MÚ</t>
  </si>
  <si>
    <t>Právní zastoupení města</t>
  </si>
  <si>
    <t>nájemné byty vč. penále</t>
  </si>
  <si>
    <t>Péče o stromovou zeleň</t>
  </si>
  <si>
    <t xml:space="preserve">ZŠ spec. a MŠ spec.- příspěvek na provoz </t>
  </si>
  <si>
    <t>Dětské centrum příspěvek na provoz</t>
  </si>
  <si>
    <t>Myslivec</t>
  </si>
  <si>
    <t>Dotace na činnost lesního hospodáře</t>
  </si>
  <si>
    <t>Platba DPH za ekonomické činnosti</t>
  </si>
  <si>
    <t>Pokuty správní odbor, přestupky</t>
  </si>
  <si>
    <t>Odvody příspěvkových organizací</t>
  </si>
  <si>
    <t>Příspěvek na odpisy svěř. majetku MŠ</t>
  </si>
  <si>
    <t>Příspěvek na odpisy svěř. majetku ZŠ</t>
  </si>
  <si>
    <t>Příspěvek na odpisy svěř. majetku ZUŠ</t>
  </si>
  <si>
    <t>Příspěvek na odpisy svěř. majetku SDJ</t>
  </si>
  <si>
    <t>Příspěvek na odpisy svěř. majetku SC</t>
  </si>
  <si>
    <t>312,orj.10</t>
  </si>
  <si>
    <t>103, orj1,2,3,4,1111</t>
  </si>
  <si>
    <t>Stavebnictví, cestovní ruch, služby</t>
  </si>
  <si>
    <t>DPH</t>
  </si>
  <si>
    <t>Územní rozvoj ( Zdravá města)</t>
  </si>
  <si>
    <t>Veřejnopr. smlouvy správní odbor</t>
  </si>
  <si>
    <t>SD Jilm - příspěvek na provoz</t>
  </si>
  <si>
    <t>Příspěvek na činnost Krkonošského muzea</t>
  </si>
  <si>
    <t xml:space="preserve">poznámka k rozpočtu </t>
  </si>
  <si>
    <t>Provoz informačního centra pro mládež</t>
  </si>
  <si>
    <t xml:space="preserve">Odvody z vybraných činností </t>
  </si>
  <si>
    <t>Příjmy za služby pronajímaných prostor</t>
  </si>
  <si>
    <t>Služby pronajímaných prostor</t>
  </si>
  <si>
    <t>Nájemné restaurace pod radnicí</t>
  </si>
  <si>
    <t>Opravy restaurace pod radnicí</t>
  </si>
  <si>
    <t>R-odhad</t>
  </si>
  <si>
    <t>Přijaté dary a ost. příjmy</t>
  </si>
  <si>
    <t>560Kč/os/rok</t>
  </si>
  <si>
    <t>Stravovadlo - Scolarest, ZŠ</t>
  </si>
  <si>
    <t>Příprava území k bytové výstavbě</t>
  </si>
  <si>
    <t>Nájemné PO města</t>
  </si>
  <si>
    <t>Kozáková</t>
  </si>
  <si>
    <t>Průkazy energetické náročnosti budov</t>
  </si>
  <si>
    <t>Nováková</t>
  </si>
  <si>
    <t>Systém EMAS</t>
  </si>
  <si>
    <t>Informační systém</t>
  </si>
  <si>
    <t>šetří se</t>
  </si>
  <si>
    <t>3,14,26</t>
  </si>
  <si>
    <t>Příjmy z úroků ( vč. fondů)</t>
  </si>
  <si>
    <t>Kompostárna - provoz (příspěvek svazku)</t>
  </si>
  <si>
    <t>Požární nádrž Kozinec</t>
  </si>
  <si>
    <t>Zámecký park - podium, cesty</t>
  </si>
  <si>
    <t>Kuříková</t>
  </si>
  <si>
    <t>Jandurová</t>
  </si>
  <si>
    <t xml:space="preserve">akce města u SPOZ </t>
  </si>
  <si>
    <t>Steinerová</t>
  </si>
  <si>
    <t>13011</t>
  </si>
  <si>
    <t>3349</t>
  </si>
  <si>
    <t>Kursové rozdíly</t>
  </si>
  <si>
    <t>307</t>
  </si>
  <si>
    <t>Projekt Hraběnka</t>
  </si>
  <si>
    <t>z toho 100 tis. nadále propagace</t>
  </si>
  <si>
    <t>vč. akcí města</t>
  </si>
  <si>
    <t>Vinklář</t>
  </si>
  <si>
    <t>dotace MPSV</t>
  </si>
  <si>
    <t>příjmy za služby</t>
  </si>
  <si>
    <t>Vávrová</t>
  </si>
  <si>
    <t>700,701,702</t>
  </si>
  <si>
    <t>Ulice Žižkova - rekonstrukce</t>
  </si>
  <si>
    <t>bez plakátovacích ploch</t>
  </si>
  <si>
    <t>Revitalizace parku v Dolení ul.</t>
  </si>
  <si>
    <t>Projekt SFŽP</t>
  </si>
  <si>
    <t>Dotace na projekt revitalizace parku v Dolení ul.</t>
  </si>
  <si>
    <t>Dotace LK na projekt Hraběnka</t>
  </si>
  <si>
    <t>příspěvek spolku</t>
  </si>
  <si>
    <t>Dotace na výkon st. správy -  soc. práci</t>
  </si>
  <si>
    <t>Vébrová</t>
  </si>
  <si>
    <t>RM,ZM</t>
  </si>
  <si>
    <t>Vohnická</t>
  </si>
  <si>
    <t>saldo 0</t>
  </si>
  <si>
    <t>29008,29004</t>
  </si>
  <si>
    <t>700-702</t>
  </si>
  <si>
    <t>Městská policie</t>
  </si>
  <si>
    <t>veř. smlouvy</t>
  </si>
  <si>
    <t>sankční platby</t>
  </si>
  <si>
    <t>Cyklostezka "Za prací" - projekce</t>
  </si>
  <si>
    <t>Nouzov - pokračování z r.2015</t>
  </si>
  <si>
    <t>dle spl. kalendáře</t>
  </si>
  <si>
    <t>2017</t>
  </si>
  <si>
    <t>Rozpočet 2017</t>
  </si>
  <si>
    <t>Novotná</t>
  </si>
  <si>
    <t>Fűri</t>
  </si>
  <si>
    <t>garant</t>
  </si>
  <si>
    <t>Přijaté náhrady</t>
  </si>
  <si>
    <t>90104</t>
  </si>
  <si>
    <t>org</t>
  </si>
  <si>
    <t xml:space="preserve">Dotace LK na pečovatelskou službu </t>
  </si>
  <si>
    <t>Dotace LK na soc. služby pro DC</t>
  </si>
  <si>
    <t>Příjmy z úroků -z poskytn. půjček, divident</t>
  </si>
  <si>
    <t>Vaněk</t>
  </si>
  <si>
    <t xml:space="preserve">Koupaliště </t>
  </si>
  <si>
    <t>Dotace LK pro požární ochranu</t>
  </si>
  <si>
    <t xml:space="preserve">Pokuty ostatní </t>
  </si>
  <si>
    <t>MMN,a.s. - příplatek mimo zákl. kapitál</t>
  </si>
  <si>
    <t>Příspěvky  MMN z dotací, příspěvek na provoz</t>
  </si>
  <si>
    <t>Langová</t>
  </si>
  <si>
    <t>Obnova zahr. domku a vytvoření expozice</t>
  </si>
  <si>
    <t>přesun již  z roku 2015</t>
  </si>
  <si>
    <t>VHS - příspěvky (úroky k úvěru Čistá Jizera)</t>
  </si>
  <si>
    <t xml:space="preserve">Rekonstrukce čp.64 - rozvoj soc. služeb </t>
  </si>
  <si>
    <t>Přijetí  úvěru (chodník Čsl. Legií)</t>
  </si>
  <si>
    <t>Šolcová</t>
  </si>
  <si>
    <t>Parkoviště a přechod u SDJilm</t>
  </si>
  <si>
    <t>Chodník ul. Roztocká - projekce</t>
  </si>
  <si>
    <t>ul. Na Kozinci - chodník a veř. osvětlení</t>
  </si>
  <si>
    <t>Projekt "Rozvoj MA21 v Jilemnici"</t>
  </si>
  <si>
    <t>Dotace Min. vnitra ČR na požární cisternu</t>
  </si>
  <si>
    <t>doplatek dotace LK</t>
  </si>
  <si>
    <t>Projekt "Podpora sociální práce v Jilenici"</t>
  </si>
  <si>
    <t>projekt OPLZZ</t>
  </si>
  <si>
    <t>Dotace na projekt "Rozvoj MA21 v Jilemnici"</t>
  </si>
  <si>
    <t>novela RUD - zrušeno</t>
  </si>
  <si>
    <t>Dotace na projekt "Podpopra sociální práce v Jilemnici"</t>
  </si>
  <si>
    <t>Prodej automobilu</t>
  </si>
  <si>
    <t>včetně pouti</t>
  </si>
  <si>
    <t>Popl. z ubytovacích kapacit a rekreační pobyt</t>
  </si>
  <si>
    <t>vlastní podíl města</t>
  </si>
  <si>
    <t>Revitalizace sídliště Spořilov - projekty</t>
  </si>
  <si>
    <t>Parkoviště u DPS</t>
  </si>
  <si>
    <t>Lom - revitalizace</t>
  </si>
  <si>
    <t>Bulušek</t>
  </si>
  <si>
    <t>1.Q.2017</t>
  </si>
  <si>
    <t>2018</t>
  </si>
  <si>
    <t>R 18/17</t>
  </si>
  <si>
    <t>2.Q.2017</t>
  </si>
  <si>
    <t>3.Q.2017</t>
  </si>
  <si>
    <t>4.Q.2017</t>
  </si>
  <si>
    <t>Zůstatek z depozitního účtu z r. 2016</t>
  </si>
  <si>
    <t>Rozpočet 2018</t>
  </si>
  <si>
    <t>Čerpání 1.Q.2017</t>
  </si>
  <si>
    <t>Čerpání 2.Q.2017</t>
  </si>
  <si>
    <t>Čerpání 3.Q.2017</t>
  </si>
  <si>
    <t>Čerpání 4.Q.2017</t>
  </si>
  <si>
    <t>odhad</t>
  </si>
  <si>
    <t>Okruhy plnění rozpočtu 2017 u vybraných organizací v Jilemnici</t>
  </si>
  <si>
    <t>rozp. 2018/</t>
  </si>
  <si>
    <t>rozp.2017</t>
  </si>
  <si>
    <t>Dotace LK na obnovu požární cisterny</t>
  </si>
  <si>
    <t>doplatek volby do krajů</t>
  </si>
  <si>
    <t>Dotace MVČR na požární ochranu</t>
  </si>
  <si>
    <t>Dotace LK na obnovu a zajištění porostu lesa</t>
  </si>
  <si>
    <t>Finanční vypořádání z minulých let</t>
  </si>
  <si>
    <t>Přijaté pojistné náhrady</t>
  </si>
  <si>
    <t>SC- úč. příspěvek závlahový systém</t>
  </si>
  <si>
    <t>Dotace MŠMT na projekt Hraběnka</t>
  </si>
  <si>
    <t>Dotace na výkon st. správy - soc. právní ochranu dětí</t>
  </si>
  <si>
    <t>Dotace na Chodník Čsl. legií</t>
  </si>
  <si>
    <t>Dotace MK ČR na obnovu památek</t>
  </si>
  <si>
    <t>Místní referendum</t>
  </si>
  <si>
    <t>1381,1382,1383</t>
  </si>
  <si>
    <t>Příjem za zrušenou MMN v Jilemnici</t>
  </si>
  <si>
    <t>Prodej dokumentace k pozemku u pošty</t>
  </si>
  <si>
    <t>Dotace na kosení modráskové louky</t>
  </si>
  <si>
    <t>Modernizace odpadového systému</t>
  </si>
  <si>
    <t>Individuální dotace sport. klubům</t>
  </si>
  <si>
    <t>Dotace MŠMT z OP – Výzkum, vývoj a vzdělávání pro MŠ</t>
  </si>
  <si>
    <t>Dotace MŠMT z OP - Výzkum, vývoj a  vzdělávání  pro ZŠ Harracha</t>
  </si>
  <si>
    <t>Provoz čp. 259 (staré gymnázium)</t>
  </si>
  <si>
    <t>Volby prezidenta</t>
  </si>
  <si>
    <t xml:space="preserve"> </t>
  </si>
  <si>
    <t>Dotace na volby do Parlamentu a prezidenta</t>
  </si>
  <si>
    <t>Volby do Poslanecké sněmovny ČR</t>
  </si>
  <si>
    <t>Dotace LK pro ZŠ spec. a MŠ spec.</t>
  </si>
  <si>
    <t>Dotace MŠMT z OP – Výzkum, vývoj a vzdělávání pro ZŠ komenského</t>
  </si>
  <si>
    <t>rozp 17</t>
  </si>
  <si>
    <t>Požadavek</t>
  </si>
  <si>
    <t>Rekonstrukce lesní cesty</t>
  </si>
  <si>
    <t>ukončeno</t>
  </si>
  <si>
    <t>300 přístavba kolumbária - přesun</t>
  </si>
  <si>
    <t>Prodej pozemků Nouzov</t>
  </si>
  <si>
    <t>Nájemné ZŠ Libereckého kraje</t>
  </si>
  <si>
    <t>Služby ZŠ Libereckého kraje</t>
  </si>
  <si>
    <t>Nájemné budovy čp. 259</t>
  </si>
  <si>
    <t>Služby nájemníků čp. 259</t>
  </si>
  <si>
    <r>
      <t>M</t>
    </r>
    <r>
      <rPr>
        <sz val="9"/>
        <rFont val="Times New Roman"/>
        <family val="1"/>
        <charset val="238"/>
      </rPr>
      <t>ű</t>
    </r>
    <r>
      <rPr>
        <sz val="9"/>
        <rFont val="Arial CE"/>
        <family val="2"/>
        <charset val="238"/>
      </rPr>
      <t>llerová</t>
    </r>
  </si>
  <si>
    <t>4000 dotace akce Bátovka (celkem 6000)</t>
  </si>
  <si>
    <t>Obnova starého hřbitova</t>
  </si>
  <si>
    <t>Dotace LK na obnovu zahradního domku</t>
  </si>
  <si>
    <t>smlouva podepsaná</t>
  </si>
  <si>
    <t>z toho 300 dotace na soc. služby</t>
  </si>
  <si>
    <t>Izolace střechy kina</t>
  </si>
  <si>
    <t>požární auto</t>
  </si>
  <si>
    <t>vliv prodejů pozemků Nouzov</t>
  </si>
  <si>
    <t>Revitalizace parku U Labutě</t>
  </si>
  <si>
    <t>Dotace na projekt revitalizace parku U Labutě</t>
  </si>
  <si>
    <t xml:space="preserve">Nová parkoviště </t>
  </si>
  <si>
    <t>převod z r. 2017</t>
  </si>
  <si>
    <t>Úprava kontejnerových stání tříděného odpadu</t>
  </si>
  <si>
    <t>Dotace LK na úpravu kontejnerových stání tř. odpadu</t>
  </si>
  <si>
    <t>bez čp. 85, 300 na opravu čp. 1</t>
  </si>
  <si>
    <t>pokračování</t>
  </si>
  <si>
    <t>ZUŠ - příspěvek na provoz, čp. 85</t>
  </si>
  <si>
    <t>přesun z r. 2017</t>
  </si>
  <si>
    <t>Projekt EPC</t>
  </si>
  <si>
    <t>smlouva na 3 roky do r. 2019</t>
  </si>
  <si>
    <t>Dotace na projekt "Modernizace odpadového systému</t>
  </si>
  <si>
    <t>dle splátkového kalendáře do r. 2026</t>
  </si>
  <si>
    <t>z toho 548 dotace na sportoviště</t>
  </si>
  <si>
    <t>3000 střecha čp. 103,101, 1000 WC čp. 103</t>
  </si>
  <si>
    <t>Sportovní centrum Jilemnice, s.r.o</t>
  </si>
  <si>
    <t>ZŠ Harracha - projekt IROP</t>
  </si>
  <si>
    <t>Dotace LK pro MŠ (potravinová pomoc)</t>
  </si>
  <si>
    <t>vyrovnávací platba</t>
  </si>
  <si>
    <t>saldo 2250 (v roce 2017 bylo 3000)</t>
  </si>
  <si>
    <t>saldo 450  ( v roce 2017 bylo 475)</t>
  </si>
  <si>
    <t>Legie, Hraběnka</t>
  </si>
  <si>
    <t>Rekonstrukce budovy čp. 85</t>
  </si>
  <si>
    <t>607 dotace na koupi pozemku v Hrabačově</t>
  </si>
  <si>
    <t>Dotace  "Krkonošské pivní slavnosti","Podvečery", "Dech hor"</t>
  </si>
  <si>
    <t>Nonnerová</t>
  </si>
  <si>
    <t>Šolcováová</t>
  </si>
  <si>
    <t>Lambertová</t>
  </si>
  <si>
    <t>Jónová</t>
  </si>
  <si>
    <t>zrušeno</t>
  </si>
  <si>
    <t>přesun z roku 2017</t>
  </si>
  <si>
    <t xml:space="preserve">Dotace LK na zdravá města </t>
  </si>
  <si>
    <t>Poplatek za odnětí ZPF (Hraběnka)</t>
  </si>
  <si>
    <t>Areál Hraběnka - provoz</t>
  </si>
  <si>
    <t>rozdíl plnění 2017</t>
  </si>
  <si>
    <t>proti rozpočtu 2017</t>
  </si>
  <si>
    <t>Zůstatek z roku 2016,2017</t>
  </si>
  <si>
    <t>MĚSTO JILEMNICE -  Rozpočet 2017 - Hospodaření 2017 - Rozpočet 2018</t>
  </si>
  <si>
    <t>MĚSTO JILEMNICE -  Rozpočet 2017 -  Hospodaření 2017 - Rozpočet 2018 - příjmy</t>
  </si>
  <si>
    <t>MĚSTO JILEMNICE -   Rozpočet 2017 - Hospodaření 2017  - Rozpočet 2018 -  výdaje</t>
  </si>
  <si>
    <t>700 na přestavbu pro odlehčovací služby</t>
  </si>
  <si>
    <t>z toho 80 mobilní rozhlas</t>
  </si>
  <si>
    <t>U Zollmana, před gymn., Poštovní, Jungmanova, Tyršovo nám.</t>
  </si>
  <si>
    <t>v tom 400 automobil</t>
  </si>
  <si>
    <t>z toho 276 dotace na sportoviště a 1100 hor. stěna</t>
  </si>
  <si>
    <t>z toho 1000 na vybavení nové knihovny</t>
  </si>
  <si>
    <t>60 dotace Svazku, 40 na pivní slavnosti, 40 fstival Dech hor</t>
  </si>
  <si>
    <t>v r. 2018 součástí dotace s.r.o</t>
  </si>
  <si>
    <t>viz usn ZM 108/17</t>
  </si>
  <si>
    <t>projekt OPŽP - dokončení</t>
  </si>
  <si>
    <t>z toho 350 auto+100 vybavení</t>
  </si>
  <si>
    <t xml:space="preserve">opětovný přesun </t>
  </si>
  <si>
    <t>Realizované, podané či připravované projektové žádosti města Jilemnice</t>
  </si>
  <si>
    <t>Název projektu</t>
  </si>
  <si>
    <t xml:space="preserve">Inv., Neinv. </t>
  </si>
  <si>
    <t>Kdo žádá</t>
  </si>
  <si>
    <t xml:space="preserve">Od koho se žádá </t>
  </si>
  <si>
    <t>Stav projednání</t>
  </si>
  <si>
    <t xml:space="preserve"> Předpokládaná výše projektu</t>
  </si>
  <si>
    <t>Předpokládaná  dotace</t>
  </si>
  <si>
    <t>Předpokládaný vlastní podíl</t>
  </si>
  <si>
    <t>Podíl ostatní</t>
  </si>
  <si>
    <t>Realizace v letech</t>
  </si>
  <si>
    <t>vlastní podíl v letech</t>
  </si>
  <si>
    <t>Systém financování</t>
  </si>
  <si>
    <t>Program</t>
  </si>
  <si>
    <t>do r.2013</t>
  </si>
  <si>
    <t>Areál Hraběnka - I.a II. Etapa</t>
  </si>
  <si>
    <t>I</t>
  </si>
  <si>
    <t>město Jilemnice</t>
  </si>
  <si>
    <t>MŠMT, LK</t>
  </si>
  <si>
    <t>realizace</t>
  </si>
  <si>
    <t>2015-18</t>
  </si>
  <si>
    <t>partneři ČKS SKI, Biatlon</t>
  </si>
  <si>
    <t>Va,Šn</t>
  </si>
  <si>
    <t>Zvýšení bezpečnosti chodců (chodník Čsl. Legií)</t>
  </si>
  <si>
    <t xml:space="preserve">Liberecký kraj, IROP výzva č. 18 </t>
  </si>
  <si>
    <t xml:space="preserve">realizace </t>
  </si>
  <si>
    <t>2008-</t>
  </si>
  <si>
    <t>spolupr. s VHS a LK</t>
  </si>
  <si>
    <t>předfinancování úvěrem 23100</t>
  </si>
  <si>
    <t>Šn</t>
  </si>
  <si>
    <t>Infrastruktura pro bytovou výstavbu (Nouzov, Buben)</t>
  </si>
  <si>
    <t xml:space="preserve">příprava dokumentace </t>
  </si>
  <si>
    <t>priorita Nouzov</t>
  </si>
  <si>
    <t>odhad nákladů Nouzov</t>
  </si>
  <si>
    <t>Žižkova ulice a kruhový objezd</t>
  </si>
  <si>
    <t>investor LK, Jil. podíl na VO, chodnících</t>
  </si>
  <si>
    <t>dokončení dokumentace , VŘ</t>
  </si>
  <si>
    <t>2015-19</t>
  </si>
  <si>
    <t>Chodník ulice Roztocká</t>
  </si>
  <si>
    <t>zadání proj. dokumentace</t>
  </si>
  <si>
    <t>2017-20</t>
  </si>
  <si>
    <t>Vodohospodářská infrastruktura</t>
  </si>
  <si>
    <t>investor VHS, Jil. podíl</t>
  </si>
  <si>
    <t>v jednání jednotlivé akce</t>
  </si>
  <si>
    <t>vodovod Bátovka</t>
  </si>
  <si>
    <t>Požární cisterna</t>
  </si>
  <si>
    <t>MV ČR, LK</t>
  </si>
  <si>
    <t>Ce</t>
  </si>
  <si>
    <t>realizace, od r. 2018 splácení</t>
  </si>
  <si>
    <t>od r. 2019 hrazeno z úspor</t>
  </si>
  <si>
    <t>Šo</t>
  </si>
  <si>
    <t>N</t>
  </si>
  <si>
    <t>SFŽP</t>
  </si>
  <si>
    <t>No</t>
  </si>
  <si>
    <t>I,N</t>
  </si>
  <si>
    <t>OPŽP</t>
  </si>
  <si>
    <t>IROP- výzva MAS</t>
  </si>
  <si>
    <t>opětovná žádost</t>
  </si>
  <si>
    <t>2017-19</t>
  </si>
  <si>
    <t>Ja</t>
  </si>
  <si>
    <t>Projekt "Podpopra sociální práce v Jilemnici"</t>
  </si>
  <si>
    <t>dokončení realizace</t>
  </si>
  <si>
    <t>Celkem</t>
  </si>
  <si>
    <t>Ukončené, či vyřazené  projekty po roce 2017:</t>
  </si>
  <si>
    <t>Areál koupalište</t>
  </si>
  <si>
    <t>ukončeno po referendu</t>
  </si>
  <si>
    <t>2012-</t>
  </si>
  <si>
    <t>investor SC, s.r.o</t>
  </si>
  <si>
    <t>O,Šn</t>
  </si>
  <si>
    <t>Informace k 31.12.2017</t>
  </si>
  <si>
    <t xml:space="preserve"> výzva MAS, celkem projekt 7902</t>
  </si>
  <si>
    <t>ul. Metyšova - obnova vodohosp. sítí</t>
  </si>
  <si>
    <t>dotace VHS na spolufinancování</t>
  </si>
  <si>
    <t>1500 kotelna, 2000 prostory pro knihovnu</t>
  </si>
  <si>
    <t>Návrh rozpočtu na rok 2018 schválen vedením města  dne 30.1.2018</t>
  </si>
  <si>
    <t>Návrh rozpočtu na rok 2018 projednán ve FV dne 6.2.2018</t>
  </si>
  <si>
    <t>Návrh rozpočtu na rok 2018 projednán v RM dne 7.2.2018 s doporučením zvýšit příjmy i výdaje o 500 tis. Kč proti verzi FV</t>
  </si>
  <si>
    <t>Určeno k vyvěšení a k projednání v ZM dne 28.2.2018</t>
  </si>
  <si>
    <t>vlastní podíl města, 1500 dešť. kanalizace</t>
  </si>
  <si>
    <t>pro účely ZUŠ - výtvarný obor</t>
  </si>
  <si>
    <t>PO zrušena k 31.12.2017</t>
  </si>
  <si>
    <t>6329 nákup cisterny+750 vyprošť. zařízení</t>
  </si>
  <si>
    <t>1687 doplatek VHS, 370 projekce</t>
  </si>
  <si>
    <t>Sportovní centrum Jilemnice, s.r.o splacení ZK</t>
  </si>
  <si>
    <t>splacení základního kapitálu</t>
  </si>
  <si>
    <t xml:space="preserve">SC,s.r.o -obnova a investice sportovních zařízení </t>
  </si>
  <si>
    <t>příplatek mimo základní kapitál</t>
  </si>
  <si>
    <t>Příjem z pohledávky za zrušenou  přísp. org.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</si>
</sst>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0.0"/>
    <numFmt numFmtId="166" formatCode="#,##0.0000000"/>
    <numFmt numFmtId="167" formatCode="#,##0.000000"/>
    <numFmt numFmtId="168" formatCode="#,##0.00000"/>
    <numFmt numFmtId="169" formatCode="#,##0.000"/>
    <numFmt numFmtId="170" formatCode="#,##0_ ;[Red]\-#,##0\ "/>
    <numFmt numFmtId="171" formatCode="0_ ;[Red]\-0\ "/>
    <numFmt numFmtId="172" formatCode="d/m/yy;@"/>
    <numFmt numFmtId="173" formatCode="0.0000"/>
    <numFmt numFmtId="174" formatCode="0.0000000000000000E+00"/>
    <numFmt numFmtId="175" formatCode="0.00000"/>
  </numFmts>
  <fonts count="34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"/>
      <color indexed="8"/>
      <name val="Arial CE"/>
      <family val="2"/>
      <charset val="238"/>
    </font>
    <font>
      <sz val="8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8"/>
      <color indexed="81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8"/>
      <color indexed="8"/>
      <name val="Arial CE"/>
      <charset val="238"/>
    </font>
    <font>
      <sz val="8"/>
      <name val="Arial"/>
      <family val="2"/>
      <charset val="238"/>
    </font>
    <font>
      <sz val="8"/>
      <color indexed="8"/>
      <name val="Arial CE"/>
      <charset val="238"/>
    </font>
    <font>
      <sz val="8"/>
      <name val="Times New Roman"/>
      <family val="1"/>
      <charset val="238"/>
    </font>
    <font>
      <sz val="8"/>
      <color indexed="10"/>
      <name val="Arial CE"/>
      <family val="2"/>
      <charset val="238"/>
    </font>
    <font>
      <b/>
      <sz val="8"/>
      <color indexed="10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"/>
      <name val="Arial CE"/>
      <charset val="238"/>
    </font>
    <font>
      <sz val="10"/>
      <name val="Arial"/>
      <family val="2"/>
      <charset val="238"/>
    </font>
    <font>
      <sz val="7"/>
      <color indexed="8"/>
      <name val="Arial CE"/>
      <family val="2"/>
      <charset val="238"/>
    </font>
    <font>
      <sz val="9"/>
      <name val="Arial CE"/>
      <family val="2"/>
      <charset val="238"/>
    </font>
    <font>
      <sz val="9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8" fillId="0" borderId="0"/>
    <xf numFmtId="9" fontId="1" fillId="0" borderId="0" applyFont="0" applyFill="0" applyBorder="0" applyAlignment="0" applyProtection="0"/>
  </cellStyleXfs>
  <cellXfs count="61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164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1" fontId="3" fillId="0" borderId="5" xfId="0" applyNumberFormat="1" applyFont="1" applyBorder="1" applyAlignment="1">
      <alignment horizontal="center"/>
    </xf>
    <xf numFmtId="0" fontId="4" fillId="0" borderId="6" xfId="0" applyFont="1" applyBorder="1"/>
    <xf numFmtId="3" fontId="5" fillId="0" borderId="7" xfId="0" applyNumberFormat="1" applyFont="1" applyBorder="1"/>
    <xf numFmtId="165" fontId="5" fillId="0" borderId="8" xfId="0" applyNumberFormat="1" applyFont="1" applyBorder="1" applyAlignment="1">
      <alignment horizontal="center"/>
    </xf>
    <xf numFmtId="0" fontId="3" fillId="0" borderId="9" xfId="0" applyFont="1" applyBorder="1"/>
    <xf numFmtId="3" fontId="4" fillId="0" borderId="7" xfId="0" applyNumberFormat="1" applyFont="1" applyBorder="1"/>
    <xf numFmtId="165" fontId="4" fillId="0" borderId="8" xfId="0" applyNumberFormat="1" applyFont="1" applyBorder="1" applyAlignment="1">
      <alignment horizontal="center"/>
    </xf>
    <xf numFmtId="0" fontId="3" fillId="0" borderId="0" xfId="0" applyFont="1" applyBorder="1"/>
    <xf numFmtId="3" fontId="5" fillId="0" borderId="10" xfId="0" applyNumberFormat="1" applyFont="1" applyFill="1" applyBorder="1" applyAlignment="1" applyProtection="1"/>
    <xf numFmtId="3" fontId="5" fillId="0" borderId="7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/>
    <xf numFmtId="165" fontId="4" fillId="0" borderId="6" xfId="0" applyNumberFormat="1" applyFont="1" applyBorder="1" applyAlignment="1">
      <alignment horizontal="center"/>
    </xf>
    <xf numFmtId="164" fontId="5" fillId="0" borderId="0" xfId="0" applyNumberFormat="1" applyFont="1"/>
    <xf numFmtId="0" fontId="5" fillId="0" borderId="0" xfId="0" applyFont="1"/>
    <xf numFmtId="0" fontId="3" fillId="0" borderId="11" xfId="0" applyFont="1" applyBorder="1"/>
    <xf numFmtId="0" fontId="5" fillId="0" borderId="0" xfId="0" applyNumberFormat="1" applyFont="1" applyFill="1" applyBorder="1" applyAlignment="1" applyProtection="1"/>
    <xf numFmtId="0" fontId="4" fillId="0" borderId="12" xfId="0" applyNumberFormat="1" applyFont="1" applyFill="1" applyBorder="1" applyAlignment="1" applyProtection="1"/>
    <xf numFmtId="164" fontId="4" fillId="0" borderId="12" xfId="0" applyNumberFormat="1" applyFont="1" applyFill="1" applyBorder="1" applyAlignment="1" applyProtection="1">
      <alignment horizontal="right"/>
    </xf>
    <xf numFmtId="0" fontId="4" fillId="0" borderId="5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/>
    <xf numFmtId="164" fontId="9" fillId="2" borderId="10" xfId="0" applyNumberFormat="1" applyFont="1" applyFill="1" applyBorder="1" applyAlignment="1" applyProtection="1">
      <alignment horizontal="right"/>
    </xf>
    <xf numFmtId="164" fontId="9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/>
    <xf numFmtId="0" fontId="6" fillId="0" borderId="10" xfId="0" applyNumberFormat="1" applyFont="1" applyFill="1" applyBorder="1" applyAlignment="1" applyProtection="1"/>
    <xf numFmtId="164" fontId="10" fillId="0" borderId="10" xfId="0" applyNumberFormat="1" applyFont="1" applyFill="1" applyBorder="1" applyAlignment="1" applyProtection="1">
      <alignment horizontal="right"/>
    </xf>
    <xf numFmtId="0" fontId="5" fillId="0" borderId="13" xfId="0" applyNumberFormat="1" applyFont="1" applyFill="1" applyBorder="1" applyAlignment="1" applyProtection="1"/>
    <xf numFmtId="164" fontId="9" fillId="0" borderId="14" xfId="0" applyNumberFormat="1" applyFont="1" applyFill="1" applyBorder="1" applyAlignment="1" applyProtection="1">
      <alignment horizontal="right"/>
    </xf>
    <xf numFmtId="164" fontId="10" fillId="2" borderId="10" xfId="0" applyNumberFormat="1" applyFont="1" applyFill="1" applyBorder="1" applyAlignment="1" applyProtection="1">
      <alignment horizontal="right"/>
    </xf>
    <xf numFmtId="164" fontId="10" fillId="0" borderId="15" xfId="0" applyNumberFormat="1" applyFont="1" applyFill="1" applyBorder="1" applyAlignment="1" applyProtection="1">
      <alignment horizontal="right"/>
    </xf>
    <xf numFmtId="0" fontId="11" fillId="3" borderId="16" xfId="0" applyNumberFormat="1" applyFont="1" applyFill="1" applyBorder="1" applyAlignment="1" applyProtection="1"/>
    <xf numFmtId="0" fontId="12" fillId="3" borderId="11" xfId="0" applyNumberFormat="1" applyFont="1" applyFill="1" applyBorder="1" applyAlignment="1" applyProtection="1"/>
    <xf numFmtId="0" fontId="12" fillId="3" borderId="13" xfId="0" applyNumberFormat="1" applyFont="1" applyFill="1" applyBorder="1" applyAlignment="1" applyProtection="1"/>
    <xf numFmtId="164" fontId="12" fillId="3" borderId="1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7" xfId="0" applyNumberFormat="1" applyFont="1" applyFill="1" applyBorder="1" applyAlignment="1" applyProtection="1"/>
    <xf numFmtId="3" fontId="5" fillId="0" borderId="9" xfId="0" applyNumberFormat="1" applyFont="1" applyFill="1" applyBorder="1" applyAlignment="1" applyProtection="1"/>
    <xf numFmtId="164" fontId="13" fillId="0" borderId="18" xfId="0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/>
    </xf>
    <xf numFmtId="0" fontId="4" fillId="0" borderId="9" xfId="0" applyNumberFormat="1" applyFont="1" applyFill="1" applyBorder="1" applyAlignment="1" applyProtection="1">
      <alignment horizontal="center"/>
    </xf>
    <xf numFmtId="0" fontId="4" fillId="0" borderId="10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/>
    <xf numFmtId="3" fontId="4" fillId="0" borderId="2" xfId="0" applyNumberFormat="1" applyFont="1" applyFill="1" applyBorder="1" applyAlignment="1" applyProtection="1"/>
    <xf numFmtId="3" fontId="4" fillId="0" borderId="9" xfId="0" applyNumberFormat="1" applyFont="1" applyFill="1" applyBorder="1" applyAlignment="1" applyProtection="1"/>
    <xf numFmtId="3" fontId="4" fillId="0" borderId="8" xfId="0" applyNumberFormat="1" applyFont="1" applyFill="1" applyBorder="1" applyAlignment="1" applyProtection="1"/>
    <xf numFmtId="3" fontId="5" fillId="0" borderId="8" xfId="0" applyNumberFormat="1" applyFont="1" applyFill="1" applyBorder="1" applyAlignment="1" applyProtection="1"/>
    <xf numFmtId="3" fontId="4" fillId="0" borderId="20" xfId="0" applyNumberFormat="1" applyFont="1" applyFill="1" applyBorder="1" applyAlignment="1" applyProtection="1"/>
    <xf numFmtId="3" fontId="4" fillId="0" borderId="12" xfId="0" applyNumberFormat="1" applyFont="1" applyFill="1" applyBorder="1" applyAlignment="1" applyProtection="1"/>
    <xf numFmtId="3" fontId="4" fillId="0" borderId="21" xfId="0" applyNumberFormat="1" applyFont="1" applyFill="1" applyBorder="1" applyAlignment="1" applyProtection="1"/>
    <xf numFmtId="3" fontId="5" fillId="0" borderId="22" xfId="0" applyNumberFormat="1" applyFont="1" applyFill="1" applyBorder="1" applyAlignment="1" applyProtection="1"/>
    <xf numFmtId="0" fontId="5" fillId="0" borderId="9" xfId="0" applyNumberFormat="1" applyFont="1" applyFill="1" applyBorder="1" applyAlignment="1" applyProtection="1"/>
    <xf numFmtId="3" fontId="5" fillId="0" borderId="23" xfId="0" applyNumberFormat="1" applyFont="1" applyFill="1" applyBorder="1" applyAlignment="1" applyProtection="1"/>
    <xf numFmtId="3" fontId="5" fillId="0" borderId="13" xfId="0" applyNumberFormat="1" applyFont="1" applyFill="1" applyBorder="1" applyAlignment="1" applyProtection="1"/>
    <xf numFmtId="0" fontId="5" fillId="0" borderId="22" xfId="0" applyNumberFormat="1" applyFont="1" applyFill="1" applyBorder="1" applyAlignment="1" applyProtection="1"/>
    <xf numFmtId="3" fontId="5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0" fontId="4" fillId="0" borderId="2" xfId="0" applyNumberFormat="1" applyFont="1" applyFill="1" applyBorder="1" applyAlignment="1" applyProtection="1"/>
    <xf numFmtId="0" fontId="4" fillId="0" borderId="5" xfId="0" applyFont="1" applyBorder="1"/>
    <xf numFmtId="3" fontId="10" fillId="0" borderId="10" xfId="0" applyNumberFormat="1" applyFont="1" applyFill="1" applyBorder="1" applyAlignment="1" applyProtection="1">
      <alignment horizontal="right"/>
    </xf>
    <xf numFmtId="3" fontId="9" fillId="0" borderId="10" xfId="0" applyNumberFormat="1" applyFont="1" applyFill="1" applyBorder="1" applyAlignment="1" applyProtection="1">
      <alignment horizontal="right"/>
    </xf>
    <xf numFmtId="3" fontId="9" fillId="0" borderId="14" xfId="0" applyNumberFormat="1" applyFont="1" applyFill="1" applyBorder="1" applyAlignment="1" applyProtection="1">
      <alignment horizontal="right"/>
    </xf>
    <xf numFmtId="3" fontId="10" fillId="2" borderId="10" xfId="0" applyNumberFormat="1" applyFont="1" applyFill="1" applyBorder="1" applyAlignment="1" applyProtection="1">
      <alignment horizontal="right"/>
    </xf>
    <xf numFmtId="0" fontId="3" fillId="0" borderId="8" xfId="0" applyFont="1" applyBorder="1"/>
    <xf numFmtId="0" fontId="16" fillId="0" borderId="8" xfId="0" applyFont="1" applyBorder="1"/>
    <xf numFmtId="0" fontId="5" fillId="0" borderId="11" xfId="0" applyFont="1" applyBorder="1"/>
    <xf numFmtId="3" fontId="9" fillId="2" borderId="10" xfId="0" applyNumberFormat="1" applyFont="1" applyFill="1" applyBorder="1" applyAlignment="1" applyProtection="1">
      <alignment horizontal="right"/>
    </xf>
    <xf numFmtId="0" fontId="4" fillId="2" borderId="10" xfId="0" applyNumberFormat="1" applyFont="1" applyFill="1" applyBorder="1" applyAlignment="1" applyProtection="1"/>
    <xf numFmtId="0" fontId="5" fillId="2" borderId="10" xfId="0" applyNumberFormat="1" applyFont="1" applyFill="1" applyBorder="1" applyAlignment="1" applyProtection="1"/>
    <xf numFmtId="0" fontId="3" fillId="0" borderId="25" xfId="0" applyFont="1" applyBorder="1"/>
    <xf numFmtId="0" fontId="3" fillId="0" borderId="26" xfId="0" applyFont="1" applyBorder="1"/>
    <xf numFmtId="3" fontId="5" fillId="0" borderId="26" xfId="0" applyNumberFormat="1" applyFont="1" applyBorder="1"/>
    <xf numFmtId="0" fontId="3" fillId="0" borderId="6" xfId="0" applyFont="1" applyBorder="1"/>
    <xf numFmtId="9" fontId="5" fillId="0" borderId="8" xfId="0" applyNumberFormat="1" applyFont="1" applyBorder="1"/>
    <xf numFmtId="9" fontId="4" fillId="0" borderId="8" xfId="0" applyNumberFormat="1" applyFont="1" applyBorder="1"/>
    <xf numFmtId="0" fontId="5" fillId="0" borderId="8" xfId="0" applyFont="1" applyBorder="1"/>
    <xf numFmtId="0" fontId="4" fillId="0" borderId="8" xfId="0" applyFont="1" applyBorder="1"/>
    <xf numFmtId="3" fontId="4" fillId="0" borderId="8" xfId="0" applyNumberFormat="1" applyFont="1" applyBorder="1"/>
    <xf numFmtId="0" fontId="5" fillId="0" borderId="6" xfId="0" applyFont="1" applyBorder="1"/>
    <xf numFmtId="0" fontId="4" fillId="0" borderId="8" xfId="0" applyNumberFormat="1" applyFont="1" applyFill="1" applyBorder="1" applyAlignment="1" applyProtection="1">
      <alignment horizontal="center"/>
    </xf>
    <xf numFmtId="0" fontId="4" fillId="0" borderId="9" xfId="0" applyNumberFormat="1" applyFont="1" applyFill="1" applyBorder="1" applyAlignment="1" applyProtection="1"/>
    <xf numFmtId="0" fontId="5" fillId="0" borderId="27" xfId="0" applyFont="1" applyBorder="1"/>
    <xf numFmtId="3" fontId="4" fillId="0" borderId="10" xfId="0" applyNumberFormat="1" applyFont="1" applyFill="1" applyBorder="1"/>
    <xf numFmtId="3" fontId="16" fillId="0" borderId="10" xfId="0" applyNumberFormat="1" applyFont="1" applyFill="1" applyBorder="1"/>
    <xf numFmtId="3" fontId="3" fillId="0" borderId="10" xfId="0" applyNumberFormat="1" applyFont="1" applyFill="1" applyBorder="1"/>
    <xf numFmtId="0" fontId="16" fillId="0" borderId="0" xfId="0" applyFont="1"/>
    <xf numFmtId="0" fontId="3" fillId="0" borderId="10" xfId="0" applyNumberFormat="1" applyFont="1" applyFill="1" applyBorder="1" applyAlignment="1" applyProtection="1"/>
    <xf numFmtId="0" fontId="16" fillId="0" borderId="10" xfId="0" applyFont="1" applyBorder="1"/>
    <xf numFmtId="0" fontId="5" fillId="0" borderId="0" xfId="0" applyFont="1" applyFill="1"/>
    <xf numFmtId="0" fontId="4" fillId="0" borderId="19" xfId="0" applyNumberFormat="1" applyFont="1" applyFill="1" applyBorder="1" applyAlignment="1" applyProtection="1"/>
    <xf numFmtId="0" fontId="5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/>
    <xf numFmtId="0" fontId="16" fillId="0" borderId="9" xfId="0" applyFont="1" applyBorder="1"/>
    <xf numFmtId="164" fontId="16" fillId="0" borderId="0" xfId="0" applyNumberFormat="1" applyFont="1"/>
    <xf numFmtId="0" fontId="4" fillId="2" borderId="10" xfId="0" applyFont="1" applyFill="1" applyBorder="1" applyAlignment="1">
      <alignment horizontal="right"/>
    </xf>
    <xf numFmtId="0" fontId="15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Alignment="1" applyProtection="1"/>
    <xf numFmtId="164" fontId="16" fillId="0" borderId="0" xfId="0" applyNumberFormat="1" applyFont="1" applyFill="1" applyBorder="1" applyAlignment="1" applyProtection="1">
      <alignment horizontal="right"/>
    </xf>
    <xf numFmtId="0" fontId="16" fillId="0" borderId="10" xfId="0" applyNumberFormat="1" applyFont="1" applyFill="1" applyBorder="1" applyAlignment="1" applyProtection="1"/>
    <xf numFmtId="0" fontId="3" fillId="2" borderId="10" xfId="0" applyNumberFormat="1" applyFont="1" applyFill="1" applyBorder="1" applyAlignment="1" applyProtection="1"/>
    <xf numFmtId="164" fontId="3" fillId="2" borderId="10" xfId="0" applyNumberFormat="1" applyFont="1" applyFill="1" applyBorder="1" applyAlignment="1" applyProtection="1"/>
    <xf numFmtId="0" fontId="5" fillId="0" borderId="10" xfId="0" applyNumberFormat="1" applyFont="1" applyFill="1" applyBorder="1" applyAlignment="1" applyProtection="1">
      <alignment horizontal="right"/>
    </xf>
    <xf numFmtId="3" fontId="16" fillId="0" borderId="0" xfId="0" applyNumberFormat="1" applyFont="1"/>
    <xf numFmtId="0" fontId="5" fillId="0" borderId="10" xfId="0" applyNumberFormat="1" applyFont="1" applyFill="1" applyBorder="1" applyAlignment="1" applyProtection="1">
      <alignment horizontal="left"/>
    </xf>
    <xf numFmtId="0" fontId="2" fillId="0" borderId="14" xfId="0" applyNumberFormat="1" applyFont="1" applyFill="1" applyBorder="1" applyAlignment="1" applyProtection="1"/>
    <xf numFmtId="0" fontId="4" fillId="0" borderId="14" xfId="0" applyNumberFormat="1" applyFont="1" applyFill="1" applyBorder="1" applyAlignment="1" applyProtection="1"/>
    <xf numFmtId="0" fontId="16" fillId="0" borderId="0" xfId="0" applyFont="1" applyFill="1"/>
    <xf numFmtId="0" fontId="5" fillId="0" borderId="14" xfId="0" applyNumberFormat="1" applyFont="1" applyFill="1" applyBorder="1" applyAlignment="1" applyProtection="1"/>
    <xf numFmtId="0" fontId="16" fillId="0" borderId="14" xfId="0" applyNumberFormat="1" applyFont="1" applyFill="1" applyBorder="1" applyAlignment="1" applyProtection="1"/>
    <xf numFmtId="0" fontId="16" fillId="2" borderId="10" xfId="0" applyNumberFormat="1" applyFont="1" applyFill="1" applyBorder="1" applyAlignment="1" applyProtection="1"/>
    <xf numFmtId="3" fontId="4" fillId="0" borderId="14" xfId="0" applyNumberFormat="1" applyFont="1" applyFill="1" applyBorder="1" applyAlignment="1" applyProtection="1">
      <alignment horizontal="right"/>
    </xf>
    <xf numFmtId="0" fontId="5" fillId="0" borderId="1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1" fontId="5" fillId="0" borderId="0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/>
    <xf numFmtId="4" fontId="16" fillId="0" borderId="0" xfId="0" applyNumberFormat="1" applyFont="1"/>
    <xf numFmtId="3" fontId="5" fillId="0" borderId="9" xfId="0" applyNumberFormat="1" applyFont="1" applyBorder="1"/>
    <xf numFmtId="3" fontId="4" fillId="0" borderId="9" xfId="0" applyNumberFormat="1" applyFont="1" applyBorder="1"/>
    <xf numFmtId="3" fontId="5" fillId="0" borderId="4" xfId="0" applyNumberFormat="1" applyFont="1" applyBorder="1"/>
    <xf numFmtId="0" fontId="5" fillId="0" borderId="7" xfId="0" applyNumberFormat="1" applyFont="1" applyFill="1" applyBorder="1" applyAlignment="1" applyProtection="1">
      <alignment horizontal="right"/>
    </xf>
    <xf numFmtId="3" fontId="9" fillId="3" borderId="13" xfId="0" applyNumberFormat="1" applyFont="1" applyFill="1" applyBorder="1" applyAlignment="1" applyProtection="1">
      <alignment horizontal="right"/>
    </xf>
    <xf numFmtId="0" fontId="16" fillId="0" borderId="4" xfId="0" applyFont="1" applyBorder="1"/>
    <xf numFmtId="0" fontId="16" fillId="0" borderId="0" xfId="0" applyFont="1" applyBorder="1"/>
    <xf numFmtId="0" fontId="16" fillId="0" borderId="30" xfId="0" applyFont="1" applyBorder="1"/>
    <xf numFmtId="0" fontId="16" fillId="0" borderId="11" xfId="0" applyFont="1" applyBorder="1"/>
    <xf numFmtId="0" fontId="16" fillId="0" borderId="8" xfId="0" applyFont="1" applyFill="1" applyBorder="1"/>
    <xf numFmtId="0" fontId="16" fillId="0" borderId="31" xfId="0" applyFont="1" applyBorder="1"/>
    <xf numFmtId="0" fontId="4" fillId="0" borderId="32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16" fillId="0" borderId="9" xfId="0" applyNumberFormat="1" applyFont="1" applyFill="1" applyBorder="1" applyAlignment="1" applyProtection="1"/>
    <xf numFmtId="0" fontId="4" fillId="0" borderId="20" xfId="0" applyNumberFormat="1" applyFont="1" applyFill="1" applyBorder="1" applyAlignment="1" applyProtection="1"/>
    <xf numFmtId="0" fontId="16" fillId="0" borderId="22" xfId="0" applyNumberFormat="1" applyFont="1" applyFill="1" applyBorder="1" applyAlignment="1" applyProtection="1"/>
    <xf numFmtId="0" fontId="5" fillId="0" borderId="33" xfId="0" applyNumberFormat="1" applyFont="1" applyFill="1" applyBorder="1" applyAlignment="1" applyProtection="1"/>
    <xf numFmtId="0" fontId="4" fillId="0" borderId="13" xfId="0" applyNumberFormat="1" applyFont="1" applyFill="1" applyBorder="1" applyAlignment="1" applyProtection="1"/>
    <xf numFmtId="168" fontId="16" fillId="0" borderId="0" xfId="0" applyNumberFormat="1" applyFont="1" applyBorder="1"/>
    <xf numFmtId="3" fontId="5" fillId="0" borderId="0" xfId="0" applyNumberFormat="1" applyFont="1" applyFill="1" applyBorder="1" applyAlignment="1" applyProtection="1"/>
    <xf numFmtId="49" fontId="4" fillId="0" borderId="5" xfId="0" applyNumberFormat="1" applyFont="1" applyFill="1" applyBorder="1" applyAlignment="1" applyProtection="1">
      <alignment horizontal="center"/>
    </xf>
    <xf numFmtId="169" fontId="4" fillId="0" borderId="5" xfId="0" applyNumberFormat="1" applyFont="1" applyFill="1" applyBorder="1" applyAlignment="1" applyProtection="1">
      <alignment horizontal="center"/>
    </xf>
    <xf numFmtId="169" fontId="16" fillId="0" borderId="0" xfId="0" applyNumberFormat="1" applyFont="1" applyFill="1" applyBorder="1" applyAlignment="1" applyProtection="1">
      <alignment horizontal="right"/>
    </xf>
    <xf numFmtId="169" fontId="4" fillId="0" borderId="12" xfId="0" applyNumberFormat="1" applyFont="1" applyFill="1" applyBorder="1" applyAlignment="1" applyProtection="1">
      <alignment horizontal="center"/>
    </xf>
    <xf numFmtId="169" fontId="9" fillId="2" borderId="10" xfId="0" applyNumberFormat="1" applyFont="1" applyFill="1" applyBorder="1" applyAlignment="1" applyProtection="1">
      <alignment horizontal="right"/>
    </xf>
    <xf numFmtId="169" fontId="16" fillId="0" borderId="0" xfId="0" applyNumberFormat="1" applyFont="1" applyFill="1"/>
    <xf numFmtId="3" fontId="16" fillId="0" borderId="0" xfId="0" applyNumberFormat="1" applyFont="1" applyFill="1"/>
    <xf numFmtId="3" fontId="5" fillId="0" borderId="34" xfId="0" applyNumberFormat="1" applyFont="1" applyFill="1" applyBorder="1" applyAlignment="1" applyProtection="1"/>
    <xf numFmtId="3" fontId="10" fillId="0" borderId="15" xfId="0" applyNumberFormat="1" applyFont="1" applyFill="1" applyBorder="1" applyAlignment="1" applyProtection="1">
      <alignment horizontal="right"/>
    </xf>
    <xf numFmtId="3" fontId="5" fillId="0" borderId="15" xfId="0" applyNumberFormat="1" applyFont="1" applyFill="1" applyBorder="1" applyAlignment="1" applyProtection="1">
      <alignment horizontal="right"/>
    </xf>
    <xf numFmtId="3" fontId="16" fillId="0" borderId="0" xfId="0" applyNumberFormat="1" applyFont="1" applyFill="1" applyBorder="1" applyAlignment="1" applyProtection="1">
      <alignment horizontal="right"/>
    </xf>
    <xf numFmtId="3" fontId="4" fillId="0" borderId="35" xfId="0" applyNumberFormat="1" applyFont="1" applyFill="1" applyBorder="1" applyAlignment="1" applyProtection="1">
      <alignment horizontal="right"/>
    </xf>
    <xf numFmtId="3" fontId="5" fillId="0" borderId="7" xfId="0" applyNumberFormat="1" applyFont="1" applyFill="1" applyBorder="1"/>
    <xf numFmtId="9" fontId="16" fillId="0" borderId="0" xfId="2" applyFont="1" applyFill="1" applyBorder="1" applyAlignment="1" applyProtection="1">
      <alignment horizontal="right"/>
    </xf>
    <xf numFmtId="9" fontId="9" fillId="2" borderId="10" xfId="2" applyFont="1" applyFill="1" applyBorder="1" applyAlignment="1" applyProtection="1">
      <alignment horizontal="right"/>
    </xf>
    <xf numFmtId="9" fontId="9" fillId="0" borderId="10" xfId="2" applyFont="1" applyFill="1" applyBorder="1" applyAlignment="1" applyProtection="1">
      <alignment horizontal="right"/>
    </xf>
    <xf numFmtId="9" fontId="10" fillId="0" borderId="10" xfId="2" applyFont="1" applyFill="1" applyBorder="1" applyAlignment="1" applyProtection="1">
      <alignment horizontal="right"/>
    </xf>
    <xf numFmtId="9" fontId="9" fillId="0" borderId="14" xfId="2" applyFont="1" applyFill="1" applyBorder="1" applyAlignment="1" applyProtection="1">
      <alignment horizontal="right"/>
    </xf>
    <xf numFmtId="9" fontId="10" fillId="2" borderId="10" xfId="2" applyFont="1" applyFill="1" applyBorder="1" applyAlignment="1" applyProtection="1">
      <alignment horizontal="right"/>
    </xf>
    <xf numFmtId="9" fontId="10" fillId="0" borderId="15" xfId="2" applyFont="1" applyFill="1" applyBorder="1" applyAlignment="1" applyProtection="1">
      <alignment horizontal="right"/>
    </xf>
    <xf numFmtId="9" fontId="13" fillId="0" borderId="15" xfId="2" applyFont="1" applyFill="1" applyBorder="1" applyAlignment="1" applyProtection="1">
      <alignment horizontal="right"/>
    </xf>
    <xf numFmtId="9" fontId="13" fillId="0" borderId="18" xfId="2" applyFont="1" applyFill="1" applyBorder="1" applyAlignment="1" applyProtection="1">
      <alignment horizontal="right"/>
    </xf>
    <xf numFmtId="3" fontId="4" fillId="0" borderId="10" xfId="0" applyNumberFormat="1" applyFont="1" applyBorder="1"/>
    <xf numFmtId="3" fontId="5" fillId="0" borderId="10" xfId="0" applyNumberFormat="1" applyFont="1" applyFill="1" applyBorder="1"/>
    <xf numFmtId="0" fontId="3" fillId="0" borderId="26" xfId="0" applyFont="1" applyBorder="1" applyAlignment="1">
      <alignment horizontal="center"/>
    </xf>
    <xf numFmtId="14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3" fontId="4" fillId="0" borderId="5" xfId="0" applyNumberFormat="1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9" fontId="5" fillId="0" borderId="8" xfId="2" applyFont="1" applyBorder="1"/>
    <xf numFmtId="9" fontId="4" fillId="0" borderId="8" xfId="2" applyFont="1" applyBorder="1"/>
    <xf numFmtId="0" fontId="16" fillId="0" borderId="6" xfId="0" applyFont="1" applyBorder="1"/>
    <xf numFmtId="3" fontId="4" fillId="0" borderId="18" xfId="0" applyNumberFormat="1" applyFont="1" applyFill="1" applyBorder="1" applyAlignment="1" applyProtection="1">
      <alignment horizontal="right"/>
    </xf>
    <xf numFmtId="0" fontId="3" fillId="0" borderId="2" xfId="0" applyFont="1" applyFill="1" applyBorder="1"/>
    <xf numFmtId="0" fontId="2" fillId="0" borderId="0" xfId="0" applyFont="1" applyFill="1"/>
    <xf numFmtId="0" fontId="3" fillId="0" borderId="0" xfId="0" applyFont="1" applyFill="1"/>
    <xf numFmtId="0" fontId="4" fillId="0" borderId="37" xfId="0" applyNumberFormat="1" applyFont="1" applyFill="1" applyBorder="1" applyAlignment="1" applyProtection="1">
      <alignment horizontal="center"/>
    </xf>
    <xf numFmtId="3" fontId="4" fillId="0" borderId="12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Alignment="1" applyProtection="1"/>
    <xf numFmtId="3" fontId="5" fillId="0" borderId="5" xfId="0" applyNumberFormat="1" applyFont="1" applyFill="1" applyBorder="1"/>
    <xf numFmtId="49" fontId="4" fillId="4" borderId="5" xfId="0" applyNumberFormat="1" applyFont="1" applyFill="1" applyBorder="1" applyAlignment="1" applyProtection="1">
      <alignment horizontal="center"/>
    </xf>
    <xf numFmtId="164" fontId="16" fillId="4" borderId="0" xfId="0" applyNumberFormat="1" applyFont="1" applyFill="1"/>
    <xf numFmtId="3" fontId="4" fillId="0" borderId="15" xfId="0" applyNumberFormat="1" applyFont="1" applyFill="1" applyBorder="1" applyAlignment="1" applyProtection="1">
      <alignment horizontal="right"/>
    </xf>
    <xf numFmtId="3" fontId="4" fillId="0" borderId="33" xfId="0" applyNumberFormat="1" applyFont="1" applyFill="1" applyBorder="1" applyAlignment="1" applyProtection="1"/>
    <xf numFmtId="0" fontId="4" fillId="3" borderId="20" xfId="0" applyNumberFormat="1" applyFont="1" applyFill="1" applyBorder="1" applyAlignment="1" applyProtection="1">
      <alignment horizontal="center"/>
    </xf>
    <xf numFmtId="0" fontId="4" fillId="3" borderId="21" xfId="0" applyNumberFormat="1" applyFont="1" applyFill="1" applyBorder="1" applyAlignment="1" applyProtection="1">
      <alignment horizontal="center"/>
    </xf>
    <xf numFmtId="0" fontId="4" fillId="3" borderId="4" xfId="0" applyNumberFormat="1" applyFont="1" applyFill="1" applyBorder="1" applyAlignment="1" applyProtection="1">
      <alignment horizontal="center"/>
    </xf>
    <xf numFmtId="3" fontId="4" fillId="3" borderId="1" xfId="0" applyNumberFormat="1" applyFont="1" applyFill="1" applyBorder="1" applyAlignment="1" applyProtection="1"/>
    <xf numFmtId="3" fontId="4" fillId="3" borderId="3" xfId="0" applyNumberFormat="1" applyFont="1" applyFill="1" applyBorder="1" applyAlignment="1" applyProtection="1"/>
    <xf numFmtId="0" fontId="5" fillId="3" borderId="9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/>
    <xf numFmtId="3" fontId="5" fillId="3" borderId="9" xfId="0" applyNumberFormat="1" applyFont="1" applyFill="1" applyBorder="1" applyAlignment="1" applyProtection="1"/>
    <xf numFmtId="3" fontId="5" fillId="3" borderId="8" xfId="0" applyNumberFormat="1" applyFont="1" applyFill="1" applyBorder="1" applyAlignment="1" applyProtection="1"/>
    <xf numFmtId="3" fontId="4" fillId="3" borderId="20" xfId="0" applyNumberFormat="1" applyFont="1" applyFill="1" applyBorder="1" applyAlignment="1" applyProtection="1"/>
    <xf numFmtId="3" fontId="4" fillId="3" borderId="21" xfId="0" applyNumberFormat="1" applyFont="1" applyFill="1" applyBorder="1" applyAlignment="1" applyProtection="1"/>
    <xf numFmtId="1" fontId="5" fillId="3" borderId="9" xfId="0" applyNumberFormat="1" applyFont="1" applyFill="1" applyBorder="1" applyAlignment="1" applyProtection="1"/>
    <xf numFmtId="3" fontId="4" fillId="3" borderId="12" xfId="0" applyNumberFormat="1" applyFont="1" applyFill="1" applyBorder="1" applyAlignment="1" applyProtection="1"/>
    <xf numFmtId="0" fontId="5" fillId="3" borderId="23" xfId="0" applyNumberFormat="1" applyFont="1" applyFill="1" applyBorder="1" applyAlignment="1" applyProtection="1"/>
    <xf numFmtId="3" fontId="4" fillId="3" borderId="9" xfId="0" applyNumberFormat="1" applyFont="1" applyFill="1" applyBorder="1" applyAlignment="1" applyProtection="1"/>
    <xf numFmtId="3" fontId="4" fillId="3" borderId="8" xfId="0" applyNumberFormat="1" applyFont="1" applyFill="1" applyBorder="1" applyAlignment="1" applyProtection="1"/>
    <xf numFmtId="0" fontId="5" fillId="3" borderId="22" xfId="0" applyNumberFormat="1" applyFont="1" applyFill="1" applyBorder="1" applyAlignment="1" applyProtection="1"/>
    <xf numFmtId="3" fontId="4" fillId="3" borderId="33" xfId="0" applyNumberFormat="1" applyFont="1" applyFill="1" applyBorder="1" applyAlignment="1" applyProtection="1"/>
    <xf numFmtId="0" fontId="5" fillId="3" borderId="0" xfId="0" applyNumberFormat="1" applyFont="1" applyFill="1" applyBorder="1" applyAlignment="1" applyProtection="1"/>
    <xf numFmtId="0" fontId="16" fillId="3" borderId="0" xfId="0" applyFont="1" applyFill="1"/>
    <xf numFmtId="3" fontId="6" fillId="0" borderId="9" xfId="0" applyNumberFormat="1" applyFont="1" applyFill="1" applyBorder="1" applyAlignment="1" applyProtection="1"/>
    <xf numFmtId="3" fontId="2" fillId="0" borderId="0" xfId="0" applyNumberFormat="1" applyFont="1"/>
    <xf numFmtId="3" fontId="2" fillId="0" borderId="0" xfId="0" applyNumberFormat="1" applyFont="1" applyFill="1"/>
    <xf numFmtId="3" fontId="3" fillId="0" borderId="2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164" fontId="19" fillId="0" borderId="10" xfId="0" applyNumberFormat="1" applyFont="1" applyFill="1" applyBorder="1" applyAlignment="1" applyProtection="1">
      <alignment horizontal="right"/>
    </xf>
    <xf numFmtId="0" fontId="5" fillId="0" borderId="39" xfId="0" applyNumberFormat="1" applyFont="1" applyFill="1" applyBorder="1" applyAlignment="1" applyProtection="1"/>
    <xf numFmtId="3" fontId="7" fillId="0" borderId="0" xfId="0" applyNumberFormat="1" applyFont="1"/>
    <xf numFmtId="9" fontId="9" fillId="3" borderId="13" xfId="2" applyFont="1" applyFill="1" applyBorder="1" applyAlignment="1" applyProtection="1">
      <alignment horizontal="right"/>
    </xf>
    <xf numFmtId="9" fontId="21" fillId="0" borderId="10" xfId="2" applyFont="1" applyFill="1" applyBorder="1" applyAlignment="1" applyProtection="1">
      <alignment horizontal="right"/>
    </xf>
    <xf numFmtId="164" fontId="9" fillId="0" borderId="15" xfId="0" applyNumberFormat="1" applyFont="1" applyFill="1" applyBorder="1" applyAlignment="1" applyProtection="1">
      <alignment horizontal="right"/>
    </xf>
    <xf numFmtId="164" fontId="16" fillId="4" borderId="0" xfId="0" applyNumberFormat="1" applyFont="1" applyFill="1" applyBorder="1"/>
    <xf numFmtId="0" fontId="3" fillId="0" borderId="2" xfId="0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3" fillId="0" borderId="38" xfId="0" applyFont="1" applyBorder="1"/>
    <xf numFmtId="0" fontId="3" fillId="0" borderId="40" xfId="0" applyFont="1" applyBorder="1"/>
    <xf numFmtId="0" fontId="16" fillId="0" borderId="41" xfId="0" applyFont="1" applyBorder="1"/>
    <xf numFmtId="0" fontId="3" fillId="0" borderId="41" xfId="0" applyFont="1" applyBorder="1"/>
    <xf numFmtId="0" fontId="3" fillId="0" borderId="41" xfId="0" applyFont="1" applyBorder="1" applyAlignment="1">
      <alignment horizontal="right"/>
    </xf>
    <xf numFmtId="49" fontId="16" fillId="0" borderId="41" xfId="0" applyNumberFormat="1" applyFont="1" applyBorder="1" applyAlignment="1">
      <alignment horizontal="right"/>
    </xf>
    <xf numFmtId="0" fontId="16" fillId="0" borderId="40" xfId="0" applyFont="1" applyBorder="1"/>
    <xf numFmtId="0" fontId="4" fillId="0" borderId="2" xfId="0" applyFont="1" applyBorder="1" applyAlignment="1">
      <alignment horizontal="left"/>
    </xf>
    <xf numFmtId="0" fontId="5" fillId="0" borderId="0" xfId="0" applyFont="1" applyFill="1" applyAlignment="1"/>
    <xf numFmtId="3" fontId="5" fillId="0" borderId="0" xfId="0" applyNumberFormat="1" applyFont="1" applyFill="1" applyAlignment="1"/>
    <xf numFmtId="4" fontId="5" fillId="0" borderId="0" xfId="0" applyNumberFormat="1" applyFont="1" applyFill="1" applyAlignment="1"/>
    <xf numFmtId="9" fontId="5" fillId="0" borderId="0" xfId="2" applyFont="1" applyBorder="1"/>
    <xf numFmtId="169" fontId="5" fillId="0" borderId="7" xfId="0" applyNumberFormat="1" applyFont="1" applyBorder="1"/>
    <xf numFmtId="169" fontId="4" fillId="0" borderId="7" xfId="0" applyNumberFormat="1" applyFont="1" applyBorder="1"/>
    <xf numFmtId="169" fontId="4" fillId="0" borderId="7" xfId="0" applyNumberFormat="1" applyFont="1" applyFill="1" applyBorder="1" applyAlignment="1" applyProtection="1"/>
    <xf numFmtId="169" fontId="5" fillId="0" borderId="5" xfId="0" applyNumberFormat="1" applyFont="1" applyBorder="1"/>
    <xf numFmtId="49" fontId="16" fillId="0" borderId="10" xfId="0" applyNumberFormat="1" applyFont="1" applyFill="1" applyBorder="1" applyAlignment="1" applyProtection="1">
      <alignment horizontal="left"/>
    </xf>
    <xf numFmtId="3" fontId="5" fillId="2" borderId="10" xfId="0" applyNumberFormat="1" applyFont="1" applyFill="1" applyBorder="1"/>
    <xf numFmtId="3" fontId="8" fillId="2" borderId="10" xfId="0" applyNumberFormat="1" applyFont="1" applyFill="1" applyBorder="1"/>
    <xf numFmtId="0" fontId="3" fillId="0" borderId="0" xfId="0" applyFont="1" applyAlignment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12" xfId="0" applyNumberFormat="1" applyFont="1" applyFill="1" applyBorder="1" applyAlignment="1" applyProtection="1">
      <alignment horizontal="right"/>
    </xf>
    <xf numFmtId="164" fontId="16" fillId="0" borderId="10" xfId="0" applyNumberFormat="1" applyFont="1" applyBorder="1" applyAlignment="1">
      <alignment horizontal="right"/>
    </xf>
    <xf numFmtId="164" fontId="5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horizontal="right"/>
    </xf>
    <xf numFmtId="0" fontId="4" fillId="2" borderId="10" xfId="0" applyNumberFormat="1" applyFont="1" applyFill="1" applyBorder="1" applyAlignment="1" applyProtection="1">
      <alignment horizontal="right"/>
    </xf>
    <xf numFmtId="166" fontId="10" fillId="0" borderId="10" xfId="0" applyNumberFormat="1" applyFont="1" applyFill="1" applyBorder="1" applyAlignment="1" applyProtection="1">
      <alignment horizontal="right"/>
    </xf>
    <xf numFmtId="9" fontId="5" fillId="0" borderId="10" xfId="0" applyNumberFormat="1" applyFont="1" applyFill="1" applyBorder="1" applyAlignment="1" applyProtection="1">
      <alignment horizontal="right"/>
    </xf>
    <xf numFmtId="167" fontId="5" fillId="0" borderId="10" xfId="0" applyNumberFormat="1" applyFont="1" applyFill="1" applyBorder="1" applyAlignment="1" applyProtection="1">
      <alignment horizontal="right"/>
    </xf>
    <xf numFmtId="168" fontId="5" fillId="0" borderId="14" xfId="0" applyNumberFormat="1" applyFont="1" applyFill="1" applyBorder="1" applyAlignment="1" applyProtection="1">
      <alignment horizontal="right"/>
    </xf>
    <xf numFmtId="0" fontId="5" fillId="2" borderId="10" xfId="0" applyNumberFormat="1" applyFont="1" applyFill="1" applyBorder="1" applyAlignment="1" applyProtection="1">
      <alignment horizontal="right"/>
    </xf>
    <xf numFmtId="3" fontId="4" fillId="0" borderId="10" xfId="0" applyNumberFormat="1" applyFont="1" applyFill="1" applyBorder="1" applyAlignment="1" applyProtection="1">
      <alignment horizontal="right"/>
    </xf>
    <xf numFmtId="4" fontId="10" fillId="3" borderId="24" xfId="0" applyNumberFormat="1" applyFont="1" applyFill="1" applyBorder="1" applyAlignment="1" applyProtection="1">
      <alignment horizontal="right"/>
    </xf>
    <xf numFmtId="0" fontId="16" fillId="0" borderId="35" xfId="0" applyFont="1" applyBorder="1" applyAlignment="1">
      <alignment horizontal="right"/>
    </xf>
    <xf numFmtId="0" fontId="16" fillId="0" borderId="15" xfId="0" applyFont="1" applyBorder="1" applyAlignment="1">
      <alignment horizontal="right"/>
    </xf>
    <xf numFmtId="168" fontId="16" fillId="0" borderId="15" xfId="0" applyNumberFormat="1" applyFont="1" applyBorder="1" applyAlignment="1">
      <alignment horizontal="right"/>
    </xf>
    <xf numFmtId="4" fontId="16" fillId="0" borderId="15" xfId="0" applyNumberFormat="1" applyFont="1" applyBorder="1" applyAlignment="1">
      <alignment horizontal="right"/>
    </xf>
    <xf numFmtId="0" fontId="16" fillId="0" borderId="18" xfId="0" applyFont="1" applyBorder="1" applyAlignment="1">
      <alignment horizontal="right"/>
    </xf>
    <xf numFmtId="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3" fontId="5" fillId="0" borderId="9" xfId="0" applyNumberFormat="1" applyFont="1" applyFill="1" applyBorder="1"/>
    <xf numFmtId="3" fontId="5" fillId="0" borderId="10" xfId="0" applyNumberFormat="1" applyFont="1" applyFill="1" applyBorder="1" applyAlignment="1">
      <alignment horizontal="right"/>
    </xf>
    <xf numFmtId="49" fontId="5" fillId="0" borderId="10" xfId="0" applyNumberFormat="1" applyFont="1" applyFill="1" applyBorder="1" applyAlignment="1" applyProtection="1"/>
    <xf numFmtId="1" fontId="4" fillId="4" borderId="12" xfId="0" applyNumberFormat="1" applyFont="1" applyFill="1" applyBorder="1" applyAlignment="1" applyProtection="1">
      <alignment horizontal="center"/>
    </xf>
    <xf numFmtId="170" fontId="10" fillId="4" borderId="10" xfId="0" applyNumberFormat="1" applyFont="1" applyFill="1" applyBorder="1" applyAlignment="1" applyProtection="1">
      <alignment horizontal="right"/>
    </xf>
    <xf numFmtId="170" fontId="4" fillId="4" borderId="10" xfId="0" applyNumberFormat="1" applyFont="1" applyFill="1" applyBorder="1" applyAlignment="1" applyProtection="1"/>
    <xf numFmtId="170" fontId="4" fillId="4" borderId="35" xfId="0" applyNumberFormat="1" applyFont="1" applyFill="1" applyBorder="1" applyAlignment="1" applyProtection="1">
      <alignment horizontal="right"/>
    </xf>
    <xf numFmtId="3" fontId="8" fillId="0" borderId="10" xfId="0" applyNumberFormat="1" applyFont="1" applyFill="1" applyBorder="1"/>
    <xf numFmtId="0" fontId="23" fillId="0" borderId="0" xfId="0" applyFont="1"/>
    <xf numFmtId="0" fontId="16" fillId="0" borderId="42" xfId="0" applyFont="1" applyBorder="1"/>
    <xf numFmtId="0" fontId="5" fillId="0" borderId="42" xfId="0" applyFont="1" applyBorder="1"/>
    <xf numFmtId="0" fontId="23" fillId="0" borderId="36" xfId="0" applyFont="1" applyBorder="1"/>
    <xf numFmtId="0" fontId="3" fillId="0" borderId="43" xfId="0" applyFont="1" applyBorder="1"/>
    <xf numFmtId="0" fontId="24" fillId="0" borderId="36" xfId="0" applyFont="1" applyBorder="1"/>
    <xf numFmtId="0" fontId="4" fillId="0" borderId="36" xfId="0" applyFont="1" applyBorder="1"/>
    <xf numFmtId="0" fontId="5" fillId="0" borderId="0" xfId="0" applyFont="1" applyBorder="1"/>
    <xf numFmtId="0" fontId="23" fillId="2" borderId="41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5" fillId="0" borderId="30" xfId="0" applyFont="1" applyBorder="1"/>
    <xf numFmtId="0" fontId="23" fillId="2" borderId="4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23" fillId="2" borderId="41" xfId="0" applyFont="1" applyFill="1" applyBorder="1"/>
    <xf numFmtId="3" fontId="16" fillId="0" borderId="8" xfId="0" applyNumberFormat="1" applyFont="1" applyFill="1" applyBorder="1"/>
    <xf numFmtId="3" fontId="23" fillId="2" borderId="41" xfId="0" applyNumberFormat="1" applyFont="1" applyFill="1" applyBorder="1"/>
    <xf numFmtId="0" fontId="16" fillId="0" borderId="15" xfId="0" applyFont="1" applyFill="1" applyBorder="1"/>
    <xf numFmtId="0" fontId="4" fillId="0" borderId="11" xfId="0" applyFont="1" applyBorder="1"/>
    <xf numFmtId="3" fontId="24" fillId="2" borderId="44" xfId="0" applyNumberFormat="1" applyFont="1" applyFill="1" applyBorder="1"/>
    <xf numFmtId="3" fontId="3" fillId="0" borderId="23" xfId="0" applyNumberFormat="1" applyFont="1" applyFill="1" applyBorder="1"/>
    <xf numFmtId="3" fontId="3" fillId="0" borderId="23" xfId="0" applyNumberFormat="1" applyFont="1" applyBorder="1"/>
    <xf numFmtId="3" fontId="16" fillId="0" borderId="45" xfId="0" applyNumberFormat="1" applyFont="1" applyFill="1" applyBorder="1"/>
    <xf numFmtId="0" fontId="16" fillId="0" borderId="8" xfId="0" applyFont="1" applyFill="1" applyBorder="1" applyAlignment="1">
      <alignment horizontal="center"/>
    </xf>
    <xf numFmtId="49" fontId="16" fillId="0" borderId="15" xfId="0" applyNumberFormat="1" applyFont="1" applyFill="1" applyBorder="1" applyAlignment="1">
      <alignment horizontal="center"/>
    </xf>
    <xf numFmtId="0" fontId="24" fillId="2" borderId="44" xfId="0" applyFont="1" applyFill="1" applyBorder="1"/>
    <xf numFmtId="1" fontId="3" fillId="0" borderId="23" xfId="0" applyNumberFormat="1" applyFont="1" applyBorder="1"/>
    <xf numFmtId="1" fontId="16" fillId="0" borderId="45" xfId="0" applyNumberFormat="1" applyFont="1" applyFill="1" applyBorder="1"/>
    <xf numFmtId="0" fontId="24" fillId="2" borderId="41" xfId="0" applyFont="1" applyFill="1" applyBorder="1"/>
    <xf numFmtId="1" fontId="16" fillId="0" borderId="8" xfId="0" applyNumberFormat="1" applyFont="1" applyBorder="1"/>
    <xf numFmtId="3" fontId="24" fillId="2" borderId="41" xfId="0" applyNumberFormat="1" applyFont="1" applyFill="1" applyBorder="1"/>
    <xf numFmtId="3" fontId="3" fillId="0" borderId="8" xfId="0" applyNumberFormat="1" applyFont="1" applyFill="1" applyBorder="1"/>
    <xf numFmtId="1" fontId="3" fillId="0" borderId="8" xfId="0" applyNumberFormat="1" applyFont="1" applyBorder="1"/>
    <xf numFmtId="1" fontId="16" fillId="0" borderId="15" xfId="0" applyNumberFormat="1" applyFont="1" applyFill="1" applyBorder="1"/>
    <xf numFmtId="0" fontId="5" fillId="0" borderId="46" xfId="0" applyFont="1" applyBorder="1"/>
    <xf numFmtId="0" fontId="24" fillId="2" borderId="9" xfId="0" applyFont="1" applyFill="1" applyBorder="1"/>
    <xf numFmtId="0" fontId="24" fillId="2" borderId="22" xfId="0" applyFont="1" applyFill="1" applyBorder="1"/>
    <xf numFmtId="0" fontId="5" fillId="0" borderId="31" xfId="0" applyFont="1" applyBorder="1"/>
    <xf numFmtId="0" fontId="24" fillId="2" borderId="20" xfId="0" applyFont="1" applyFill="1" applyBorder="1"/>
    <xf numFmtId="1" fontId="3" fillId="0" borderId="21" xfId="0" applyNumberFormat="1" applyFont="1" applyBorder="1"/>
    <xf numFmtId="3" fontId="24" fillId="2" borderId="47" xfId="0" applyNumberFormat="1" applyFont="1" applyFill="1" applyBorder="1"/>
    <xf numFmtId="3" fontId="3" fillId="0" borderId="21" xfId="0" applyNumberFormat="1" applyFont="1" applyFill="1" applyBorder="1"/>
    <xf numFmtId="0" fontId="24" fillId="2" borderId="47" xfId="0" applyFont="1" applyFill="1" applyBorder="1"/>
    <xf numFmtId="1" fontId="16" fillId="0" borderId="48" xfId="0" applyNumberFormat="1" applyFont="1" applyFill="1" applyBorder="1"/>
    <xf numFmtId="3" fontId="24" fillId="2" borderId="22" xfId="0" applyNumberFormat="1" applyFont="1" applyFill="1" applyBorder="1"/>
    <xf numFmtId="170" fontId="8" fillId="0" borderId="10" xfId="0" applyNumberFormat="1" applyFont="1" applyFill="1" applyBorder="1" applyAlignment="1" applyProtection="1"/>
    <xf numFmtId="0" fontId="0" fillId="0" borderId="0" xfId="0" applyBorder="1" applyAlignment="1"/>
    <xf numFmtId="0" fontId="0" fillId="0" borderId="0" xfId="0" applyFill="1" applyBorder="1" applyAlignment="1"/>
    <xf numFmtId="0" fontId="16" fillId="0" borderId="37" xfId="0" applyFont="1" applyBorder="1"/>
    <xf numFmtId="3" fontId="5" fillId="5" borderId="8" xfId="0" applyNumberFormat="1" applyFont="1" applyFill="1" applyBorder="1" applyAlignment="1" applyProtection="1"/>
    <xf numFmtId="3" fontId="5" fillId="6" borderId="23" xfId="0" applyNumberFormat="1" applyFont="1" applyFill="1" applyBorder="1" applyAlignment="1" applyProtection="1"/>
    <xf numFmtId="3" fontId="5" fillId="4" borderId="8" xfId="0" applyNumberFormat="1" applyFont="1" applyFill="1" applyBorder="1" applyAlignment="1" applyProtection="1"/>
    <xf numFmtId="3" fontId="5" fillId="2" borderId="8" xfId="0" applyNumberFormat="1" applyFont="1" applyFill="1" applyBorder="1" applyAlignment="1" applyProtection="1"/>
    <xf numFmtId="3" fontId="5" fillId="4" borderId="23" xfId="0" applyNumberFormat="1" applyFont="1" applyFill="1" applyBorder="1" applyAlignment="1" applyProtection="1"/>
    <xf numFmtId="3" fontId="5" fillId="5" borderId="23" xfId="0" applyNumberFormat="1" applyFont="1" applyFill="1" applyBorder="1" applyAlignment="1" applyProtection="1"/>
    <xf numFmtId="0" fontId="5" fillId="7" borderId="8" xfId="0" applyNumberFormat="1" applyFont="1" applyFill="1" applyBorder="1" applyAlignment="1" applyProtection="1"/>
    <xf numFmtId="0" fontId="16" fillId="0" borderId="21" xfId="0" applyFont="1" applyBorder="1"/>
    <xf numFmtId="0" fontId="5" fillId="6" borderId="8" xfId="0" applyFont="1" applyFill="1" applyBorder="1"/>
    <xf numFmtId="3" fontId="5" fillId="8" borderId="8" xfId="0" applyNumberFormat="1" applyFont="1" applyFill="1" applyBorder="1" applyAlignment="1" applyProtection="1"/>
    <xf numFmtId="0" fontId="16" fillId="0" borderId="51" xfId="0" applyFont="1" applyBorder="1"/>
    <xf numFmtId="3" fontId="5" fillId="6" borderId="9" xfId="0" applyNumberFormat="1" applyFont="1" applyFill="1" applyBorder="1" applyAlignment="1" applyProtection="1"/>
    <xf numFmtId="3" fontId="5" fillId="2" borderId="9" xfId="0" applyNumberFormat="1" applyFont="1" applyFill="1" applyBorder="1" applyAlignment="1" applyProtection="1"/>
    <xf numFmtId="3" fontId="5" fillId="4" borderId="22" xfId="0" applyNumberFormat="1" applyFont="1" applyFill="1" applyBorder="1" applyAlignment="1" applyProtection="1"/>
    <xf numFmtId="0" fontId="5" fillId="5" borderId="9" xfId="0" applyNumberFormat="1" applyFont="1" applyFill="1" applyBorder="1" applyAlignment="1" applyProtection="1"/>
    <xf numFmtId="3" fontId="5" fillId="4" borderId="9" xfId="0" applyNumberFormat="1" applyFont="1" applyFill="1" applyBorder="1" applyAlignment="1" applyProtection="1"/>
    <xf numFmtId="3" fontId="5" fillId="0" borderId="20" xfId="0" applyNumberFormat="1" applyFont="1" applyFill="1" applyBorder="1" applyAlignment="1" applyProtection="1"/>
    <xf numFmtId="0" fontId="5" fillId="4" borderId="9" xfId="0" applyNumberFormat="1" applyFont="1" applyFill="1" applyBorder="1" applyAlignment="1" applyProtection="1"/>
    <xf numFmtId="3" fontId="5" fillId="8" borderId="9" xfId="0" applyNumberFormat="1" applyFont="1" applyFill="1" applyBorder="1" applyAlignment="1" applyProtection="1"/>
    <xf numFmtId="0" fontId="5" fillId="3" borderId="9" xfId="0" applyFont="1" applyFill="1" applyBorder="1"/>
    <xf numFmtId="3" fontId="5" fillId="7" borderId="9" xfId="0" applyNumberFormat="1" applyFont="1" applyFill="1" applyBorder="1" applyAlignment="1" applyProtection="1"/>
    <xf numFmtId="3" fontId="5" fillId="9" borderId="9" xfId="0" applyNumberFormat="1" applyFont="1" applyFill="1" applyBorder="1" applyAlignment="1" applyProtection="1"/>
    <xf numFmtId="3" fontId="5" fillId="5" borderId="9" xfId="0" applyNumberFormat="1" applyFont="1" applyFill="1" applyBorder="1" applyAlignment="1" applyProtection="1"/>
    <xf numFmtId="0" fontId="5" fillId="5" borderId="22" xfId="0" applyNumberFormat="1" applyFont="1" applyFill="1" applyBorder="1" applyAlignment="1" applyProtection="1"/>
    <xf numFmtId="3" fontId="1" fillId="0" borderId="0" xfId="0" applyNumberFormat="1" applyFont="1" applyFill="1" applyAlignment="1">
      <alignment horizontal="left"/>
    </xf>
    <xf numFmtId="3" fontId="3" fillId="0" borderId="0" xfId="0" applyNumberFormat="1" applyFont="1" applyFill="1"/>
    <xf numFmtId="164" fontId="16" fillId="0" borderId="0" xfId="0" applyNumberFormat="1" applyFont="1" applyFill="1"/>
    <xf numFmtId="169" fontId="5" fillId="0" borderId="0" xfId="0" applyNumberFormat="1" applyFont="1" applyFill="1" applyBorder="1"/>
    <xf numFmtId="0" fontId="16" fillId="0" borderId="0" xfId="0" applyFont="1" applyFill="1" applyBorder="1"/>
    <xf numFmtId="3" fontId="1" fillId="0" borderId="0" xfId="0" applyNumberFormat="1" applyFont="1" applyFill="1"/>
    <xf numFmtId="170" fontId="19" fillId="4" borderId="10" xfId="0" applyNumberFormat="1" applyFont="1" applyFill="1" applyBorder="1" applyAlignment="1" applyProtection="1">
      <alignment horizontal="right"/>
    </xf>
    <xf numFmtId="170" fontId="19" fillId="4" borderId="14" xfId="0" applyNumberFormat="1" applyFont="1" applyFill="1" applyBorder="1" applyAlignment="1" applyProtection="1">
      <alignment horizontal="right"/>
    </xf>
    <xf numFmtId="170" fontId="5" fillId="0" borderId="0" xfId="0" applyNumberFormat="1" applyFont="1" applyFill="1" applyBorder="1" applyAlignment="1" applyProtection="1"/>
    <xf numFmtId="3" fontId="21" fillId="0" borderId="0" xfId="0" applyNumberFormat="1" applyFont="1" applyFill="1" applyBorder="1" applyAlignment="1" applyProtection="1">
      <alignment horizontal="right"/>
    </xf>
    <xf numFmtId="170" fontId="9" fillId="4" borderId="14" xfId="0" applyNumberFormat="1" applyFont="1" applyFill="1" applyBorder="1" applyAlignment="1" applyProtection="1">
      <alignment horizontal="right"/>
    </xf>
    <xf numFmtId="170" fontId="3" fillId="2" borderId="10" xfId="0" applyNumberFormat="1" applyFont="1" applyFill="1" applyBorder="1" applyAlignment="1" applyProtection="1"/>
    <xf numFmtId="170" fontId="4" fillId="0" borderId="10" xfId="0" applyNumberFormat="1" applyFont="1" applyFill="1" applyBorder="1" applyAlignment="1" applyProtection="1"/>
    <xf numFmtId="168" fontId="16" fillId="0" borderId="0" xfId="0" applyNumberFormat="1" applyFont="1" applyAlignment="1">
      <alignment horizontal="right"/>
    </xf>
    <xf numFmtId="14" fontId="16" fillId="0" borderId="0" xfId="0" applyNumberFormat="1" applyFont="1"/>
    <xf numFmtId="3" fontId="1" fillId="0" borderId="0" xfId="0" applyNumberFormat="1" applyFont="1"/>
    <xf numFmtId="0" fontId="20" fillId="9" borderId="9" xfId="0" applyFont="1" applyFill="1" applyBorder="1"/>
    <xf numFmtId="0" fontId="5" fillId="0" borderId="15" xfId="0" applyFont="1" applyFill="1" applyBorder="1" applyAlignment="1">
      <alignment horizontal="right"/>
    </xf>
    <xf numFmtId="1" fontId="5" fillId="3" borderId="22" xfId="0" applyNumberFormat="1" applyFont="1" applyFill="1" applyBorder="1" applyAlignment="1" applyProtection="1"/>
    <xf numFmtId="3" fontId="5" fillId="0" borderId="10" xfId="0" applyNumberFormat="1" applyFont="1" applyFill="1" applyBorder="1" applyAlignment="1" applyProtection="1">
      <alignment horizontal="right"/>
    </xf>
    <xf numFmtId="0" fontId="7" fillId="0" borderId="0" xfId="0" applyFont="1" applyFill="1"/>
    <xf numFmtId="169" fontId="7" fillId="0" borderId="0" xfId="0" applyNumberFormat="1" applyFont="1" applyFill="1"/>
    <xf numFmtId="164" fontId="7" fillId="0" borderId="0" xfId="0" applyNumberFormat="1" applyFont="1" applyFill="1"/>
    <xf numFmtId="169" fontId="8" fillId="0" borderId="0" xfId="0" applyNumberFormat="1" applyFont="1" applyFill="1" applyBorder="1"/>
    <xf numFmtId="0" fontId="7" fillId="0" borderId="0" xfId="0" applyFont="1" applyFill="1" applyBorder="1"/>
    <xf numFmtId="164" fontId="8" fillId="0" borderId="0" xfId="0" applyNumberFormat="1" applyFont="1" applyFill="1" applyAlignment="1">
      <alignment horizontal="right"/>
    </xf>
    <xf numFmtId="169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/>
    <xf numFmtId="169" fontId="1" fillId="0" borderId="0" xfId="0" applyNumberFormat="1" applyFont="1" applyFill="1"/>
    <xf numFmtId="169" fontId="6" fillId="0" borderId="0" xfId="0" applyNumberFormat="1" applyFont="1" applyFill="1"/>
    <xf numFmtId="3" fontId="4" fillId="0" borderId="51" xfId="0" applyNumberFormat="1" applyFont="1" applyFill="1" applyBorder="1" applyAlignment="1" applyProtection="1"/>
    <xf numFmtId="170" fontId="27" fillId="4" borderId="18" xfId="0" applyNumberFormat="1" applyFont="1" applyFill="1" applyBorder="1" applyAlignment="1" applyProtection="1">
      <alignment horizontal="right"/>
    </xf>
    <xf numFmtId="16" fontId="16" fillId="0" borderId="0" xfId="0" applyNumberFormat="1" applyFont="1"/>
    <xf numFmtId="171" fontId="0" fillId="0" borderId="0" xfId="0" applyNumberFormat="1" applyFill="1" applyBorder="1" applyAlignment="1"/>
    <xf numFmtId="171" fontId="5" fillId="0" borderId="0" xfId="0" applyNumberFormat="1" applyFont="1" applyFill="1" applyBorder="1" applyAlignment="1" applyProtection="1"/>
    <xf numFmtId="171" fontId="16" fillId="0" borderId="0" xfId="0" applyNumberFormat="1" applyFont="1" applyFill="1"/>
    <xf numFmtId="9" fontId="0" fillId="0" borderId="0" xfId="0" applyNumberFormat="1" applyFill="1" applyBorder="1" applyAlignment="1"/>
    <xf numFmtId="9" fontId="4" fillId="0" borderId="37" xfId="0" applyNumberFormat="1" applyFont="1" applyFill="1" applyBorder="1" applyAlignment="1" applyProtection="1">
      <alignment horizontal="center"/>
    </xf>
    <xf numFmtId="9" fontId="4" fillId="0" borderId="8" xfId="0" applyNumberFormat="1" applyFont="1" applyFill="1" applyBorder="1" applyAlignment="1" applyProtection="1">
      <alignment horizontal="center"/>
    </xf>
    <xf numFmtId="9" fontId="4" fillId="0" borderId="6" xfId="0" applyNumberFormat="1" applyFont="1" applyFill="1" applyBorder="1" applyAlignment="1" applyProtection="1">
      <alignment horizontal="center"/>
    </xf>
    <xf numFmtId="9" fontId="4" fillId="0" borderId="3" xfId="0" applyNumberFormat="1" applyFont="1" applyFill="1" applyBorder="1" applyAlignment="1" applyProtection="1"/>
    <xf numFmtId="9" fontId="5" fillId="0" borderId="8" xfId="0" applyNumberFormat="1" applyFont="1" applyFill="1" applyBorder="1" applyAlignment="1" applyProtection="1"/>
    <xf numFmtId="9" fontId="4" fillId="0" borderId="21" xfId="0" applyNumberFormat="1" applyFont="1" applyFill="1" applyBorder="1" applyAlignment="1" applyProtection="1"/>
    <xf numFmtId="9" fontId="5" fillId="0" borderId="23" xfId="0" applyNumberFormat="1" applyFont="1" applyFill="1" applyBorder="1" applyAlignment="1" applyProtection="1"/>
    <xf numFmtId="9" fontId="4" fillId="0" borderId="8" xfId="0" applyNumberFormat="1" applyFont="1" applyFill="1" applyBorder="1" applyAlignment="1" applyProtection="1"/>
    <xf numFmtId="9" fontId="4" fillId="0" borderId="51" xfId="0" applyNumberFormat="1" applyFont="1" applyFill="1" applyBorder="1" applyAlignment="1" applyProtection="1"/>
    <xf numFmtId="9" fontId="5" fillId="0" borderId="0" xfId="0" applyNumberFormat="1" applyFont="1" applyFill="1" applyBorder="1" applyAlignment="1" applyProtection="1"/>
    <xf numFmtId="9" fontId="16" fillId="0" borderId="0" xfId="0" applyNumberFormat="1" applyFont="1" applyFill="1"/>
    <xf numFmtId="3" fontId="5" fillId="0" borderId="15" xfId="0" applyNumberFormat="1" applyFont="1" applyFill="1" applyBorder="1" applyAlignment="1" applyProtection="1"/>
    <xf numFmtId="3" fontId="3" fillId="0" borderId="18" xfId="0" applyNumberFormat="1" applyFont="1" applyFill="1" applyBorder="1" applyAlignment="1" applyProtection="1">
      <alignment horizontal="right"/>
    </xf>
    <xf numFmtId="0" fontId="4" fillId="0" borderId="52" xfId="0" applyNumberFormat="1" applyFont="1" applyFill="1" applyBorder="1" applyAlignment="1" applyProtection="1">
      <alignment horizontal="center"/>
    </xf>
    <xf numFmtId="0" fontId="16" fillId="0" borderId="38" xfId="0" applyFont="1" applyBorder="1"/>
    <xf numFmtId="0" fontId="16" fillId="0" borderId="44" xfId="0" applyFont="1" applyBorder="1"/>
    <xf numFmtId="0" fontId="7" fillId="0" borderId="41" xfId="0" applyFont="1" applyBorder="1"/>
    <xf numFmtId="0" fontId="3" fillId="0" borderId="44" xfId="0" applyFont="1" applyBorder="1"/>
    <xf numFmtId="0" fontId="3" fillId="0" borderId="47" xfId="0" applyFont="1" applyBorder="1"/>
    <xf numFmtId="0" fontId="5" fillId="0" borderId="44" xfId="0" applyFont="1" applyBorder="1"/>
    <xf numFmtId="0" fontId="7" fillId="0" borderId="44" xfId="0" applyFont="1" applyBorder="1"/>
    <xf numFmtId="3" fontId="6" fillId="3" borderId="9" xfId="0" applyNumberFormat="1" applyFont="1" applyFill="1" applyBorder="1" applyAlignment="1" applyProtection="1"/>
    <xf numFmtId="4" fontId="16" fillId="0" borderId="0" xfId="0" applyNumberFormat="1" applyFont="1" applyBorder="1"/>
    <xf numFmtId="169" fontId="3" fillId="0" borderId="0" xfId="0" applyNumberFormat="1" applyFont="1" applyFill="1" applyBorder="1" applyAlignment="1">
      <alignment horizontal="center"/>
    </xf>
    <xf numFmtId="169" fontId="6" fillId="0" borderId="0" xfId="0" applyNumberFormat="1" applyFont="1" applyFill="1" applyBorder="1"/>
    <xf numFmtId="169" fontId="4" fillId="0" borderId="0" xfId="0" applyNumberFormat="1" applyFont="1" applyFill="1" applyBorder="1"/>
    <xf numFmtId="3" fontId="4" fillId="3" borderId="39" xfId="0" applyNumberFormat="1" applyFont="1" applyFill="1" applyBorder="1" applyAlignment="1" applyProtection="1"/>
    <xf numFmtId="0" fontId="6" fillId="0" borderId="39" xfId="0" applyNumberFormat="1" applyFont="1" applyFill="1" applyBorder="1" applyAlignment="1" applyProtection="1"/>
    <xf numFmtId="169" fontId="16" fillId="0" borderId="0" xfId="0" applyNumberFormat="1" applyFont="1"/>
    <xf numFmtId="0" fontId="4" fillId="0" borderId="9" xfId="0" applyNumberFormat="1" applyFont="1" applyFill="1" applyBorder="1" applyAlignment="1" applyProtection="1">
      <alignment horizontal="left"/>
    </xf>
    <xf numFmtId="9" fontId="4" fillId="0" borderId="4" xfId="2" applyFont="1" applyFill="1" applyBorder="1" applyAlignment="1" applyProtection="1">
      <alignment horizontal="left"/>
    </xf>
    <xf numFmtId="164" fontId="10" fillId="0" borderId="50" xfId="0" applyNumberFormat="1" applyFont="1" applyFill="1" applyBorder="1" applyAlignment="1" applyProtection="1">
      <alignment horizontal="right"/>
    </xf>
    <xf numFmtId="164" fontId="9" fillId="0" borderId="50" xfId="0" applyNumberFormat="1" applyFont="1" applyFill="1" applyBorder="1" applyAlignment="1" applyProtection="1">
      <alignment horizontal="right"/>
    </xf>
    <xf numFmtId="164" fontId="13" fillId="0" borderId="49" xfId="0" applyNumberFormat="1" applyFont="1" applyFill="1" applyBorder="1" applyAlignment="1" applyProtection="1">
      <alignment horizontal="right"/>
    </xf>
    <xf numFmtId="4" fontId="5" fillId="0" borderId="0" xfId="0" applyNumberFormat="1" applyFont="1" applyBorder="1"/>
    <xf numFmtId="169" fontId="5" fillId="0" borderId="0" xfId="0" applyNumberFormat="1" applyFont="1" applyBorder="1"/>
    <xf numFmtId="164" fontId="16" fillId="0" borderId="0" xfId="0" applyNumberFormat="1" applyFont="1" applyBorder="1"/>
    <xf numFmtId="4" fontId="16" fillId="0" borderId="0" xfId="0" applyNumberFormat="1" applyFont="1" applyFill="1" applyBorder="1" applyAlignment="1" applyProtection="1"/>
    <xf numFmtId="0" fontId="4" fillId="0" borderId="26" xfId="0" applyNumberFormat="1" applyFont="1" applyFill="1" applyBorder="1" applyAlignment="1" applyProtection="1">
      <alignment horizontal="center"/>
    </xf>
    <xf numFmtId="0" fontId="4" fillId="10" borderId="52" xfId="0" applyNumberFormat="1" applyFont="1" applyFill="1" applyBorder="1" applyAlignment="1" applyProtection="1">
      <alignment horizontal="center"/>
    </xf>
    <xf numFmtId="0" fontId="4" fillId="10" borderId="48" xfId="0" applyNumberFormat="1" applyFont="1" applyFill="1" applyBorder="1" applyAlignment="1" applyProtection="1">
      <alignment horizontal="center"/>
    </xf>
    <xf numFmtId="0" fontId="4" fillId="10" borderId="18" xfId="0" applyNumberFormat="1" applyFont="1" applyFill="1" applyBorder="1" applyAlignment="1" applyProtection="1">
      <alignment horizontal="center"/>
    </xf>
    <xf numFmtId="170" fontId="4" fillId="10" borderId="34" xfId="0" applyNumberFormat="1" applyFont="1" applyFill="1" applyBorder="1" applyAlignment="1" applyProtection="1"/>
    <xf numFmtId="170" fontId="5" fillId="10" borderId="15" xfId="0" applyNumberFormat="1" applyFont="1" applyFill="1" applyBorder="1" applyAlignment="1" applyProtection="1"/>
    <xf numFmtId="170" fontId="4" fillId="10" borderId="48" xfId="0" applyNumberFormat="1" applyFont="1" applyFill="1" applyBorder="1" applyAlignment="1" applyProtection="1"/>
    <xf numFmtId="170" fontId="4" fillId="10" borderId="53" xfId="0" applyNumberFormat="1" applyFont="1" applyFill="1" applyBorder="1" applyAlignment="1" applyProtection="1"/>
    <xf numFmtId="0" fontId="5" fillId="10" borderId="18" xfId="0" applyNumberFormat="1" applyFont="1" applyFill="1" applyBorder="1" applyAlignment="1" applyProtection="1"/>
    <xf numFmtId="3" fontId="8" fillId="0" borderId="0" xfId="0" applyNumberFormat="1" applyFont="1" applyFill="1"/>
    <xf numFmtId="3" fontId="6" fillId="0" borderId="0" xfId="0" applyNumberFormat="1" applyFont="1" applyFill="1"/>
    <xf numFmtId="1" fontId="16" fillId="0" borderId="10" xfId="0" applyNumberFormat="1" applyFont="1" applyFill="1" applyBorder="1" applyAlignment="1" applyProtection="1">
      <alignment horizontal="right"/>
    </xf>
    <xf numFmtId="172" fontId="4" fillId="0" borderId="5" xfId="0" applyNumberFormat="1" applyFont="1" applyFill="1" applyBorder="1" applyAlignment="1" applyProtection="1">
      <alignment horizontal="center"/>
    </xf>
    <xf numFmtId="3" fontId="24" fillId="2" borderId="20" xfId="0" applyNumberFormat="1" applyFont="1" applyFill="1" applyBorder="1"/>
    <xf numFmtId="3" fontId="24" fillId="2" borderId="9" xfId="0" applyNumberFormat="1" applyFont="1" applyFill="1" applyBorder="1"/>
    <xf numFmtId="1" fontId="0" fillId="0" borderId="21" xfId="0" applyNumberFormat="1" applyFont="1" applyBorder="1"/>
    <xf numFmtId="1" fontId="0" fillId="0" borderId="8" xfId="0" applyNumberFormat="1" applyFont="1" applyBorder="1"/>
    <xf numFmtId="3" fontId="21" fillId="0" borderId="10" xfId="0" applyNumberFormat="1" applyFont="1" applyFill="1" applyBorder="1" applyAlignment="1" applyProtection="1">
      <alignment horizontal="right"/>
    </xf>
    <xf numFmtId="0" fontId="4" fillId="0" borderId="54" xfId="0" applyNumberFormat="1" applyFont="1" applyFill="1" applyBorder="1" applyAlignment="1" applyProtection="1">
      <alignment horizontal="center"/>
    </xf>
    <xf numFmtId="0" fontId="5" fillId="2" borderId="8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4" fontId="5" fillId="0" borderId="10" xfId="0" applyNumberFormat="1" applyFont="1" applyFill="1" applyBorder="1" applyAlignment="1" applyProtection="1">
      <alignment horizontal="right"/>
    </xf>
    <xf numFmtId="169" fontId="5" fillId="0" borderId="0" xfId="0" applyNumberFormat="1" applyFont="1"/>
    <xf numFmtId="0" fontId="16" fillId="11" borderId="0" xfId="0" applyFont="1" applyFill="1"/>
    <xf numFmtId="0" fontId="16" fillId="12" borderId="0" xfId="0" applyFont="1" applyFill="1"/>
    <xf numFmtId="0" fontId="4" fillId="0" borderId="39" xfId="0" applyNumberFormat="1" applyFont="1" applyFill="1" applyBorder="1" applyAlignment="1" applyProtection="1"/>
    <xf numFmtId="0" fontId="4" fillId="0" borderId="60" xfId="0" applyNumberFormat="1" applyFont="1" applyFill="1" applyBorder="1" applyAlignment="1" applyProtection="1">
      <alignment horizontal="left"/>
    </xf>
    <xf numFmtId="3" fontId="21" fillId="9" borderId="8" xfId="0" applyNumberFormat="1" applyFont="1" applyFill="1" applyBorder="1" applyAlignment="1" applyProtection="1">
      <alignment horizontal="left"/>
    </xf>
    <xf numFmtId="3" fontId="6" fillId="9" borderId="9" xfId="0" applyNumberFormat="1" applyFont="1" applyFill="1" applyBorder="1" applyAlignment="1" applyProtection="1"/>
    <xf numFmtId="0" fontId="5" fillId="0" borderId="39" xfId="0" applyFont="1" applyFill="1" applyBorder="1"/>
    <xf numFmtId="0" fontId="4" fillId="0" borderId="14" xfId="0" applyNumberFormat="1" applyFont="1" applyFill="1" applyBorder="1" applyAlignment="1" applyProtection="1">
      <alignment horizontal="center"/>
    </xf>
    <xf numFmtId="0" fontId="4" fillId="0" borderId="39" xfId="0" applyNumberFormat="1" applyFont="1" applyFill="1" applyBorder="1" applyAlignment="1" applyProtection="1">
      <alignment horizontal="center"/>
    </xf>
    <xf numFmtId="0" fontId="4" fillId="0" borderId="62" xfId="0" applyNumberFormat="1" applyFont="1" applyFill="1" applyBorder="1" applyAlignment="1" applyProtection="1">
      <alignment horizontal="center"/>
    </xf>
    <xf numFmtId="0" fontId="4" fillId="0" borderId="63" xfId="0" applyNumberFormat="1" applyFont="1" applyFill="1" applyBorder="1" applyAlignment="1" applyProtection="1"/>
    <xf numFmtId="0" fontId="5" fillId="0" borderId="16" xfId="0" applyNumberFormat="1" applyFont="1" applyFill="1" applyBorder="1" applyAlignment="1" applyProtection="1"/>
    <xf numFmtId="0" fontId="5" fillId="2" borderId="39" xfId="0" applyNumberFormat="1" applyFont="1" applyFill="1" applyBorder="1" applyAlignment="1" applyProtection="1"/>
    <xf numFmtId="0" fontId="4" fillId="0" borderId="16" xfId="0" applyNumberFormat="1" applyFont="1" applyFill="1" applyBorder="1" applyAlignment="1" applyProtection="1"/>
    <xf numFmtId="0" fontId="5" fillId="4" borderId="22" xfId="0" applyNumberFormat="1" applyFont="1" applyFill="1" applyBorder="1" applyAlignment="1" applyProtection="1"/>
    <xf numFmtId="3" fontId="5" fillId="2" borderId="23" xfId="0" applyNumberFormat="1" applyFont="1" applyFill="1" applyBorder="1" applyAlignment="1" applyProtection="1"/>
    <xf numFmtId="171" fontId="4" fillId="0" borderId="57" xfId="0" applyNumberFormat="1" applyFont="1" applyFill="1" applyBorder="1" applyAlignment="1" applyProtection="1">
      <alignment horizontal="center"/>
    </xf>
    <xf numFmtId="171" fontId="4" fillId="0" borderId="39" xfId="0" applyNumberFormat="1" applyFont="1" applyFill="1" applyBorder="1" applyAlignment="1" applyProtection="1">
      <alignment horizontal="center"/>
    </xf>
    <xf numFmtId="171" fontId="4" fillId="0" borderId="62" xfId="0" applyNumberFormat="1" applyFont="1" applyFill="1" applyBorder="1" applyAlignment="1" applyProtection="1">
      <alignment horizontal="center"/>
    </xf>
    <xf numFmtId="171" fontId="4" fillId="0" borderId="61" xfId="0" applyNumberFormat="1" applyFont="1" applyFill="1" applyBorder="1" applyAlignment="1" applyProtection="1"/>
    <xf numFmtId="171" fontId="5" fillId="0" borderId="39" xfId="0" applyNumberFormat="1" applyFont="1" applyFill="1" applyBorder="1" applyAlignment="1" applyProtection="1"/>
    <xf numFmtId="171" fontId="4" fillId="0" borderId="63" xfId="0" applyNumberFormat="1" applyFont="1" applyFill="1" applyBorder="1" applyAlignment="1" applyProtection="1"/>
    <xf numFmtId="171" fontId="5" fillId="0" borderId="16" xfId="0" applyNumberFormat="1" applyFont="1" applyFill="1" applyBorder="1" applyAlignment="1" applyProtection="1"/>
    <xf numFmtId="171" fontId="4" fillId="0" borderId="39" xfId="0" applyNumberFormat="1" applyFont="1" applyFill="1" applyBorder="1" applyAlignment="1" applyProtection="1"/>
    <xf numFmtId="3" fontId="4" fillId="0" borderId="29" xfId="0" applyNumberFormat="1" applyFont="1" applyFill="1" applyBorder="1" applyAlignment="1" applyProtection="1"/>
    <xf numFmtId="0" fontId="4" fillId="0" borderId="32" xfId="0" applyNumberFormat="1" applyFont="1" applyFill="1" applyBorder="1" applyAlignment="1" applyProtection="1">
      <alignment horizontal="center"/>
    </xf>
    <xf numFmtId="0" fontId="8" fillId="0" borderId="8" xfId="0" applyFont="1" applyBorder="1"/>
    <xf numFmtId="0" fontId="8" fillId="0" borderId="6" xfId="0" applyFont="1" applyBorder="1"/>
    <xf numFmtId="0" fontId="5" fillId="5" borderId="9" xfId="0" applyFont="1" applyFill="1" applyBorder="1"/>
    <xf numFmtId="0" fontId="5" fillId="5" borderId="22" xfId="0" applyFont="1" applyFill="1" applyBorder="1"/>
    <xf numFmtId="0" fontId="5" fillId="0" borderId="4" xfId="0" applyNumberFormat="1" applyFont="1" applyFill="1" applyBorder="1" applyAlignment="1" applyProtection="1"/>
    <xf numFmtId="164" fontId="9" fillId="3" borderId="13" xfId="0" applyNumberFormat="1" applyFont="1" applyFill="1" applyBorder="1" applyAlignment="1" applyProtection="1">
      <alignment horizontal="right"/>
    </xf>
    <xf numFmtId="0" fontId="5" fillId="0" borderId="10" xfId="0" applyFont="1" applyFill="1" applyBorder="1"/>
    <xf numFmtId="3" fontId="5" fillId="0" borderId="0" xfId="0" applyNumberFormat="1" applyFont="1" applyFill="1"/>
    <xf numFmtId="4" fontId="7" fillId="0" borderId="0" xfId="0" applyNumberFormat="1" applyFont="1" applyFill="1"/>
    <xf numFmtId="3" fontId="5" fillId="0" borderId="7" xfId="0" applyNumberFormat="1" applyFont="1" applyFill="1" applyBorder="1" applyAlignment="1" applyProtection="1">
      <alignment horizontal="right"/>
    </xf>
    <xf numFmtId="172" fontId="4" fillId="0" borderId="17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/>
    <xf numFmtId="4" fontId="16" fillId="0" borderId="0" xfId="0" applyNumberFormat="1" applyFont="1" applyFill="1"/>
    <xf numFmtId="164" fontId="10" fillId="0" borderId="39" xfId="0" applyNumberFormat="1" applyFont="1" applyFill="1" applyBorder="1" applyAlignment="1" applyProtection="1">
      <alignment horizontal="right"/>
    </xf>
    <xf numFmtId="171" fontId="16" fillId="0" borderId="0" xfId="0" applyNumberFormat="1" applyFont="1"/>
    <xf numFmtId="3" fontId="5" fillId="14" borderId="9" xfId="0" applyNumberFormat="1" applyFont="1" applyFill="1" applyBorder="1" applyAlignment="1" applyProtection="1"/>
    <xf numFmtId="49" fontId="4" fillId="0" borderId="35" xfId="0" applyNumberFormat="1" applyFont="1" applyFill="1" applyBorder="1" applyAlignment="1" applyProtection="1">
      <alignment horizontal="center"/>
    </xf>
    <xf numFmtId="9" fontId="10" fillId="0" borderId="10" xfId="2" applyNumberFormat="1" applyFont="1" applyFill="1" applyBorder="1" applyAlignment="1" applyProtection="1">
      <alignment horizontal="right"/>
    </xf>
    <xf numFmtId="164" fontId="5" fillId="0" borderId="10" xfId="0" applyNumberFormat="1" applyFont="1" applyBorder="1" applyAlignment="1">
      <alignment horizontal="right"/>
    </xf>
    <xf numFmtId="0" fontId="4" fillId="3" borderId="6" xfId="0" applyNumberFormat="1" applyFont="1" applyFill="1" applyBorder="1" applyAlignment="1" applyProtection="1">
      <alignment horizontal="center"/>
    </xf>
    <xf numFmtId="0" fontId="3" fillId="0" borderId="43" xfId="0" applyFont="1" applyFill="1" applyBorder="1"/>
    <xf numFmtId="0" fontId="3" fillId="0" borderId="35" xfId="0" applyFont="1" applyFill="1" applyBorder="1"/>
    <xf numFmtId="0" fontId="16" fillId="0" borderId="3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49" fontId="5" fillId="0" borderId="18" xfId="0" applyNumberFormat="1" applyFont="1" applyFill="1" applyBorder="1" applyAlignment="1">
      <alignment horizontal="center"/>
    </xf>
    <xf numFmtId="0" fontId="3" fillId="0" borderId="8" xfId="0" applyFont="1" applyFill="1" applyBorder="1"/>
    <xf numFmtId="1" fontId="3" fillId="0" borderId="23" xfId="0" applyNumberFormat="1" applyFont="1" applyFill="1" applyBorder="1"/>
    <xf numFmtId="1" fontId="3" fillId="0" borderId="8" xfId="0" applyNumberFormat="1" applyFont="1" applyFill="1" applyBorder="1"/>
    <xf numFmtId="1" fontId="3" fillId="0" borderId="21" xfId="0" applyNumberFormat="1" applyFont="1" applyFill="1" applyBorder="1"/>
    <xf numFmtId="4" fontId="3" fillId="0" borderId="0" xfId="0" applyNumberFormat="1" applyFont="1"/>
    <xf numFmtId="3" fontId="10" fillId="13" borderId="10" xfId="0" applyNumberFormat="1" applyFont="1" applyFill="1" applyBorder="1" applyAlignment="1" applyProtection="1">
      <alignment horizontal="right"/>
    </xf>
    <xf numFmtId="174" fontId="16" fillId="0" borderId="0" xfId="0" applyNumberFormat="1" applyFont="1"/>
    <xf numFmtId="3" fontId="5" fillId="13" borderId="9" xfId="0" applyNumberFormat="1" applyFont="1" applyFill="1" applyBorder="1" applyAlignment="1" applyProtection="1"/>
    <xf numFmtId="1" fontId="5" fillId="3" borderId="8" xfId="0" applyNumberFormat="1" applyFont="1" applyFill="1" applyBorder="1" applyAlignment="1" applyProtection="1"/>
    <xf numFmtId="164" fontId="29" fillId="0" borderId="10" xfId="0" applyNumberFormat="1" applyFont="1" applyFill="1" applyBorder="1" applyAlignment="1" applyProtection="1">
      <alignment horizontal="right"/>
    </xf>
    <xf numFmtId="3" fontId="10" fillId="15" borderId="10" xfId="0" applyNumberFormat="1" applyFont="1" applyFill="1" applyBorder="1" applyAlignment="1" applyProtection="1">
      <alignment horizontal="right"/>
    </xf>
    <xf numFmtId="3" fontId="16" fillId="0" borderId="10" xfId="0" applyNumberFormat="1" applyFont="1" applyBorder="1" applyAlignment="1">
      <alignment horizontal="right"/>
    </xf>
    <xf numFmtId="3" fontId="6" fillId="0" borderId="8" xfId="0" applyNumberFormat="1" applyFont="1" applyFill="1" applyBorder="1" applyAlignment="1" applyProtection="1"/>
    <xf numFmtId="3" fontId="29" fillId="0" borderId="10" xfId="0" applyNumberFormat="1" applyFont="1" applyFill="1" applyBorder="1" applyAlignment="1" applyProtection="1">
      <alignment horizontal="right"/>
    </xf>
    <xf numFmtId="0" fontId="5" fillId="12" borderId="0" xfId="0" applyNumberFormat="1" applyFont="1" applyFill="1" applyBorder="1" applyAlignment="1" applyProtection="1">
      <alignment horizontal="right"/>
    </xf>
    <xf numFmtId="0" fontId="30" fillId="0" borderId="22" xfId="0" applyNumberFormat="1" applyFont="1" applyFill="1" applyBorder="1" applyAlignment="1" applyProtection="1"/>
    <xf numFmtId="0" fontId="30" fillId="0" borderId="13" xfId="0" applyNumberFormat="1" applyFont="1" applyFill="1" applyBorder="1" applyAlignment="1" applyProtection="1"/>
    <xf numFmtId="3" fontId="30" fillId="0" borderId="22" xfId="0" applyNumberFormat="1" applyFont="1" applyFill="1" applyBorder="1" applyAlignment="1" applyProtection="1"/>
    <xf numFmtId="3" fontId="30" fillId="0" borderId="13" xfId="0" applyNumberFormat="1" applyFont="1" applyFill="1" applyBorder="1" applyAlignment="1" applyProtection="1"/>
    <xf numFmtId="3" fontId="30" fillId="0" borderId="23" xfId="0" applyNumberFormat="1" applyFont="1" applyFill="1" applyBorder="1" applyAlignment="1" applyProtection="1"/>
    <xf numFmtId="0" fontId="30" fillId="3" borderId="22" xfId="0" applyNumberFormat="1" applyFont="1" applyFill="1" applyBorder="1" applyAlignment="1" applyProtection="1"/>
    <xf numFmtId="0" fontId="30" fillId="3" borderId="23" xfId="0" applyNumberFormat="1" applyFont="1" applyFill="1" applyBorder="1" applyAlignment="1" applyProtection="1"/>
    <xf numFmtId="171" fontId="30" fillId="0" borderId="16" xfId="0" applyNumberFormat="1" applyFont="1" applyFill="1" applyBorder="1" applyAlignment="1" applyProtection="1"/>
    <xf numFmtId="0" fontId="30" fillId="5" borderId="22" xfId="0" applyFont="1" applyFill="1" applyBorder="1"/>
    <xf numFmtId="3" fontId="30" fillId="5" borderId="23" xfId="0" applyNumberFormat="1" applyFont="1" applyFill="1" applyBorder="1" applyAlignment="1" applyProtection="1"/>
    <xf numFmtId="0" fontId="30" fillId="0" borderId="0" xfId="0" applyFont="1" applyFill="1"/>
    <xf numFmtId="0" fontId="30" fillId="0" borderId="0" xfId="0" applyFont="1"/>
    <xf numFmtId="3" fontId="5" fillId="13" borderId="10" xfId="0" applyNumberFormat="1" applyFont="1" applyFill="1" applyBorder="1" applyAlignment="1" applyProtection="1"/>
    <xf numFmtId="173" fontId="5" fillId="0" borderId="7" xfId="0" applyNumberFormat="1" applyFont="1" applyFill="1" applyBorder="1" applyAlignment="1" applyProtection="1">
      <alignment horizontal="right"/>
    </xf>
    <xf numFmtId="3" fontId="6" fillId="0" borderId="10" xfId="0" applyNumberFormat="1" applyFont="1" applyFill="1" applyBorder="1" applyAlignment="1" applyProtection="1"/>
    <xf numFmtId="0" fontId="5" fillId="16" borderId="39" xfId="0" applyNumberFormat="1" applyFont="1" applyFill="1" applyBorder="1" applyAlignment="1" applyProtection="1"/>
    <xf numFmtId="3" fontId="5" fillId="12" borderId="10" xfId="0" applyNumberFormat="1" applyFont="1" applyFill="1" applyBorder="1" applyAlignment="1" applyProtection="1"/>
    <xf numFmtId="175" fontId="16" fillId="0" borderId="0" xfId="0" applyNumberFormat="1" applyFont="1"/>
    <xf numFmtId="170" fontId="21" fillId="4" borderId="10" xfId="0" applyNumberFormat="1" applyFont="1" applyFill="1" applyBorder="1" applyAlignment="1" applyProtection="1">
      <alignment horizontal="right"/>
    </xf>
    <xf numFmtId="4" fontId="6" fillId="0" borderId="0" xfId="0" applyNumberFormat="1" applyFont="1" applyFill="1" applyBorder="1" applyAlignment="1"/>
    <xf numFmtId="168" fontId="4" fillId="0" borderId="64" xfId="0" applyNumberFormat="1" applyFont="1" applyFill="1" applyBorder="1" applyAlignment="1" applyProtection="1">
      <alignment horizontal="center"/>
    </xf>
    <xf numFmtId="4" fontId="5" fillId="0" borderId="0" xfId="0" applyNumberFormat="1" applyFont="1" applyFill="1" applyBorder="1" applyAlignment="1" applyProtection="1"/>
    <xf numFmtId="3" fontId="16" fillId="13" borderId="8" xfId="0" applyNumberFormat="1" applyFont="1" applyFill="1" applyBorder="1"/>
    <xf numFmtId="1" fontId="16" fillId="13" borderId="45" xfId="0" applyNumberFormat="1" applyFont="1" applyFill="1" applyBorder="1"/>
    <xf numFmtId="0" fontId="0" fillId="0" borderId="56" xfId="0" applyFill="1" applyBorder="1"/>
    <xf numFmtId="0" fontId="32" fillId="0" borderId="0" xfId="0" applyFont="1"/>
    <xf numFmtId="0" fontId="33" fillId="0" borderId="0" xfId="0" applyFont="1"/>
    <xf numFmtId="0" fontId="0" fillId="0" borderId="0" xfId="0" applyFill="1"/>
    <xf numFmtId="0" fontId="28" fillId="0" borderId="0" xfId="0" applyFont="1"/>
    <xf numFmtId="0" fontId="33" fillId="0" borderId="1" xfId="0" applyFont="1" applyBorder="1" applyAlignment="1">
      <alignment wrapText="1"/>
    </xf>
    <xf numFmtId="0" fontId="33" fillId="0" borderId="25" xfId="0" applyFont="1" applyBorder="1" applyAlignment="1">
      <alignment textRotation="88" wrapText="1"/>
    </xf>
    <xf numFmtId="0" fontId="33" fillId="0" borderId="2" xfId="0" applyFont="1" applyBorder="1" applyAlignment="1">
      <alignment wrapText="1"/>
    </xf>
    <xf numFmtId="0" fontId="33" fillId="0" borderId="57" xfId="0" applyFont="1" applyBorder="1" applyAlignment="1">
      <alignment horizontal="left"/>
    </xf>
    <xf numFmtId="0" fontId="0" fillId="0" borderId="68" xfId="0" applyBorder="1" applyAlignment="1">
      <alignment horizontal="center"/>
    </xf>
    <xf numFmtId="0" fontId="0" fillId="0" borderId="60" xfId="0" applyBorder="1" applyAlignment="1">
      <alignment horizontal="center"/>
    </xf>
    <xf numFmtId="0" fontId="33" fillId="0" borderId="19" xfId="0" applyFont="1" applyBorder="1"/>
    <xf numFmtId="0" fontId="33" fillId="0" borderId="3" xfId="0" applyFont="1" applyBorder="1" applyAlignment="1">
      <alignment wrapText="1"/>
    </xf>
    <xf numFmtId="0" fontId="33" fillId="0" borderId="4" xfId="0" applyFont="1" applyBorder="1" applyAlignment="1">
      <alignment wrapText="1"/>
    </xf>
    <xf numFmtId="0" fontId="33" fillId="0" borderId="26" xfId="0" applyFont="1" applyBorder="1" applyAlignment="1">
      <alignment wrapText="1"/>
    </xf>
    <xf numFmtId="0" fontId="33" fillId="0" borderId="5" xfId="0" applyFont="1" applyBorder="1" applyAlignment="1">
      <alignment wrapText="1"/>
    </xf>
    <xf numFmtId="0" fontId="33" fillId="0" borderId="28" xfId="0" applyFont="1" applyBorder="1" applyAlignment="1">
      <alignment wrapText="1"/>
    </xf>
    <xf numFmtId="0" fontId="33" fillId="0" borderId="28" xfId="0" applyFont="1" applyFill="1" applyBorder="1" applyAlignment="1">
      <alignment wrapText="1"/>
    </xf>
    <xf numFmtId="0" fontId="33" fillId="0" borderId="28" xfId="0" applyFont="1" applyBorder="1"/>
    <xf numFmtId="0" fontId="33" fillId="0" borderId="51" xfId="0" applyFont="1" applyBorder="1"/>
    <xf numFmtId="0" fontId="0" fillId="0" borderId="0" xfId="0" applyAlignment="1">
      <alignment wrapText="1"/>
    </xf>
    <xf numFmtId="0" fontId="28" fillId="0" borderId="67" xfId="0" applyFont="1" applyFill="1" applyBorder="1" applyAlignment="1">
      <alignment wrapText="1"/>
    </xf>
    <xf numFmtId="0" fontId="28" fillId="4" borderId="24" xfId="0" applyFont="1" applyFill="1" applyBorder="1" applyAlignment="1">
      <alignment wrapText="1"/>
    </xf>
    <xf numFmtId="0" fontId="0" fillId="0" borderId="56" xfId="0" applyFill="1" applyBorder="1" applyAlignment="1">
      <alignment wrapText="1"/>
    </xf>
    <xf numFmtId="0" fontId="20" fillId="4" borderId="56" xfId="0" applyFont="1" applyFill="1" applyBorder="1" applyAlignment="1">
      <alignment wrapText="1"/>
    </xf>
    <xf numFmtId="0" fontId="0" fillId="0" borderId="24" xfId="0" applyFill="1" applyBorder="1"/>
    <xf numFmtId="0" fontId="28" fillId="0" borderId="24" xfId="0" applyFont="1" applyFill="1" applyBorder="1"/>
    <xf numFmtId="0" fontId="20" fillId="0" borderId="56" xfId="0" applyFont="1" applyFill="1" applyBorder="1" applyAlignment="1">
      <alignment wrapText="1"/>
    </xf>
    <xf numFmtId="0" fontId="28" fillId="0" borderId="56" xfId="0" applyFont="1" applyFill="1" applyBorder="1"/>
    <xf numFmtId="0" fontId="28" fillId="0" borderId="55" xfId="0" applyFont="1" applyBorder="1" applyAlignment="1">
      <alignment wrapText="1"/>
    </xf>
    <xf numFmtId="0" fontId="28" fillId="0" borderId="22" xfId="0" applyFont="1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20" fillId="4" borderId="13" xfId="0" applyFont="1" applyFill="1" applyBorder="1" applyAlignment="1">
      <alignment wrapText="1"/>
    </xf>
    <xf numFmtId="0" fontId="0" fillId="0" borderId="13" xfId="0" applyFill="1" applyBorder="1"/>
    <xf numFmtId="0" fontId="20" fillId="0" borderId="13" xfId="0" applyFont="1" applyFill="1" applyBorder="1" applyAlignment="1">
      <alignment wrapText="1"/>
    </xf>
    <xf numFmtId="0" fontId="20" fillId="0" borderId="16" xfId="0" applyFont="1" applyFill="1" applyBorder="1" applyAlignment="1">
      <alignment wrapText="1"/>
    </xf>
    <xf numFmtId="0" fontId="28" fillId="9" borderId="23" xfId="0" applyFont="1" applyFill="1" applyBorder="1"/>
    <xf numFmtId="0" fontId="28" fillId="9" borderId="55" xfId="0" applyFont="1" applyFill="1" applyBorder="1"/>
    <xf numFmtId="0" fontId="0" fillId="0" borderId="67" xfId="0" applyFont="1" applyFill="1" applyBorder="1" applyAlignment="1">
      <alignment wrapText="1"/>
    </xf>
    <xf numFmtId="0" fontId="0" fillId="0" borderId="22" xfId="0" applyFont="1" applyFill="1" applyBorder="1" applyAlignment="1">
      <alignment wrapText="1"/>
    </xf>
    <xf numFmtId="0" fontId="28" fillId="0" borderId="13" xfId="0" applyFont="1" applyFill="1" applyBorder="1" applyAlignment="1">
      <alignment wrapText="1"/>
    </xf>
    <xf numFmtId="0" fontId="28" fillId="0" borderId="16" xfId="0" applyFont="1" applyFill="1" applyBorder="1"/>
    <xf numFmtId="0" fontId="0" fillId="4" borderId="24" xfId="0" applyFont="1" applyFill="1" applyBorder="1" applyAlignment="1">
      <alignment wrapText="1"/>
    </xf>
    <xf numFmtId="0" fontId="28" fillId="7" borderId="56" xfId="0" applyFont="1" applyFill="1" applyBorder="1" applyAlignment="1">
      <alignment wrapText="1"/>
    </xf>
    <xf numFmtId="0" fontId="16" fillId="0" borderId="67" xfId="0" applyNumberFormat="1" applyFont="1" applyFill="1" applyBorder="1" applyAlignment="1" applyProtection="1">
      <alignment wrapText="1" shrinkToFit="1"/>
    </xf>
    <xf numFmtId="0" fontId="28" fillId="4" borderId="56" xfId="0" applyFont="1" applyFill="1" applyBorder="1" applyAlignment="1">
      <alignment wrapText="1"/>
    </xf>
    <xf numFmtId="0" fontId="16" fillId="0" borderId="67" xfId="0" applyNumberFormat="1" applyFont="1" applyFill="1" applyBorder="1" applyAlignment="1" applyProtection="1"/>
    <xf numFmtId="0" fontId="28" fillId="0" borderId="56" xfId="0" applyFont="1" applyFill="1" applyBorder="1" applyAlignment="1">
      <alignment wrapText="1"/>
    </xf>
    <xf numFmtId="0" fontId="28" fillId="0" borderId="55" xfId="0" applyFont="1" applyBorder="1"/>
    <xf numFmtId="0" fontId="28" fillId="0" borderId="4" xfId="0" applyFont="1" applyFill="1" applyBorder="1" applyAlignment="1">
      <alignment wrapText="1"/>
    </xf>
    <xf numFmtId="0" fontId="28" fillId="7" borderId="26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20" fillId="4" borderId="5" xfId="0" applyFont="1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/>
    <xf numFmtId="0" fontId="20" fillId="0" borderId="5" xfId="0" applyFont="1" applyFill="1" applyBorder="1" applyAlignment="1">
      <alignment wrapText="1"/>
    </xf>
    <xf numFmtId="0" fontId="20" fillId="0" borderId="62" xfId="0" applyFont="1" applyFill="1" applyBorder="1" applyAlignment="1">
      <alignment wrapText="1"/>
    </xf>
    <xf numFmtId="0" fontId="28" fillId="9" borderId="6" xfId="0" applyFont="1" applyFill="1" applyBorder="1"/>
    <xf numFmtId="0" fontId="33" fillId="0" borderId="17" xfId="0" applyFont="1" applyBorder="1"/>
    <xf numFmtId="0" fontId="33" fillId="0" borderId="59" xfId="0" applyFont="1" applyBorder="1"/>
    <xf numFmtId="0" fontId="33" fillId="0" borderId="14" xfId="0" applyFont="1" applyBorder="1"/>
    <xf numFmtId="3" fontId="33" fillId="0" borderId="14" xfId="0" applyNumberFormat="1" applyFont="1" applyFill="1" applyBorder="1"/>
    <xf numFmtId="0" fontId="33" fillId="0" borderId="14" xfId="0" applyFont="1" applyFill="1" applyBorder="1"/>
    <xf numFmtId="0" fontId="33" fillId="0" borderId="54" xfId="0" applyFont="1" applyFill="1" applyBorder="1"/>
    <xf numFmtId="0" fontId="33" fillId="0" borderId="54" xfId="0" applyFont="1" applyBorder="1"/>
    <xf numFmtId="0" fontId="0" fillId="0" borderId="17" xfId="0" applyFont="1" applyFill="1" applyBorder="1" applyAlignment="1">
      <alignment wrapText="1"/>
    </xf>
    <xf numFmtId="0" fontId="28" fillId="4" borderId="59" xfId="0" applyFont="1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0" borderId="14" xfId="0" applyFill="1" applyBorder="1"/>
    <xf numFmtId="0" fontId="20" fillId="4" borderId="14" xfId="0" applyFont="1" applyFill="1" applyBorder="1" applyAlignment="1">
      <alignment wrapText="1"/>
    </xf>
    <xf numFmtId="0" fontId="0" fillId="0" borderId="59" xfId="0" applyFill="1" applyBorder="1"/>
    <xf numFmtId="0" fontId="20" fillId="0" borderId="14" xfId="0" applyFont="1" applyFill="1" applyBorder="1" applyAlignment="1">
      <alignment wrapText="1"/>
    </xf>
    <xf numFmtId="0" fontId="20" fillId="0" borderId="58" xfId="0" applyFont="1" applyFill="1" applyBorder="1" applyAlignment="1">
      <alignment wrapText="1"/>
    </xf>
    <xf numFmtId="0" fontId="28" fillId="0" borderId="54" xfId="0" applyFont="1" applyBorder="1" applyAlignment="1">
      <alignment wrapText="1"/>
    </xf>
    <xf numFmtId="0" fontId="5" fillId="16" borderId="10" xfId="0" applyNumberFormat="1" applyFont="1" applyFill="1" applyBorder="1" applyAlignment="1" applyProtection="1"/>
    <xf numFmtId="164" fontId="4" fillId="0" borderId="35" xfId="0" applyNumberFormat="1" applyFont="1" applyFill="1" applyBorder="1" applyAlignment="1" applyProtection="1">
      <alignment horizontal="right"/>
    </xf>
    <xf numFmtId="0" fontId="4" fillId="3" borderId="65" xfId="0" applyNumberFormat="1" applyFont="1" applyFill="1" applyBorder="1" applyAlignment="1" applyProtection="1">
      <alignment horizontal="center"/>
    </xf>
    <xf numFmtId="0" fontId="0" fillId="3" borderId="66" xfId="0" applyFill="1" applyBorder="1" applyAlignment="1">
      <alignment horizontal="center"/>
    </xf>
    <xf numFmtId="0" fontId="20" fillId="0" borderId="64" xfId="0" applyFont="1" applyFill="1" applyBorder="1" applyAlignment="1">
      <alignment horizontal="right" wrapText="1"/>
    </xf>
    <xf numFmtId="0" fontId="0" fillId="0" borderId="69" xfId="0" applyFill="1" applyBorder="1" applyAlignment="1">
      <alignment wrapText="1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Q75"/>
  <sheetViews>
    <sheetView tabSelected="1" workbookViewId="0">
      <selection activeCell="Q40" sqref="Q40"/>
    </sheetView>
  </sheetViews>
  <sheetFormatPr defaultColWidth="7.85546875" defaultRowHeight="12.75" x14ac:dyDescent="0.2"/>
  <cols>
    <col min="1" max="1" width="5" style="97" customWidth="1"/>
    <col min="2" max="2" width="22.85546875" style="97" customWidth="1"/>
    <col min="3" max="3" width="9.28515625" style="105" customWidth="1"/>
    <col min="4" max="4" width="8" style="97" customWidth="1"/>
    <col min="5" max="5" width="10.7109375" style="115" customWidth="1"/>
    <col min="6" max="6" width="5.7109375" style="97" customWidth="1"/>
    <col min="7" max="10" width="2.42578125" style="97" hidden="1" customWidth="1"/>
    <col min="11" max="11" width="8.28515625" style="97" hidden="1" customWidth="1"/>
    <col min="12" max="12" width="9.85546875" style="97" hidden="1" customWidth="1"/>
    <col min="13" max="14" width="9.85546875" style="97" customWidth="1"/>
    <col min="15" max="15" width="16" style="97" customWidth="1"/>
    <col min="16" max="17" width="9.85546875" style="97" customWidth="1"/>
    <col min="18" max="16384" width="7.85546875" style="97"/>
  </cols>
  <sheetData>
    <row r="1" spans="1:17" s="1" customFormat="1" ht="18" x14ac:dyDescent="0.25">
      <c r="B1" s="107" t="s">
        <v>486</v>
      </c>
      <c r="C1" s="2"/>
      <c r="E1" s="215"/>
    </row>
    <row r="2" spans="1:17" s="1" customFormat="1" ht="15.75" x14ac:dyDescent="0.25">
      <c r="B2" s="185" t="s">
        <v>578</v>
      </c>
      <c r="C2" s="184"/>
      <c r="D2" s="184"/>
      <c r="E2" s="216"/>
      <c r="F2" s="184"/>
      <c r="G2" s="184"/>
      <c r="H2" s="184"/>
      <c r="I2" s="184"/>
      <c r="J2" s="184"/>
      <c r="K2" s="184"/>
      <c r="L2" s="184"/>
      <c r="M2" s="184"/>
      <c r="N2" s="184"/>
      <c r="O2" s="184"/>
    </row>
    <row r="3" spans="1:17" s="1" customFormat="1" ht="15.75" x14ac:dyDescent="0.25">
      <c r="B3" s="185" t="s">
        <v>577</v>
      </c>
      <c r="C3" s="184"/>
      <c r="D3" s="184"/>
      <c r="E3" s="216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1:17" s="1" customFormat="1" ht="15.75" x14ac:dyDescent="0.25">
      <c r="B4" s="185" t="s">
        <v>576</v>
      </c>
      <c r="C4" s="184"/>
      <c r="D4" s="184"/>
      <c r="E4" s="216"/>
      <c r="F4" s="184"/>
      <c r="G4" s="184"/>
      <c r="H4" s="184"/>
      <c r="I4" s="184"/>
      <c r="J4" s="184"/>
      <c r="K4" s="184"/>
      <c r="L4" s="184"/>
      <c r="M4" s="184"/>
      <c r="N4" s="184"/>
      <c r="O4" s="184"/>
    </row>
    <row r="5" spans="1:17" s="1" customFormat="1" ht="15.75" x14ac:dyDescent="0.25">
      <c r="B5" s="185" t="s">
        <v>575</v>
      </c>
      <c r="C5" s="2"/>
      <c r="E5" s="216"/>
      <c r="F5" s="184"/>
      <c r="G5" s="184"/>
      <c r="H5" s="184"/>
      <c r="I5" s="184"/>
      <c r="J5" s="184"/>
      <c r="K5" s="184"/>
      <c r="L5" s="184"/>
      <c r="M5" s="184"/>
      <c r="N5" s="184"/>
      <c r="O5" s="184"/>
    </row>
    <row r="6" spans="1:17" s="1" customFormat="1" ht="15.75" x14ac:dyDescent="0.25">
      <c r="B6" s="185"/>
      <c r="C6" s="2"/>
      <c r="E6" s="216"/>
      <c r="F6" s="184"/>
      <c r="G6" s="184"/>
      <c r="H6" s="184"/>
      <c r="I6" s="184"/>
      <c r="J6" s="184"/>
      <c r="K6" s="184"/>
      <c r="L6" s="184"/>
      <c r="M6" s="184"/>
      <c r="N6" s="184"/>
      <c r="O6" s="184"/>
    </row>
    <row r="7" spans="1:17" ht="13.5" thickBot="1" x14ac:dyDescent="0.25">
      <c r="B7" s="3" t="s">
        <v>154</v>
      </c>
      <c r="O7" s="136"/>
    </row>
    <row r="8" spans="1:17" s="3" customFormat="1" x14ac:dyDescent="0.2">
      <c r="A8" s="230"/>
      <c r="B8" s="4"/>
      <c r="C8" s="5" t="s">
        <v>2</v>
      </c>
      <c r="D8" s="183" t="s">
        <v>134</v>
      </c>
      <c r="E8" s="217" t="s">
        <v>100</v>
      </c>
      <c r="F8" s="6" t="s">
        <v>4</v>
      </c>
      <c r="G8" s="81" t="s">
        <v>5</v>
      </c>
      <c r="H8" s="6" t="s">
        <v>4</v>
      </c>
      <c r="I8" s="81" t="s">
        <v>5</v>
      </c>
      <c r="J8" s="6" t="s">
        <v>4</v>
      </c>
      <c r="K8" s="81" t="s">
        <v>5</v>
      </c>
      <c r="L8" s="6" t="s">
        <v>4</v>
      </c>
      <c r="M8" s="175" t="s">
        <v>5</v>
      </c>
      <c r="N8" s="226" t="s">
        <v>4</v>
      </c>
      <c r="O8" s="237" t="s">
        <v>483</v>
      </c>
      <c r="P8" s="81" t="s">
        <v>2</v>
      </c>
      <c r="Q8" s="178" t="s">
        <v>400</v>
      </c>
    </row>
    <row r="9" spans="1:17" s="3" customFormat="1" ht="13.5" thickBot="1" x14ac:dyDescent="0.25">
      <c r="A9" s="231"/>
      <c r="B9" s="7"/>
      <c r="C9" s="8">
        <v>2017</v>
      </c>
      <c r="D9" s="8">
        <v>2017</v>
      </c>
      <c r="E9" s="218" t="s">
        <v>95</v>
      </c>
      <c r="F9" s="84"/>
      <c r="G9" s="82" t="s">
        <v>386</v>
      </c>
      <c r="H9" s="9" t="s">
        <v>6</v>
      </c>
      <c r="I9" s="82" t="s">
        <v>389</v>
      </c>
      <c r="J9" s="9" t="s">
        <v>6</v>
      </c>
      <c r="K9" s="82" t="s">
        <v>390</v>
      </c>
      <c r="L9" s="9" t="s">
        <v>6</v>
      </c>
      <c r="M9" s="174">
        <v>43100</v>
      </c>
      <c r="N9" s="70" t="s">
        <v>6</v>
      </c>
      <c r="O9" s="177" t="s">
        <v>484</v>
      </c>
      <c r="P9" s="173">
        <v>2018</v>
      </c>
      <c r="Q9" s="9" t="s">
        <v>401</v>
      </c>
    </row>
    <row r="10" spans="1:17" x14ac:dyDescent="0.2">
      <c r="A10" s="232"/>
      <c r="B10" s="104" t="s">
        <v>7</v>
      </c>
      <c r="C10" s="10">
        <f>příjmy!F146</f>
        <v>80034</v>
      </c>
      <c r="D10" s="16">
        <f>+příjmy!G146</f>
        <v>0</v>
      </c>
      <c r="E10" s="242">
        <f>SUM(C10:D10)</f>
        <v>80034</v>
      </c>
      <c r="F10" s="85">
        <f>C10/C14</f>
        <v>0.55394901681213182</v>
      </c>
      <c r="G10" s="10">
        <f>+příjmy!I146</f>
        <v>21882.307690000001</v>
      </c>
      <c r="H10" s="11">
        <f>G10/$E10*100</f>
        <v>27.3412645750556</v>
      </c>
      <c r="I10" s="10">
        <f>+příjmy!K146</f>
        <v>45644.641980000008</v>
      </c>
      <c r="J10" s="11">
        <f>I10/$E10*100</f>
        <v>57.031564060274398</v>
      </c>
      <c r="K10" s="10">
        <f>+příjmy!M146</f>
        <v>66707.114130000002</v>
      </c>
      <c r="L10" s="11">
        <f>K10/$E10*100</f>
        <v>83.348469562935762</v>
      </c>
      <c r="M10" s="129">
        <f>+příjmy!O146</f>
        <v>88971.968209999992</v>
      </c>
      <c r="N10" s="227">
        <f t="shared" ref="N10:N17" si="0">M10/$E10*100</f>
        <v>111.16771398405676</v>
      </c>
      <c r="O10" s="247">
        <f>M10-E10</f>
        <v>8937.9682099999918</v>
      </c>
      <c r="P10" s="242">
        <f>+příjmy!S146</f>
        <v>91121</v>
      </c>
      <c r="Q10" s="179">
        <f>P10/C10</f>
        <v>1.138528625334233</v>
      </c>
    </row>
    <row r="11" spans="1:17" x14ac:dyDescent="0.2">
      <c r="A11" s="232"/>
      <c r="B11" s="104" t="s">
        <v>8</v>
      </c>
      <c r="C11" s="10">
        <f>příjmy!F147</f>
        <v>25389</v>
      </c>
      <c r="D11" s="16">
        <f>+příjmy!G147</f>
        <v>34.257409999999993</v>
      </c>
      <c r="E11" s="242">
        <f>SUM(C11:D11)</f>
        <v>25423.257409999998</v>
      </c>
      <c r="F11" s="85">
        <f>C11/C14</f>
        <v>0.17572796046484265</v>
      </c>
      <c r="G11" s="10">
        <f>+příjmy!I147</f>
        <v>4919.3591400000005</v>
      </c>
      <c r="H11" s="11">
        <f t="shared" ref="H11:H16" si="1">G11/$E11*100</f>
        <v>19.349838066246448</v>
      </c>
      <c r="I11" s="10">
        <f>+příjmy!K147</f>
        <v>11240.165529999997</v>
      </c>
      <c r="J11" s="11">
        <f t="shared" ref="J11:L16" si="2">I11/$E11*100</f>
        <v>44.212137527187146</v>
      </c>
      <c r="K11" s="10">
        <f>+příjmy!M147</f>
        <v>19382.112130000001</v>
      </c>
      <c r="L11" s="11">
        <f t="shared" si="2"/>
        <v>76.237721301504934</v>
      </c>
      <c r="M11" s="129">
        <f>+příjmy!O147</f>
        <v>25427.374899999992</v>
      </c>
      <c r="N11" s="227">
        <f t="shared" si="0"/>
        <v>100.01619576096638</v>
      </c>
      <c r="O11" s="247">
        <f t="shared" ref="O11:O19" si="3">M11-E11</f>
        <v>4.1174899999932677</v>
      </c>
      <c r="P11" s="242">
        <f>+příjmy!S147</f>
        <v>27406</v>
      </c>
      <c r="Q11" s="179">
        <f t="shared" ref="Q11:Q17" si="4">P11/C11</f>
        <v>1.079443853637402</v>
      </c>
    </row>
    <row r="12" spans="1:17" x14ac:dyDescent="0.2">
      <c r="A12" s="232"/>
      <c r="B12" s="104" t="s">
        <v>9</v>
      </c>
      <c r="C12" s="10">
        <f>příjmy!F150</f>
        <v>465</v>
      </c>
      <c r="D12" s="16">
        <f>+příjmy!G150</f>
        <v>20</v>
      </c>
      <c r="E12" s="242">
        <f>SUM(C12:D12)</f>
        <v>485</v>
      </c>
      <c r="F12" s="85">
        <f>C12/C14</f>
        <v>3.2184608143744076E-3</v>
      </c>
      <c r="G12" s="10">
        <f>+příjmy!I150</f>
        <v>183.767</v>
      </c>
      <c r="H12" s="11">
        <f t="shared" si="1"/>
        <v>37.890103092783505</v>
      </c>
      <c r="I12" s="10">
        <f>+příjmy!K150</f>
        <v>1011.9480000000001</v>
      </c>
      <c r="J12" s="11">
        <f t="shared" si="2"/>
        <v>208.64907216494845</v>
      </c>
      <c r="K12" s="10">
        <f>+příjmy!M150</f>
        <v>1137.278</v>
      </c>
      <c r="L12" s="11">
        <f t="shared" si="2"/>
        <v>234.49030927835054</v>
      </c>
      <c r="M12" s="129">
        <f>+příjmy!O150</f>
        <v>1525.509</v>
      </c>
      <c r="N12" s="227">
        <f t="shared" si="0"/>
        <v>314.53793814432987</v>
      </c>
      <c r="O12" s="247">
        <f t="shared" si="3"/>
        <v>1040.509</v>
      </c>
      <c r="P12" s="242">
        <f>+příjmy!S150</f>
        <v>8150</v>
      </c>
      <c r="Q12" s="179">
        <f t="shared" si="4"/>
        <v>17.526881720430108</v>
      </c>
    </row>
    <row r="13" spans="1:17" x14ac:dyDescent="0.2">
      <c r="A13" s="232"/>
      <c r="B13" s="104" t="s">
        <v>10</v>
      </c>
      <c r="C13" s="10">
        <f>příjmy!F148+příjmy!F151</f>
        <v>38591</v>
      </c>
      <c r="D13" s="16">
        <f>+příjmy!G148+příjmy!G151</f>
        <v>28813.791859999998</v>
      </c>
      <c r="E13" s="242">
        <f>SUM(C13:D13)</f>
        <v>67404.791859999998</v>
      </c>
      <c r="F13" s="85">
        <f>C13/C14</f>
        <v>0.26710456190865106</v>
      </c>
      <c r="G13" s="10">
        <f>+příjmy!I148+příjmy!I151</f>
        <v>10134.061</v>
      </c>
      <c r="H13" s="11">
        <f t="shared" si="1"/>
        <v>15.034629913327946</v>
      </c>
      <c r="I13" s="10">
        <f>+příjmy!K148+příjmy!K151</f>
        <v>21419.887020000002</v>
      </c>
      <c r="J13" s="11">
        <f t="shared" si="2"/>
        <v>31.777988521185836</v>
      </c>
      <c r="K13" s="10">
        <f>+příjmy!M148+příjmy!M151</f>
        <v>40065.977530000004</v>
      </c>
      <c r="L13" s="11">
        <f t="shared" si="2"/>
        <v>59.440844522177571</v>
      </c>
      <c r="M13" s="129">
        <f>+příjmy!O148+příjmy!O151</f>
        <v>67462.022189999989</v>
      </c>
      <c r="N13" s="227">
        <f t="shared" si="0"/>
        <v>100.08490543241919</v>
      </c>
      <c r="O13" s="247">
        <f t="shared" si="3"/>
        <v>57.230329999991227</v>
      </c>
      <c r="P13" s="242">
        <f>+příjmy!S148+příjmy!S151</f>
        <v>30510</v>
      </c>
      <c r="Q13" s="179">
        <f t="shared" si="4"/>
        <v>0.79059884429011951</v>
      </c>
    </row>
    <row r="14" spans="1:17" s="3" customFormat="1" x14ac:dyDescent="0.2">
      <c r="A14" s="233"/>
      <c r="B14" s="12" t="s">
        <v>11</v>
      </c>
      <c r="C14" s="13">
        <f>SUM(C10:C13)</f>
        <v>144479</v>
      </c>
      <c r="D14" s="94">
        <f>SUM(D10:D13)</f>
        <v>28868.049269999996</v>
      </c>
      <c r="E14" s="243">
        <f>SUM(E10:E13)</f>
        <v>173347.04926999999</v>
      </c>
      <c r="F14" s="86">
        <f>SUM(F10:F13)</f>
        <v>0.99999999999999989</v>
      </c>
      <c r="G14" s="13">
        <f>SUM(G10:G13)</f>
        <v>37119.494830000003</v>
      </c>
      <c r="H14" s="14">
        <f>G14/$E14*100</f>
        <v>21.413398720265398</v>
      </c>
      <c r="I14" s="13">
        <f>SUM(I10:I13)</f>
        <v>79316.642530000012</v>
      </c>
      <c r="J14" s="14">
        <f>I14/$E14*100</f>
        <v>45.755980770378656</v>
      </c>
      <c r="K14" s="13">
        <f>SUM(K10:K13)</f>
        <v>127292.48179000001</v>
      </c>
      <c r="L14" s="14">
        <f>K14/$E14*100</f>
        <v>73.432159547021286</v>
      </c>
      <c r="M14" s="13">
        <f>SUM(M10:M13)</f>
        <v>183386.87429999997</v>
      </c>
      <c r="N14" s="228">
        <f t="shared" si="0"/>
        <v>105.79174844468351</v>
      </c>
      <c r="O14" s="248">
        <f t="shared" si="3"/>
        <v>10039.825029999978</v>
      </c>
      <c r="P14" s="243">
        <f>SUM(P10:P13)</f>
        <v>157187</v>
      </c>
      <c r="Q14" s="180">
        <f t="shared" si="4"/>
        <v>1.0879574194173547</v>
      </c>
    </row>
    <row r="15" spans="1:17" x14ac:dyDescent="0.2">
      <c r="A15" s="232"/>
      <c r="B15" s="104" t="s">
        <v>12</v>
      </c>
      <c r="C15" s="10">
        <f>+výdaje!E131</f>
        <v>125246</v>
      </c>
      <c r="D15" s="16">
        <f>+výdaje!H131</f>
        <v>10980.567270000001</v>
      </c>
      <c r="E15" s="242">
        <f>SUM(C15:D15)</f>
        <v>136226.56727</v>
      </c>
      <c r="F15" s="85">
        <f>C15/C17</f>
        <v>0.57834852556820804</v>
      </c>
      <c r="G15" s="10">
        <f>+výdaje!M131</f>
        <v>31527.34794</v>
      </c>
      <c r="H15" s="11">
        <f t="shared" si="1"/>
        <v>23.143318202765133</v>
      </c>
      <c r="I15" s="10">
        <f>+výdaje!Q131</f>
        <v>57037.484069999999</v>
      </c>
      <c r="J15" s="11">
        <f t="shared" si="2"/>
        <v>41.869574498601395</v>
      </c>
      <c r="K15" s="10">
        <f>+výdaje!U131</f>
        <v>87805.080959999992</v>
      </c>
      <c r="L15" s="11">
        <f t="shared" si="2"/>
        <v>64.455181334761974</v>
      </c>
      <c r="M15" s="270">
        <f>výdaje!Y131</f>
        <v>124945.80324000002</v>
      </c>
      <c r="N15" s="227">
        <f t="shared" si="0"/>
        <v>91.719115987381826</v>
      </c>
      <c r="O15" s="247">
        <f t="shared" si="3"/>
        <v>-11280.764029999977</v>
      </c>
      <c r="P15" s="242">
        <f>+výdaje!AD131</f>
        <v>141863</v>
      </c>
      <c r="Q15" s="179">
        <f t="shared" si="4"/>
        <v>1.1326748958050556</v>
      </c>
    </row>
    <row r="16" spans="1:17" x14ac:dyDescent="0.2">
      <c r="A16" s="232"/>
      <c r="B16" s="104" t="s">
        <v>13</v>
      </c>
      <c r="C16" s="10">
        <f>+výdaje!F131</f>
        <v>91312</v>
      </c>
      <c r="D16" s="16">
        <f>+výdaje!I131</f>
        <v>17887.482</v>
      </c>
      <c r="E16" s="242">
        <f>SUM(C16:D16)</f>
        <v>109199.482</v>
      </c>
      <c r="F16" s="85">
        <f>C16/C17</f>
        <v>0.42165147443179196</v>
      </c>
      <c r="G16" s="10">
        <f>+výdaje!N131</f>
        <v>232.15519999999998</v>
      </c>
      <c r="H16" s="11">
        <f t="shared" si="1"/>
        <v>0.21259734547092443</v>
      </c>
      <c r="I16" s="10">
        <f>+výdaje!R131</f>
        <v>2088.3102700000004</v>
      </c>
      <c r="J16" s="11">
        <f t="shared" si="2"/>
        <v>1.9123811136759792</v>
      </c>
      <c r="K16" s="10">
        <f>+výdaje!V131</f>
        <v>23046.092519999998</v>
      </c>
      <c r="L16" s="11">
        <f t="shared" si="2"/>
        <v>21.10458044114165</v>
      </c>
      <c r="M16" s="270">
        <f>výdaje!Z131</f>
        <v>73404.285790000009</v>
      </c>
      <c r="N16" s="227">
        <f t="shared" si="0"/>
        <v>67.220360798048489</v>
      </c>
      <c r="O16" s="247">
        <f t="shared" si="3"/>
        <v>-35795.196209999995</v>
      </c>
      <c r="P16" s="242">
        <f>+výdaje!AE131</f>
        <v>72440</v>
      </c>
      <c r="Q16" s="179">
        <f t="shared" si="4"/>
        <v>0.79332398808480808</v>
      </c>
    </row>
    <row r="17" spans="1:17" s="3" customFormat="1" x14ac:dyDescent="0.2">
      <c r="A17" s="233"/>
      <c r="B17" s="12" t="s">
        <v>14</v>
      </c>
      <c r="C17" s="13">
        <f>SUM(C15:C16)</f>
        <v>216558</v>
      </c>
      <c r="D17" s="94">
        <f>SUM(D15:D16)</f>
        <v>28868.049270000003</v>
      </c>
      <c r="E17" s="243">
        <f>SUM(E15:E16)</f>
        <v>245426.04927000002</v>
      </c>
      <c r="F17" s="86">
        <v>1</v>
      </c>
      <c r="G17" s="13">
        <f>SUM(G15:G16)</f>
        <v>31759.503140000001</v>
      </c>
      <c r="H17" s="14">
        <f>G17/$E17*100</f>
        <v>12.940559176365376</v>
      </c>
      <c r="I17" s="13">
        <f>SUM(I15:I16)</f>
        <v>59125.79434</v>
      </c>
      <c r="J17" s="14">
        <f>I17/$E17*100</f>
        <v>24.091083450947814</v>
      </c>
      <c r="K17" s="13">
        <f>SUM(K15:K16)</f>
        <v>110851.17348</v>
      </c>
      <c r="L17" s="14">
        <f>K17/$E17*100</f>
        <v>45.166832864611507</v>
      </c>
      <c r="M17" s="130">
        <f>SUM(M15:M16)</f>
        <v>198350.08903000003</v>
      </c>
      <c r="N17" s="228">
        <f t="shared" si="0"/>
        <v>80.818678220986058</v>
      </c>
      <c r="O17" s="248">
        <f t="shared" si="3"/>
        <v>-47075.960239999986</v>
      </c>
      <c r="P17" s="243">
        <f>SUM(P15:P16)</f>
        <v>214303</v>
      </c>
      <c r="Q17" s="180">
        <f t="shared" si="4"/>
        <v>0.98958708521504635</v>
      </c>
    </row>
    <row r="18" spans="1:17" x14ac:dyDescent="0.2">
      <c r="A18" s="232"/>
      <c r="B18" s="104"/>
      <c r="C18" s="10"/>
      <c r="D18" s="95"/>
      <c r="E18" s="242"/>
      <c r="F18" s="87"/>
      <c r="G18" s="10"/>
      <c r="H18" s="14"/>
      <c r="I18" s="10"/>
      <c r="J18" s="14"/>
      <c r="K18" s="10"/>
      <c r="L18" s="14"/>
      <c r="M18" s="129"/>
      <c r="N18" s="228"/>
      <c r="O18" s="171"/>
      <c r="P18" s="10"/>
      <c r="Q18" s="76"/>
    </row>
    <row r="19" spans="1:17" s="3" customFormat="1" x14ac:dyDescent="0.2">
      <c r="A19" s="233"/>
      <c r="B19" s="12" t="s">
        <v>15</v>
      </c>
      <c r="C19" s="13">
        <f>C14-C17</f>
        <v>-72079</v>
      </c>
      <c r="D19" s="13">
        <f>D14-D17</f>
        <v>0</v>
      </c>
      <c r="E19" s="243">
        <f>E14-E17</f>
        <v>-72079.000000000029</v>
      </c>
      <c r="F19" s="88"/>
      <c r="G19" s="13">
        <f>G14-G17</f>
        <v>5359.9916900000026</v>
      </c>
      <c r="H19" s="14"/>
      <c r="I19" s="13">
        <f>I14-I17</f>
        <v>20190.848190000012</v>
      </c>
      <c r="J19" s="11"/>
      <c r="K19" s="13">
        <f>K14-K17</f>
        <v>16441.308310000008</v>
      </c>
      <c r="L19" s="11">
        <f>K19/$E19*100</f>
        <v>-22.810122657084587</v>
      </c>
      <c r="M19" s="130">
        <f>M14-M17</f>
        <v>-14963.214730000065</v>
      </c>
      <c r="N19" s="227">
        <f>M19/$E19*100</f>
        <v>20.759464934308273</v>
      </c>
      <c r="O19" s="248">
        <f t="shared" si="3"/>
        <v>57115.785269999964</v>
      </c>
      <c r="P19" s="243">
        <f>P14-P17</f>
        <v>-57116</v>
      </c>
      <c r="Q19" s="75"/>
    </row>
    <row r="20" spans="1:17" x14ac:dyDescent="0.2">
      <c r="A20" s="232"/>
      <c r="B20" s="104"/>
      <c r="C20" s="10"/>
      <c r="D20" s="95"/>
      <c r="E20" s="242"/>
      <c r="F20" s="87"/>
      <c r="G20" s="10"/>
      <c r="H20" s="14"/>
      <c r="I20" s="10"/>
      <c r="J20" s="14"/>
      <c r="K20" s="10"/>
      <c r="L20" s="14"/>
      <c r="M20" s="129"/>
      <c r="N20" s="228"/>
      <c r="O20" s="171"/>
      <c r="P20" s="10"/>
      <c r="Q20" s="76"/>
    </row>
    <row r="21" spans="1:17" s="3" customFormat="1" x14ac:dyDescent="0.2">
      <c r="A21" s="234" t="s">
        <v>16</v>
      </c>
      <c r="B21" s="12" t="s">
        <v>17</v>
      </c>
      <c r="C21" s="13"/>
      <c r="D21" s="96"/>
      <c r="E21" s="243"/>
      <c r="F21" s="88"/>
      <c r="G21" s="13"/>
      <c r="H21" s="14"/>
      <c r="I21" s="13"/>
      <c r="J21" s="14"/>
      <c r="K21" s="13"/>
      <c r="L21" s="14"/>
      <c r="M21" s="130"/>
      <c r="N21" s="228"/>
      <c r="O21" s="171"/>
      <c r="P21" s="13"/>
      <c r="Q21" s="75"/>
    </row>
    <row r="22" spans="1:17" x14ac:dyDescent="0.2">
      <c r="A22" s="232">
        <v>8124</v>
      </c>
      <c r="B22" s="104" t="s">
        <v>18</v>
      </c>
      <c r="C22" s="161">
        <v>0</v>
      </c>
      <c r="D22" s="172"/>
      <c r="E22" s="242">
        <f>SUM(C22:D22)</f>
        <v>0</v>
      </c>
      <c r="F22" s="87"/>
      <c r="G22" s="10"/>
      <c r="H22" s="11"/>
      <c r="I22" s="10"/>
      <c r="J22" s="11"/>
      <c r="K22" s="161"/>
      <c r="L22" s="11"/>
      <c r="M22" s="10"/>
      <c r="N22" s="227"/>
      <c r="O22" s="277"/>
      <c r="P22" s="161">
        <v>0</v>
      </c>
      <c r="Q22" s="179"/>
    </row>
    <row r="23" spans="1:17" x14ac:dyDescent="0.2">
      <c r="A23" s="235" t="s">
        <v>137</v>
      </c>
      <c r="B23" s="104" t="s">
        <v>127</v>
      </c>
      <c r="C23" s="161"/>
      <c r="D23" s="16"/>
      <c r="E23" s="242">
        <f>SUM(C23:D23)</f>
        <v>0</v>
      </c>
      <c r="F23" s="87"/>
      <c r="G23" s="10"/>
      <c r="H23" s="11"/>
      <c r="I23" s="10"/>
      <c r="J23" s="11"/>
      <c r="K23" s="10"/>
      <c r="L23" s="11"/>
      <c r="M23" s="129"/>
      <c r="N23" s="227"/>
      <c r="O23" s="271"/>
      <c r="P23" s="161"/>
      <c r="Q23" s="179"/>
    </row>
    <row r="24" spans="1:17" x14ac:dyDescent="0.2">
      <c r="A24" s="232">
        <v>8123</v>
      </c>
      <c r="B24" s="104" t="s">
        <v>365</v>
      </c>
      <c r="C24" s="16"/>
      <c r="D24" s="16"/>
      <c r="E24" s="242">
        <f>SUM(C24:D24)</f>
        <v>0</v>
      </c>
      <c r="F24" s="87"/>
      <c r="G24" s="16"/>
      <c r="H24" s="11"/>
      <c r="I24" s="16"/>
      <c r="J24" s="11"/>
      <c r="K24" s="16"/>
      <c r="L24" s="11"/>
      <c r="M24" s="46"/>
      <c r="N24" s="227"/>
      <c r="O24" s="171"/>
      <c r="P24" s="16">
        <v>0</v>
      </c>
      <c r="Q24" s="76"/>
    </row>
    <row r="25" spans="1:17" x14ac:dyDescent="0.2">
      <c r="A25" s="232">
        <v>8115</v>
      </c>
      <c r="B25" s="104"/>
      <c r="C25" s="17"/>
      <c r="D25" s="16">
        <f>2700.6848-2700.6848</f>
        <v>0</v>
      </c>
      <c r="E25" s="242">
        <f>SUM(C25:D25)</f>
        <v>0</v>
      </c>
      <c r="F25" s="87"/>
      <c r="G25" s="17"/>
      <c r="H25" s="11"/>
      <c r="I25" s="17"/>
      <c r="J25" s="11"/>
      <c r="K25" s="17"/>
      <c r="L25" s="11"/>
      <c r="M25" s="46"/>
      <c r="N25" s="227"/>
      <c r="O25" s="171"/>
      <c r="P25" s="17"/>
      <c r="Q25" s="76"/>
    </row>
    <row r="26" spans="1:17" x14ac:dyDescent="0.2">
      <c r="A26" s="232">
        <v>8115</v>
      </c>
      <c r="B26" s="104" t="s">
        <v>485</v>
      </c>
      <c r="C26" s="161">
        <v>72079</v>
      </c>
      <c r="D26" s="16"/>
      <c r="E26" s="242">
        <f>SUM(C26:D26)</f>
        <v>72079</v>
      </c>
      <c r="F26" s="87"/>
      <c r="G26" s="10"/>
      <c r="H26" s="11">
        <f>G26/$E26*100</f>
        <v>0</v>
      </c>
      <c r="I26" s="10">
        <f>C26/2</f>
        <v>36039.5</v>
      </c>
      <c r="J26" s="11">
        <f>I26/$E26*100</f>
        <v>50</v>
      </c>
      <c r="K26" s="10">
        <f>E26/4*3</f>
        <v>54059.25</v>
      </c>
      <c r="L26" s="11">
        <f>K26/$E26*100</f>
        <v>75</v>
      </c>
      <c r="M26" s="129">
        <v>72079</v>
      </c>
      <c r="N26" s="227">
        <f>M26/$E26*100</f>
        <v>100</v>
      </c>
      <c r="O26" s="171"/>
      <c r="P26" s="161">
        <v>57116</v>
      </c>
      <c r="Q26" s="138"/>
    </row>
    <row r="27" spans="1:17" x14ac:dyDescent="0.2">
      <c r="A27" s="232"/>
      <c r="B27" s="104"/>
      <c r="C27" s="10"/>
      <c r="D27" s="172"/>
      <c r="E27" s="242"/>
      <c r="F27" s="87"/>
      <c r="G27" s="10"/>
      <c r="H27" s="14"/>
      <c r="I27" s="10"/>
      <c r="J27" s="14"/>
      <c r="K27" s="10"/>
      <c r="L27" s="14"/>
      <c r="M27" s="129"/>
      <c r="N27" s="228"/>
      <c r="O27" s="171"/>
      <c r="P27" s="161"/>
      <c r="Q27" s="76"/>
    </row>
    <row r="28" spans="1:17" x14ac:dyDescent="0.2">
      <c r="A28" s="232">
        <v>8115</v>
      </c>
      <c r="B28" s="12" t="s">
        <v>136</v>
      </c>
      <c r="C28" s="94">
        <f>-C22-C24+C30-C26-C23</f>
        <v>0</v>
      </c>
      <c r="D28" s="94">
        <f>-D22-D24+D30-D26-D23</f>
        <v>0</v>
      </c>
      <c r="E28" s="94">
        <f>-E22-E24+E30-E26-E23</f>
        <v>2.9103830456733704E-11</v>
      </c>
      <c r="F28" s="87"/>
      <c r="G28" s="94">
        <f>-G22-G24+G30-G26-G23</f>
        <v>-5359.9916900000026</v>
      </c>
      <c r="H28" s="87"/>
      <c r="I28" s="94">
        <f>-I22-I24+I30-I26-I23</f>
        <v>-56230.348190000012</v>
      </c>
      <c r="J28" s="87"/>
      <c r="K28" s="94">
        <f>-K22-K24+K30-K26-K23</f>
        <v>-70500.558310000008</v>
      </c>
      <c r="L28" s="87"/>
      <c r="M28" s="94">
        <f>-M22-M24+M30-M26-M23</f>
        <v>-57115.785269999935</v>
      </c>
      <c r="N28" s="228"/>
      <c r="O28" s="171"/>
      <c r="P28" s="94">
        <f>-P22-P24+P30-P26-P23</f>
        <v>0</v>
      </c>
      <c r="Q28" s="76"/>
    </row>
    <row r="29" spans="1:17" s="3" customFormat="1" x14ac:dyDescent="0.2">
      <c r="A29" s="233"/>
      <c r="B29" s="104"/>
      <c r="C29" s="13"/>
      <c r="D29" s="18"/>
      <c r="E29" s="244"/>
      <c r="F29" s="89"/>
      <c r="G29" s="13"/>
      <c r="H29" s="14"/>
      <c r="I29" s="13"/>
      <c r="J29" s="14"/>
      <c r="K29" s="13"/>
      <c r="L29" s="14"/>
      <c r="M29" s="130"/>
      <c r="N29" s="228"/>
      <c r="O29" s="171"/>
      <c r="P29" s="13"/>
      <c r="Q29" s="75"/>
    </row>
    <row r="30" spans="1:17" ht="13.5" thickBot="1" x14ac:dyDescent="0.25">
      <c r="A30" s="236"/>
      <c r="B30" s="134" t="s">
        <v>19</v>
      </c>
      <c r="C30" s="83">
        <f>-C19</f>
        <v>72079</v>
      </c>
      <c r="D30" s="189">
        <f>-D19</f>
        <v>0</v>
      </c>
      <c r="E30" s="245">
        <f>-E19</f>
        <v>72079.000000000029</v>
      </c>
      <c r="F30" s="90"/>
      <c r="G30" s="83">
        <f>-G19</f>
        <v>-5359.9916900000026</v>
      </c>
      <c r="H30" s="19"/>
      <c r="I30" s="83">
        <f>-I19</f>
        <v>-20190.848190000012</v>
      </c>
      <c r="J30" s="19"/>
      <c r="K30" s="83">
        <f>-K19</f>
        <v>-16441.308310000008</v>
      </c>
      <c r="L30" s="19"/>
      <c r="M30" s="131">
        <f>-M19</f>
        <v>14963.214730000065</v>
      </c>
      <c r="N30" s="229"/>
      <c r="O30" s="176"/>
      <c r="P30" s="83">
        <f>-P19</f>
        <v>57116</v>
      </c>
      <c r="Q30" s="181"/>
    </row>
    <row r="31" spans="1:17" x14ac:dyDescent="0.2">
      <c r="C31" s="20"/>
      <c r="E31" s="66"/>
      <c r="F31" s="21"/>
      <c r="G31" s="21"/>
      <c r="H31" s="21"/>
      <c r="I31" s="21"/>
      <c r="J31" s="21"/>
      <c r="K31" s="21"/>
      <c r="L31" s="21"/>
      <c r="M31" s="21"/>
      <c r="N31" s="21"/>
      <c r="P31" s="21"/>
    </row>
    <row r="32" spans="1:17" x14ac:dyDescent="0.2">
      <c r="B32" s="504"/>
      <c r="C32" s="67"/>
      <c r="D32" s="249"/>
      <c r="E32" s="249"/>
      <c r="F32" s="249"/>
      <c r="G32" s="249"/>
      <c r="M32" s="249"/>
      <c r="N32" s="249"/>
      <c r="O32" s="249"/>
      <c r="P32" s="115"/>
    </row>
    <row r="33" spans="2:17" x14ac:dyDescent="0.2">
      <c r="B33" s="423"/>
      <c r="C33" s="422"/>
      <c r="D33" s="532"/>
      <c r="L33" s="115"/>
      <c r="P33" s="115"/>
      <c r="Q33" s="364"/>
    </row>
    <row r="34" spans="2:17" x14ac:dyDescent="0.2">
      <c r="B34" s="423"/>
      <c r="C34" s="424"/>
      <c r="D34" s="119"/>
      <c r="E34" s="355"/>
      <c r="F34" s="355"/>
      <c r="G34" s="119"/>
      <c r="L34" s="115"/>
      <c r="M34" s="119"/>
      <c r="N34" s="355"/>
      <c r="O34" s="119"/>
      <c r="P34" s="115"/>
      <c r="Q34" s="364"/>
    </row>
    <row r="35" spans="2:17" x14ac:dyDescent="0.2">
      <c r="B35" s="448"/>
      <c r="C35" s="221"/>
      <c r="D35" s="221"/>
      <c r="E35" s="448"/>
      <c r="F35" s="221"/>
      <c r="G35" s="221"/>
      <c r="L35" s="115"/>
      <c r="M35" s="221"/>
      <c r="N35" s="221"/>
      <c r="O35" s="221"/>
      <c r="P35" s="365"/>
      <c r="Q35" s="364"/>
    </row>
    <row r="36" spans="2:17" x14ac:dyDescent="0.2">
      <c r="B36" s="154"/>
      <c r="C36" s="350"/>
      <c r="D36" s="119"/>
      <c r="E36" s="351"/>
      <c r="F36" s="351"/>
      <c r="G36" s="351"/>
      <c r="H36" s="119"/>
      <c r="I36" s="351"/>
      <c r="J36" s="351"/>
      <c r="K36" s="351"/>
      <c r="L36" s="351"/>
      <c r="M36" s="119"/>
      <c r="N36" s="351"/>
      <c r="O36" s="119"/>
      <c r="P36" s="351"/>
    </row>
    <row r="37" spans="2:17" x14ac:dyDescent="0.2">
      <c r="B37" s="154"/>
      <c r="C37" s="352"/>
      <c r="D37" s="119"/>
      <c r="E37" s="353"/>
      <c r="F37" s="354"/>
      <c r="G37" s="354"/>
      <c r="H37" s="354"/>
      <c r="I37" s="354"/>
      <c r="J37" s="354"/>
      <c r="K37" s="354"/>
      <c r="L37" s="119"/>
      <c r="M37" s="119"/>
      <c r="N37" s="119"/>
      <c r="O37" s="119"/>
      <c r="P37" s="119"/>
      <c r="Q37" s="119"/>
    </row>
    <row r="38" spans="2:17" x14ac:dyDescent="0.2">
      <c r="B38" s="371"/>
      <c r="C38" s="372"/>
      <c r="D38" s="370"/>
      <c r="E38" s="373"/>
      <c r="F38" s="374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7" x14ac:dyDescent="0.2">
      <c r="B39" s="371"/>
      <c r="C39" s="375"/>
      <c r="D39" s="376"/>
      <c r="E39" s="377"/>
      <c r="F39" s="376"/>
      <c r="G39" s="119"/>
      <c r="H39" s="119"/>
      <c r="I39" s="119"/>
      <c r="J39" s="119"/>
      <c r="K39" s="119"/>
      <c r="L39" s="119"/>
      <c r="M39" s="119"/>
      <c r="N39" s="119"/>
      <c r="O39" s="119"/>
      <c r="P39" s="119"/>
    </row>
    <row r="40" spans="2:17" x14ac:dyDescent="0.2">
      <c r="B40" s="371"/>
      <c r="C40" s="378"/>
      <c r="D40" s="378"/>
      <c r="E40" s="378"/>
      <c r="F40" s="378"/>
      <c r="G40" s="119"/>
      <c r="H40" s="119"/>
      <c r="I40" s="119"/>
      <c r="J40" s="119"/>
      <c r="K40" s="119"/>
      <c r="L40" s="119"/>
      <c r="M40" s="119"/>
      <c r="N40" s="119"/>
      <c r="O40" s="119"/>
      <c r="P40" s="119"/>
    </row>
    <row r="41" spans="2:17" x14ac:dyDescent="0.2">
      <c r="B41" s="154"/>
      <c r="C41" s="352"/>
      <c r="D41" s="119"/>
      <c r="E41" s="155"/>
      <c r="F41" s="378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7" x14ac:dyDescent="0.2">
      <c r="B42" s="154"/>
      <c r="C42" s="352"/>
      <c r="D42" s="119"/>
      <c r="E42" s="155"/>
      <c r="F42" s="378"/>
      <c r="G42" s="119"/>
      <c r="H42" s="119"/>
      <c r="I42" s="119"/>
      <c r="J42" s="119"/>
      <c r="K42" s="119"/>
      <c r="L42" s="119"/>
      <c r="M42" s="119"/>
      <c r="N42" s="119"/>
      <c r="O42" s="119"/>
      <c r="P42" s="119"/>
    </row>
    <row r="43" spans="2:17" x14ac:dyDescent="0.2">
      <c r="B43" s="379"/>
      <c r="C43" s="352"/>
      <c r="D43" s="119"/>
      <c r="E43" s="155"/>
      <c r="F43" s="378"/>
      <c r="G43" s="119"/>
      <c r="H43" s="119"/>
      <c r="I43" s="119"/>
      <c r="J43" s="119"/>
      <c r="K43" s="119"/>
      <c r="L43" s="119"/>
      <c r="M43" s="119"/>
      <c r="N43" s="119"/>
      <c r="O43" s="119"/>
      <c r="P43" s="119"/>
    </row>
    <row r="44" spans="2:17" ht="15" customHeight="1" x14ac:dyDescent="0.2">
      <c r="B44" s="379"/>
      <c r="C44" s="352"/>
      <c r="D44" s="119"/>
      <c r="E44" s="155"/>
      <c r="F44" s="378"/>
      <c r="G44" s="119"/>
      <c r="H44" s="119"/>
      <c r="I44" s="119"/>
      <c r="J44" s="119"/>
      <c r="K44" s="119"/>
      <c r="L44" s="119"/>
      <c r="M44" s="119"/>
      <c r="N44" s="119"/>
      <c r="O44" s="119"/>
      <c r="P44" s="119"/>
    </row>
    <row r="45" spans="2:17" x14ac:dyDescent="0.2">
      <c r="B45" s="379"/>
      <c r="C45" s="352"/>
      <c r="D45" s="119"/>
      <c r="E45" s="155"/>
      <c r="F45" s="378"/>
      <c r="G45" s="119"/>
      <c r="H45" s="119"/>
      <c r="I45" s="119"/>
      <c r="J45" s="119"/>
      <c r="K45" s="119"/>
      <c r="L45" s="119"/>
      <c r="M45" s="119"/>
      <c r="N45" s="119"/>
      <c r="O45" s="119"/>
      <c r="P45" s="119"/>
    </row>
    <row r="46" spans="2:17" x14ac:dyDescent="0.2">
      <c r="B46" s="379"/>
      <c r="C46" s="352"/>
      <c r="D46" s="119"/>
      <c r="E46" s="155"/>
      <c r="F46" s="378"/>
      <c r="G46" s="119"/>
      <c r="H46" s="119"/>
      <c r="I46" s="119"/>
      <c r="J46" s="119"/>
      <c r="K46" s="119"/>
      <c r="L46" s="119"/>
      <c r="M46" s="119"/>
      <c r="N46" s="119"/>
      <c r="O46" s="119"/>
      <c r="P46" s="119"/>
    </row>
    <row r="47" spans="2:17" x14ac:dyDescent="0.2">
      <c r="B47" s="379"/>
      <c r="C47" s="352"/>
      <c r="D47" s="119"/>
      <c r="E47" s="155"/>
      <c r="F47" s="378"/>
      <c r="G47" s="119"/>
      <c r="H47" s="119"/>
      <c r="I47" s="119"/>
      <c r="J47" s="119"/>
      <c r="K47" s="119"/>
      <c r="L47" s="119"/>
      <c r="M47" s="119"/>
      <c r="N47" s="119"/>
      <c r="O47" s="119"/>
      <c r="P47" s="119"/>
    </row>
    <row r="48" spans="2:17" x14ac:dyDescent="0.2">
      <c r="B48" s="379"/>
      <c r="C48" s="352"/>
      <c r="D48" s="119"/>
      <c r="E48" s="155"/>
      <c r="F48" s="378"/>
      <c r="G48" s="119"/>
      <c r="H48" s="119"/>
      <c r="I48" s="119"/>
      <c r="J48" s="119"/>
      <c r="K48" s="119"/>
      <c r="L48" s="119"/>
      <c r="M48" s="119"/>
      <c r="N48" s="119"/>
      <c r="O48" s="119"/>
      <c r="P48" s="119"/>
    </row>
    <row r="49" spans="2:16" x14ac:dyDescent="0.2">
      <c r="B49" s="379"/>
      <c r="C49" s="352"/>
      <c r="D49" s="119"/>
      <c r="E49" s="155"/>
      <c r="F49" s="378"/>
      <c r="G49" s="119"/>
      <c r="H49" s="119"/>
      <c r="I49" s="119"/>
      <c r="J49" s="119"/>
      <c r="K49" s="119"/>
      <c r="L49" s="119"/>
      <c r="M49" s="119"/>
      <c r="N49" s="119"/>
      <c r="O49" s="119"/>
      <c r="P49" s="119"/>
    </row>
    <row r="50" spans="2:16" x14ac:dyDescent="0.2">
      <c r="B50" s="379"/>
      <c r="C50" s="352"/>
      <c r="D50" s="119"/>
      <c r="E50" s="155"/>
      <c r="F50" s="378"/>
      <c r="G50" s="119"/>
      <c r="H50" s="119"/>
      <c r="I50" s="119"/>
      <c r="J50" s="119"/>
      <c r="K50" s="119"/>
      <c r="L50" s="119"/>
      <c r="M50" s="119"/>
      <c r="N50" s="119"/>
      <c r="O50" s="119"/>
      <c r="P50" s="119"/>
    </row>
    <row r="51" spans="2:16" x14ac:dyDescent="0.2">
      <c r="B51" s="379"/>
      <c r="C51" s="352"/>
      <c r="D51" s="119"/>
      <c r="E51" s="155"/>
      <c r="F51" s="378"/>
      <c r="G51" s="119"/>
      <c r="H51" s="119"/>
      <c r="I51" s="119"/>
      <c r="J51" s="119"/>
      <c r="K51" s="119"/>
      <c r="L51" s="119"/>
      <c r="M51" s="119"/>
      <c r="N51" s="119"/>
      <c r="O51" s="119"/>
      <c r="P51" s="119"/>
    </row>
    <row r="52" spans="2:16" x14ac:dyDescent="0.2">
      <c r="B52" s="380"/>
      <c r="C52" s="352"/>
      <c r="D52" s="119"/>
      <c r="E52" s="155"/>
      <c r="F52" s="378"/>
      <c r="G52" s="119"/>
      <c r="H52" s="119"/>
      <c r="I52" s="119"/>
      <c r="J52" s="119"/>
      <c r="K52" s="119"/>
      <c r="L52" s="119"/>
      <c r="M52" s="119"/>
      <c r="N52" s="119"/>
      <c r="O52" s="119"/>
      <c r="P52" s="119"/>
    </row>
    <row r="53" spans="2:16" x14ac:dyDescent="0.2">
      <c r="B53" s="380"/>
      <c r="C53" s="352"/>
      <c r="D53" s="119"/>
      <c r="E53" s="155"/>
      <c r="F53" s="378"/>
      <c r="G53" s="119"/>
      <c r="H53" s="119"/>
      <c r="I53" s="119"/>
      <c r="J53" s="119"/>
      <c r="K53" s="119"/>
      <c r="L53" s="119"/>
      <c r="M53" s="119"/>
      <c r="N53" s="119"/>
      <c r="O53" s="119"/>
      <c r="P53" s="119"/>
    </row>
    <row r="54" spans="2:16" x14ac:dyDescent="0.2">
      <c r="B54" s="379"/>
      <c r="C54" s="352"/>
      <c r="D54" s="119"/>
      <c r="E54" s="155"/>
      <c r="F54" s="378"/>
      <c r="G54" s="119"/>
      <c r="H54" s="119"/>
      <c r="I54" s="119"/>
      <c r="J54" s="119"/>
      <c r="K54" s="119"/>
      <c r="L54" s="119"/>
      <c r="M54" s="119"/>
      <c r="N54" s="119"/>
      <c r="O54" s="119"/>
      <c r="P54" s="119"/>
    </row>
    <row r="55" spans="2:16" x14ac:dyDescent="0.2">
      <c r="B55" s="379"/>
      <c r="C55" s="352"/>
      <c r="D55" s="119"/>
      <c r="E55" s="155"/>
      <c r="F55" s="378"/>
      <c r="G55" s="119"/>
      <c r="H55" s="119"/>
      <c r="I55" s="119"/>
      <c r="J55" s="119"/>
      <c r="K55" s="119"/>
      <c r="L55" s="119"/>
      <c r="M55" s="119"/>
      <c r="N55" s="119"/>
      <c r="O55" s="119"/>
      <c r="P55" s="119"/>
    </row>
    <row r="56" spans="2:16" x14ac:dyDescent="0.2">
      <c r="B56" s="379"/>
      <c r="C56" s="352"/>
      <c r="D56" s="119"/>
      <c r="E56" s="155"/>
      <c r="F56" s="378"/>
      <c r="G56" s="119"/>
      <c r="H56" s="119"/>
      <c r="I56" s="119"/>
      <c r="J56" s="119"/>
      <c r="K56" s="119"/>
      <c r="L56" s="119"/>
      <c r="M56" s="119"/>
      <c r="N56" s="119"/>
      <c r="O56" s="119"/>
      <c r="P56" s="119"/>
    </row>
    <row r="57" spans="2:16" x14ac:dyDescent="0.2">
      <c r="B57" s="379"/>
      <c r="C57" s="352"/>
      <c r="D57" s="119"/>
      <c r="E57" s="155"/>
      <c r="F57" s="378"/>
      <c r="G57" s="119"/>
      <c r="H57" s="119"/>
      <c r="I57" s="119"/>
      <c r="J57" s="119"/>
      <c r="K57" s="119"/>
      <c r="L57" s="119"/>
      <c r="M57" s="119"/>
      <c r="N57" s="119"/>
      <c r="O57" s="119"/>
      <c r="P57" s="119"/>
    </row>
    <row r="58" spans="2:16" x14ac:dyDescent="0.2">
      <c r="B58" s="379"/>
      <c r="C58" s="352"/>
      <c r="D58" s="119"/>
      <c r="E58" s="155"/>
      <c r="F58" s="378"/>
      <c r="G58" s="119"/>
      <c r="H58" s="119"/>
      <c r="I58" s="119"/>
      <c r="J58" s="119"/>
      <c r="K58" s="119"/>
      <c r="L58" s="119"/>
      <c r="M58" s="119"/>
      <c r="N58" s="119"/>
      <c r="O58" s="119"/>
      <c r="P58" s="119"/>
    </row>
    <row r="59" spans="2:16" x14ac:dyDescent="0.2">
      <c r="B59" s="379"/>
      <c r="C59" s="352"/>
      <c r="D59" s="119"/>
      <c r="E59" s="155"/>
      <c r="F59" s="378"/>
      <c r="G59" s="119"/>
      <c r="H59" s="119"/>
      <c r="I59" s="119"/>
      <c r="J59" s="119"/>
      <c r="K59" s="119"/>
      <c r="L59" s="119"/>
      <c r="M59" s="119"/>
      <c r="N59" s="119"/>
      <c r="O59" s="119"/>
      <c r="P59" s="119"/>
    </row>
    <row r="60" spans="2:16" x14ac:dyDescent="0.2">
      <c r="B60" s="379"/>
      <c r="C60" s="352"/>
      <c r="D60" s="119"/>
      <c r="E60" s="155"/>
      <c r="F60" s="378"/>
      <c r="G60" s="119"/>
      <c r="H60" s="119"/>
      <c r="I60" s="119"/>
      <c r="J60" s="119"/>
      <c r="K60" s="119"/>
      <c r="L60" s="119"/>
      <c r="M60" s="119"/>
      <c r="N60" s="119"/>
      <c r="O60" s="119"/>
      <c r="P60" s="119"/>
    </row>
    <row r="61" spans="2:16" x14ac:dyDescent="0.2">
      <c r="B61" s="379"/>
      <c r="C61" s="352"/>
      <c r="D61" s="119"/>
      <c r="E61" s="155"/>
      <c r="F61" s="378"/>
      <c r="G61" s="119"/>
      <c r="H61" s="119"/>
      <c r="I61" s="119"/>
      <c r="J61" s="119"/>
      <c r="K61" s="119"/>
      <c r="L61" s="119"/>
      <c r="M61" s="119"/>
      <c r="N61" s="119"/>
      <c r="O61" s="119"/>
      <c r="P61" s="119"/>
    </row>
    <row r="62" spans="2:16" x14ac:dyDescent="0.2">
      <c r="B62" s="379"/>
      <c r="C62" s="352"/>
      <c r="D62" s="119"/>
      <c r="E62" s="155"/>
      <c r="F62" s="378"/>
      <c r="G62" s="119"/>
      <c r="H62" s="119"/>
      <c r="I62" s="119"/>
      <c r="J62" s="119"/>
      <c r="K62" s="119"/>
      <c r="L62" s="119"/>
      <c r="M62" s="119"/>
      <c r="N62" s="119"/>
      <c r="O62" s="119"/>
      <c r="P62" s="119"/>
    </row>
    <row r="63" spans="2:16" x14ac:dyDescent="0.2">
      <c r="B63" s="379"/>
      <c r="C63" s="352"/>
      <c r="D63" s="119"/>
      <c r="E63" s="155"/>
      <c r="F63" s="378"/>
      <c r="G63" s="119"/>
      <c r="H63" s="119"/>
      <c r="I63" s="119"/>
      <c r="J63" s="119"/>
      <c r="K63" s="119"/>
      <c r="L63" s="119"/>
      <c r="M63" s="119"/>
      <c r="N63" s="119"/>
      <c r="O63" s="119"/>
      <c r="P63" s="119"/>
    </row>
    <row r="64" spans="2:16" x14ac:dyDescent="0.2">
      <c r="B64" s="379"/>
      <c r="C64" s="352"/>
      <c r="D64" s="119"/>
      <c r="E64" s="155"/>
      <c r="F64" s="378"/>
      <c r="G64" s="119"/>
      <c r="H64" s="119"/>
      <c r="I64" s="119"/>
      <c r="J64" s="119"/>
      <c r="K64" s="119"/>
      <c r="L64" s="119"/>
      <c r="M64" s="119"/>
      <c r="N64" s="119"/>
      <c r="O64" s="119"/>
      <c r="P64" s="119"/>
    </row>
    <row r="65" spans="2:16" x14ac:dyDescent="0.2">
      <c r="B65" s="380"/>
      <c r="C65" s="352"/>
      <c r="D65" s="119"/>
      <c r="E65" s="155"/>
      <c r="F65" s="378"/>
      <c r="G65" s="119"/>
      <c r="H65" s="119"/>
      <c r="I65" s="119"/>
      <c r="J65" s="119"/>
      <c r="K65" s="119"/>
      <c r="L65" s="119"/>
      <c r="M65" s="119"/>
      <c r="N65" s="119"/>
      <c r="O65" s="119"/>
      <c r="P65" s="119"/>
    </row>
    <row r="66" spans="2:16" x14ac:dyDescent="0.2">
      <c r="B66" s="380"/>
      <c r="C66" s="352"/>
      <c r="D66" s="119"/>
      <c r="E66" s="155"/>
      <c r="F66" s="378"/>
      <c r="G66" s="119"/>
      <c r="H66" s="119"/>
      <c r="I66" s="119"/>
      <c r="J66" s="119"/>
      <c r="K66" s="119"/>
      <c r="L66" s="119"/>
      <c r="M66" s="119"/>
      <c r="N66" s="119"/>
      <c r="O66" s="119"/>
      <c r="P66" s="119"/>
    </row>
    <row r="67" spans="2:16" x14ac:dyDescent="0.2">
      <c r="B67" s="380"/>
      <c r="C67" s="352"/>
      <c r="D67" s="119"/>
      <c r="E67" s="155"/>
      <c r="F67" s="378"/>
      <c r="G67" s="119"/>
      <c r="H67" s="119"/>
      <c r="I67" s="119"/>
      <c r="J67" s="119"/>
      <c r="K67" s="119"/>
      <c r="L67" s="119"/>
      <c r="M67" s="119"/>
      <c r="N67" s="119"/>
      <c r="O67" s="119"/>
      <c r="P67" s="119"/>
    </row>
    <row r="68" spans="2:16" x14ac:dyDescent="0.2">
      <c r="B68" s="380"/>
      <c r="C68" s="352"/>
      <c r="D68" s="119"/>
      <c r="E68" s="155"/>
      <c r="F68" s="378"/>
      <c r="G68" s="119"/>
      <c r="H68" s="119"/>
      <c r="I68" s="119"/>
      <c r="J68" s="119"/>
      <c r="K68" s="119"/>
      <c r="L68" s="119"/>
      <c r="M68" s="119"/>
      <c r="N68" s="119"/>
      <c r="O68" s="119"/>
      <c r="P68" s="119"/>
    </row>
    <row r="69" spans="2:16" x14ac:dyDescent="0.2">
      <c r="B69" s="380"/>
      <c r="C69" s="352"/>
      <c r="D69" s="119"/>
      <c r="E69" s="155"/>
      <c r="F69" s="378"/>
      <c r="G69" s="119"/>
      <c r="H69" s="119"/>
      <c r="I69" s="119"/>
      <c r="J69" s="119"/>
      <c r="K69" s="119"/>
      <c r="L69" s="119"/>
      <c r="M69" s="119"/>
      <c r="N69" s="119"/>
      <c r="O69" s="119"/>
      <c r="P69" s="119"/>
    </row>
    <row r="70" spans="2:16" x14ac:dyDescent="0.2">
      <c r="B70" s="380"/>
      <c r="C70" s="352"/>
      <c r="D70" s="119"/>
      <c r="E70" s="155"/>
      <c r="F70" s="378"/>
      <c r="G70" s="119"/>
      <c r="H70" s="119"/>
      <c r="I70" s="119"/>
      <c r="J70" s="119"/>
      <c r="K70" s="119"/>
      <c r="L70" s="119"/>
      <c r="M70" s="119"/>
      <c r="N70" s="119"/>
      <c r="O70" s="119"/>
      <c r="P70" s="119"/>
    </row>
    <row r="71" spans="2:16" x14ac:dyDescent="0.2">
      <c r="B71" s="380"/>
      <c r="C71" s="352"/>
      <c r="D71" s="119"/>
      <c r="E71" s="155"/>
      <c r="F71" s="378"/>
      <c r="G71" s="119"/>
      <c r="H71" s="119"/>
      <c r="I71" s="119"/>
      <c r="J71" s="119"/>
      <c r="K71" s="119"/>
      <c r="L71" s="119"/>
      <c r="M71" s="119"/>
      <c r="N71" s="119"/>
      <c r="O71" s="119"/>
      <c r="P71" s="119"/>
    </row>
    <row r="72" spans="2:16" x14ac:dyDescent="0.2">
      <c r="B72" s="380"/>
      <c r="C72" s="352"/>
      <c r="D72" s="119"/>
      <c r="E72" s="155"/>
      <c r="F72" s="378"/>
      <c r="G72" s="119"/>
      <c r="H72" s="119"/>
      <c r="I72" s="119"/>
      <c r="J72" s="119"/>
      <c r="K72" s="119"/>
      <c r="L72" s="119"/>
      <c r="M72" s="119"/>
      <c r="N72" s="119"/>
      <c r="O72" s="119"/>
      <c r="P72" s="119"/>
    </row>
    <row r="73" spans="2:16" x14ac:dyDescent="0.2">
      <c r="B73" s="380"/>
      <c r="C73" s="352"/>
      <c r="D73" s="119"/>
      <c r="E73" s="155"/>
      <c r="F73" s="378"/>
      <c r="G73" s="119"/>
      <c r="H73" s="119"/>
      <c r="I73" s="119"/>
      <c r="J73" s="119"/>
      <c r="K73" s="119"/>
      <c r="L73" s="119"/>
      <c r="M73" s="119"/>
      <c r="N73" s="119"/>
      <c r="O73" s="119"/>
      <c r="P73" s="119"/>
    </row>
    <row r="74" spans="2:16" x14ac:dyDescent="0.2">
      <c r="B74" s="380"/>
      <c r="C74" s="352"/>
      <c r="D74" s="119"/>
      <c r="E74" s="155"/>
      <c r="F74" s="378"/>
      <c r="G74" s="119"/>
      <c r="H74" s="119"/>
      <c r="I74" s="119"/>
      <c r="J74" s="119"/>
      <c r="K74" s="119"/>
      <c r="L74" s="119"/>
      <c r="M74" s="119"/>
      <c r="N74" s="119"/>
      <c r="O74" s="119"/>
      <c r="P74" s="119"/>
    </row>
    <row r="75" spans="2:16" x14ac:dyDescent="0.2">
      <c r="B75" s="119"/>
      <c r="C75" s="352"/>
      <c r="D75" s="119"/>
      <c r="E75" s="155"/>
      <c r="F75" s="352"/>
      <c r="G75" s="119"/>
      <c r="H75" s="119"/>
      <c r="I75" s="119"/>
      <c r="J75" s="119"/>
      <c r="K75" s="119"/>
      <c r="L75" s="119"/>
      <c r="M75" s="119"/>
      <c r="N75" s="119"/>
      <c r="O75" s="119"/>
      <c r="P75" s="119"/>
    </row>
  </sheetData>
  <phoneticPr fontId="6" type="noConversion"/>
  <pageMargins left="0.59055118110236227" right="0.27559055118110237" top="0.43307086614173229" bottom="0" header="0.23622047244094491" footer="0.27559055118110237"/>
  <pageSetup paperSize="9" orientation="landscape" verticalDpi="300" r:id="rId1"/>
  <headerFooter alignWithMargins="0">
    <oddHeader>&amp;R&amp;P. strana</oddHeader>
    <oddFooter>&amp;LV Jilemnici 12.2.2018&amp;RIng. Miroslava Kynčlová
vedoucí finančního odboru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U167"/>
  <sheetViews>
    <sheetView zoomScaleNormal="100" workbookViewId="0">
      <pane xSplit="5" ySplit="3" topLeftCell="F116" activePane="bottomRight" state="frozen"/>
      <selection pane="topRight" activeCell="F1" sqref="F1"/>
      <selection pane="bottomLeft" activeCell="A4" sqref="A4"/>
      <selection pane="bottomRight" activeCell="Y136" sqref="Y136"/>
    </sheetView>
  </sheetViews>
  <sheetFormatPr defaultColWidth="7.85546875" defaultRowHeight="12.75" x14ac:dyDescent="0.2"/>
  <cols>
    <col min="1" max="1" width="4" style="97" customWidth="1"/>
    <col min="2" max="2" width="4.42578125" style="97" customWidth="1"/>
    <col min="3" max="4" width="5.28515625" style="97" customWidth="1"/>
    <col min="5" max="5" width="27.85546875" style="97" customWidth="1"/>
    <col min="6" max="6" width="7.85546875" style="115" customWidth="1"/>
    <col min="7" max="7" width="6.28515625" style="115" customWidth="1"/>
    <col min="8" max="8" width="9" style="154" customWidth="1"/>
    <col min="9" max="9" width="9" style="115" hidden="1" customWidth="1"/>
    <col min="10" max="10" width="6" style="97" hidden="1" customWidth="1"/>
    <col min="11" max="11" width="8.140625" style="115" hidden="1" customWidth="1"/>
    <col min="12" max="12" width="5.7109375" style="97" hidden="1" customWidth="1"/>
    <col min="13" max="13" width="7.28515625" style="115" hidden="1" customWidth="1"/>
    <col min="14" max="14" width="7.28515625" style="97" hidden="1" customWidth="1"/>
    <col min="15" max="15" width="8.85546875" style="115" customWidth="1"/>
    <col min="16" max="16" width="6.28515625" style="97" customWidth="1"/>
    <col min="17" max="17" width="8.140625" style="191" customWidth="1"/>
    <col min="18" max="18" width="17.85546875" style="269" bestFit="1" customWidth="1"/>
    <col min="19" max="19" width="7.7109375" style="115" customWidth="1"/>
    <col min="20" max="20" width="5.5703125" style="97" customWidth="1"/>
    <col min="21" max="21" width="6.42578125" style="97" customWidth="1"/>
    <col min="22" max="16384" width="7.85546875" style="97"/>
  </cols>
  <sheetData>
    <row r="1" spans="1:21" ht="18" x14ac:dyDescent="0.25">
      <c r="A1" s="107" t="s">
        <v>487</v>
      </c>
      <c r="B1" s="23"/>
      <c r="C1" s="108"/>
      <c r="D1" s="23"/>
      <c r="E1" s="23"/>
      <c r="F1" s="159"/>
      <c r="G1" s="159"/>
      <c r="H1" s="151"/>
      <c r="I1" s="159"/>
      <c r="J1" s="110"/>
      <c r="K1" s="159"/>
      <c r="L1" s="110"/>
      <c r="M1" s="159"/>
      <c r="N1" s="110"/>
      <c r="O1" s="159"/>
      <c r="P1" s="110"/>
      <c r="Q1" s="109"/>
      <c r="R1" s="250"/>
      <c r="S1" s="159"/>
      <c r="T1" s="110"/>
    </row>
    <row r="2" spans="1:21" x14ac:dyDescent="0.2">
      <c r="A2" s="24"/>
      <c r="B2" s="24"/>
      <c r="C2" s="24"/>
      <c r="D2" s="24"/>
      <c r="E2" s="24"/>
      <c r="F2" s="187" t="s">
        <v>2</v>
      </c>
      <c r="G2" s="187" t="s">
        <v>134</v>
      </c>
      <c r="H2" s="152" t="s">
        <v>100</v>
      </c>
      <c r="I2" s="187" t="s">
        <v>5</v>
      </c>
      <c r="J2" s="25" t="s">
        <v>5</v>
      </c>
      <c r="K2" s="187" t="s">
        <v>5</v>
      </c>
      <c r="L2" s="25" t="s">
        <v>5</v>
      </c>
      <c r="M2" s="187" t="s">
        <v>5</v>
      </c>
      <c r="N2" s="25" t="s">
        <v>5</v>
      </c>
      <c r="O2" s="187" t="s">
        <v>5</v>
      </c>
      <c r="P2" s="25" t="s">
        <v>5</v>
      </c>
      <c r="Q2" s="273" t="s">
        <v>203</v>
      </c>
      <c r="R2" s="251" t="s">
        <v>20</v>
      </c>
      <c r="S2" s="187" t="s">
        <v>2</v>
      </c>
      <c r="T2" s="25" t="s">
        <v>388</v>
      </c>
    </row>
    <row r="3" spans="1:21" ht="13.5" thickBot="1" x14ac:dyDescent="0.25">
      <c r="A3" s="26"/>
      <c r="B3" s="26" t="s">
        <v>21</v>
      </c>
      <c r="C3" s="27" t="s">
        <v>22</v>
      </c>
      <c r="D3" s="26" t="s">
        <v>23</v>
      </c>
      <c r="E3" s="26" t="s">
        <v>24</v>
      </c>
      <c r="F3" s="149">
        <v>2017</v>
      </c>
      <c r="G3" s="149">
        <v>2017</v>
      </c>
      <c r="H3" s="150" t="s">
        <v>95</v>
      </c>
      <c r="I3" s="438" t="s">
        <v>386</v>
      </c>
      <c r="J3" s="27" t="s">
        <v>4</v>
      </c>
      <c r="K3" s="438" t="s">
        <v>389</v>
      </c>
      <c r="L3" s="27" t="s">
        <v>4</v>
      </c>
      <c r="M3" s="438" t="s">
        <v>390</v>
      </c>
      <c r="N3" s="27" t="s">
        <v>4</v>
      </c>
      <c r="O3" s="438" t="s">
        <v>391</v>
      </c>
      <c r="P3" s="27" t="s">
        <v>4</v>
      </c>
      <c r="Q3" s="190" t="s">
        <v>197</v>
      </c>
      <c r="R3" s="28" t="s">
        <v>107</v>
      </c>
      <c r="S3" s="149" t="s">
        <v>387</v>
      </c>
      <c r="T3" s="28"/>
      <c r="U3" s="383"/>
    </row>
    <row r="4" spans="1:21" x14ac:dyDescent="0.2">
      <c r="A4" s="112" t="s">
        <v>25</v>
      </c>
      <c r="B4" s="79"/>
      <c r="C4" s="112"/>
      <c r="D4" s="79"/>
      <c r="E4" s="112" t="s">
        <v>26</v>
      </c>
      <c r="F4" s="78"/>
      <c r="G4" s="78"/>
      <c r="H4" s="153"/>
      <c r="I4" s="78"/>
      <c r="J4" s="30"/>
      <c r="K4" s="78"/>
      <c r="L4" s="30"/>
      <c r="M4" s="78"/>
      <c r="N4" s="30"/>
      <c r="O4" s="78"/>
      <c r="P4" s="30"/>
      <c r="Q4" s="113"/>
      <c r="R4" s="106"/>
      <c r="S4" s="78"/>
      <c r="T4" s="163"/>
      <c r="U4" s="100"/>
    </row>
    <row r="5" spans="1:21" x14ac:dyDescent="0.2">
      <c r="A5" s="98" t="s">
        <v>27</v>
      </c>
      <c r="B5" s="32"/>
      <c r="C5" s="98"/>
      <c r="D5" s="32"/>
      <c r="E5" s="32"/>
      <c r="F5" s="72">
        <f>SUM(F6:F13)</f>
        <v>63100</v>
      </c>
      <c r="G5" s="72">
        <f>SUM(G6:G13)</f>
        <v>0</v>
      </c>
      <c r="H5" s="72">
        <f>SUM(H6:H13)</f>
        <v>63100</v>
      </c>
      <c r="I5" s="72">
        <f>SUM(I6:I13)</f>
        <v>18838.488570000001</v>
      </c>
      <c r="J5" s="219">
        <f t="shared" ref="J5:J13" si="0">I5/$H5*100</f>
        <v>29.854973961965136</v>
      </c>
      <c r="K5" s="72">
        <f>SUM(K6:K13)</f>
        <v>34304.776590000001</v>
      </c>
      <c r="L5" s="219">
        <f t="shared" ref="L5:L13" si="1">K5/$H5*100</f>
        <v>54.365731521394608</v>
      </c>
      <c r="M5" s="72">
        <f>SUM(M6:M13)</f>
        <v>52054.162519999998</v>
      </c>
      <c r="N5" s="219">
        <f t="shared" ref="N5:N13" si="2">M5/$H5*100</f>
        <v>82.494710808240896</v>
      </c>
      <c r="O5" s="72">
        <f>SUM(O6:O13)</f>
        <v>70010.378209999995</v>
      </c>
      <c r="P5" s="219">
        <f t="shared" ref="P5:P13" si="3">O5/$H5*100</f>
        <v>110.95147101426306</v>
      </c>
      <c r="Q5" s="356">
        <f>SUM(Q6:Q13)</f>
        <v>6910.3782099999989</v>
      </c>
      <c r="R5" s="511"/>
      <c r="S5" s="72">
        <f>SUM(S6:S13)</f>
        <v>74036</v>
      </c>
      <c r="T5" s="164">
        <f t="shared" ref="T5:T11" si="4">S5/F5</f>
        <v>1.1733122028526148</v>
      </c>
      <c r="U5" s="435"/>
    </row>
    <row r="6" spans="1:21" x14ac:dyDescent="0.2">
      <c r="A6" s="111" t="s">
        <v>28</v>
      </c>
      <c r="B6" s="29">
        <v>1111</v>
      </c>
      <c r="C6" s="111"/>
      <c r="D6" s="114"/>
      <c r="E6" s="29" t="s">
        <v>112</v>
      </c>
      <c r="F6" s="71">
        <v>14000</v>
      </c>
      <c r="G6" s="71"/>
      <c r="H6" s="71">
        <f t="shared" ref="H6:H13" si="5">SUM(F6:G6)</f>
        <v>14000</v>
      </c>
      <c r="I6" s="71">
        <v>3731.8241600000001</v>
      </c>
      <c r="J6" s="34">
        <f t="shared" si="0"/>
        <v>26.655886857142857</v>
      </c>
      <c r="K6" s="71">
        <v>7254.7198399999997</v>
      </c>
      <c r="L6" s="34">
        <f t="shared" si="1"/>
        <v>51.81942742857143</v>
      </c>
      <c r="M6" s="71">
        <v>11249.32172</v>
      </c>
      <c r="N6" s="34">
        <f t="shared" si="2"/>
        <v>80.352298000000005</v>
      </c>
      <c r="O6" s="71">
        <v>15531.365</v>
      </c>
      <c r="P6" s="34">
        <f t="shared" si="3"/>
        <v>110.93832142857143</v>
      </c>
      <c r="Q6" s="274">
        <f>O6-H6</f>
        <v>1531.3649999999998</v>
      </c>
      <c r="R6" s="34" t="s">
        <v>117</v>
      </c>
      <c r="S6" s="71">
        <f>15500+550</f>
        <v>16050</v>
      </c>
      <c r="T6" s="165">
        <f t="shared" si="4"/>
        <v>1.1464285714285714</v>
      </c>
      <c r="U6" s="436"/>
    </row>
    <row r="7" spans="1:21" x14ac:dyDescent="0.2">
      <c r="A7" s="111"/>
      <c r="B7" s="29">
        <v>1112</v>
      </c>
      <c r="C7" s="111"/>
      <c r="D7" s="111"/>
      <c r="E7" s="29" t="s">
        <v>211</v>
      </c>
      <c r="F7" s="71">
        <v>300</v>
      </c>
      <c r="G7" s="71"/>
      <c r="H7" s="71">
        <f t="shared" si="5"/>
        <v>300</v>
      </c>
      <c r="I7" s="71">
        <v>98.544759999999997</v>
      </c>
      <c r="J7" s="34">
        <f t="shared" si="0"/>
        <v>32.848253333333332</v>
      </c>
      <c r="K7" s="71">
        <v>98.544759999999997</v>
      </c>
      <c r="L7" s="34">
        <f t="shared" si="1"/>
        <v>32.848253333333332</v>
      </c>
      <c r="M7" s="71">
        <v>232.17192</v>
      </c>
      <c r="N7" s="34">
        <f t="shared" si="2"/>
        <v>77.390640000000005</v>
      </c>
      <c r="O7" s="71">
        <v>422.91852</v>
      </c>
      <c r="P7" s="34">
        <f t="shared" si="3"/>
        <v>140.97284000000002</v>
      </c>
      <c r="Q7" s="274">
        <f t="shared" ref="Q7:Q13" si="6">O7-H7</f>
        <v>122.91852</v>
      </c>
      <c r="R7" s="34" t="s">
        <v>117</v>
      </c>
      <c r="S7" s="71">
        <f>450+50</f>
        <v>500</v>
      </c>
      <c r="T7" s="165">
        <f t="shared" si="4"/>
        <v>1.6666666666666667</v>
      </c>
      <c r="U7" s="436"/>
    </row>
    <row r="8" spans="1:21" x14ac:dyDescent="0.2">
      <c r="A8" s="111"/>
      <c r="B8" s="29">
        <v>1113</v>
      </c>
      <c r="C8" s="111"/>
      <c r="D8" s="111"/>
      <c r="E8" s="29" t="s">
        <v>114</v>
      </c>
      <c r="F8" s="71">
        <v>1400</v>
      </c>
      <c r="G8" s="71"/>
      <c r="H8" s="71">
        <f t="shared" si="5"/>
        <v>1400</v>
      </c>
      <c r="I8" s="71">
        <v>336.42115999999999</v>
      </c>
      <c r="J8" s="34">
        <f t="shared" si="0"/>
        <v>24.030082857142858</v>
      </c>
      <c r="K8" s="71">
        <v>659.36009999999999</v>
      </c>
      <c r="L8" s="34">
        <f t="shared" si="1"/>
        <v>47.097149999999999</v>
      </c>
      <c r="M8" s="71">
        <v>1112.56665</v>
      </c>
      <c r="N8" s="34">
        <f t="shared" si="2"/>
        <v>79.469046428571431</v>
      </c>
      <c r="O8" s="71">
        <v>1474.28802</v>
      </c>
      <c r="P8" s="34">
        <f t="shared" si="3"/>
        <v>105.30628714285714</v>
      </c>
      <c r="Q8" s="274">
        <f t="shared" si="6"/>
        <v>74.28801999999996</v>
      </c>
      <c r="R8" s="34" t="s">
        <v>117</v>
      </c>
      <c r="S8" s="71">
        <v>1450</v>
      </c>
      <c r="T8" s="165">
        <f t="shared" si="4"/>
        <v>1.0357142857142858</v>
      </c>
      <c r="U8" s="436"/>
    </row>
    <row r="9" spans="1:21" x14ac:dyDescent="0.2">
      <c r="A9" s="111"/>
      <c r="B9" s="29">
        <v>1121</v>
      </c>
      <c r="C9" s="111"/>
      <c r="D9" s="111"/>
      <c r="E9" s="29" t="s">
        <v>115</v>
      </c>
      <c r="F9" s="71">
        <v>14200</v>
      </c>
      <c r="G9" s="71"/>
      <c r="H9" s="71">
        <f t="shared" si="5"/>
        <v>14200</v>
      </c>
      <c r="I9" s="71">
        <v>3259.8951699999998</v>
      </c>
      <c r="J9" s="34">
        <f t="shared" si="0"/>
        <v>22.957008239436618</v>
      </c>
      <c r="K9" s="71">
        <v>7001.9286599999996</v>
      </c>
      <c r="L9" s="34">
        <f t="shared" si="1"/>
        <v>49.309356760563375</v>
      </c>
      <c r="M9" s="71">
        <v>11945.393550000001</v>
      </c>
      <c r="N9" s="34">
        <f t="shared" si="2"/>
        <v>84.122489788732395</v>
      </c>
      <c r="O9" s="71">
        <v>15696.43498</v>
      </c>
      <c r="P9" s="34">
        <f t="shared" si="3"/>
        <v>110.53827450704226</v>
      </c>
      <c r="Q9" s="274">
        <f t="shared" si="6"/>
        <v>1496.43498</v>
      </c>
      <c r="R9" s="34" t="s">
        <v>117</v>
      </c>
      <c r="S9" s="71">
        <f>15600+400</f>
        <v>16000</v>
      </c>
      <c r="T9" s="165">
        <f t="shared" si="4"/>
        <v>1.1267605633802817</v>
      </c>
      <c r="U9" s="436"/>
    </row>
    <row r="10" spans="1:21" x14ac:dyDescent="0.2">
      <c r="A10" s="111"/>
      <c r="B10" s="29">
        <v>1211</v>
      </c>
      <c r="C10" s="111"/>
      <c r="D10" s="111"/>
      <c r="E10" s="29" t="s">
        <v>113</v>
      </c>
      <c r="F10" s="71">
        <v>28500</v>
      </c>
      <c r="G10" s="71"/>
      <c r="H10" s="71">
        <f t="shared" si="5"/>
        <v>28500</v>
      </c>
      <c r="I10" s="71">
        <v>7764.7421899999999</v>
      </c>
      <c r="J10" s="34">
        <f t="shared" si="0"/>
        <v>27.244709438596495</v>
      </c>
      <c r="K10" s="71">
        <v>15205.84719</v>
      </c>
      <c r="L10" s="34">
        <f t="shared" si="1"/>
        <v>53.353849789473685</v>
      </c>
      <c r="M10" s="71">
        <f>22976.99392+2</f>
        <v>22978.993920000001</v>
      </c>
      <c r="N10" s="34">
        <f t="shared" si="2"/>
        <v>80.628048842105272</v>
      </c>
      <c r="O10" s="71">
        <v>31835.764299999999</v>
      </c>
      <c r="P10" s="34">
        <f t="shared" si="3"/>
        <v>111.70443614035088</v>
      </c>
      <c r="Q10" s="274">
        <f t="shared" si="6"/>
        <v>3335.7642999999989</v>
      </c>
      <c r="R10" s="34" t="s">
        <v>117</v>
      </c>
      <c r="S10" s="71">
        <v>35600</v>
      </c>
      <c r="T10" s="165">
        <f t="shared" si="4"/>
        <v>1.249122807017544</v>
      </c>
      <c r="U10" s="436"/>
    </row>
    <row r="11" spans="1:21" x14ac:dyDescent="0.2">
      <c r="A11" s="111"/>
      <c r="B11" s="29">
        <v>1111</v>
      </c>
      <c r="C11" s="111"/>
      <c r="D11" s="29">
        <v>2</v>
      </c>
      <c r="E11" s="29" t="s">
        <v>126</v>
      </c>
      <c r="F11" s="71">
        <v>1600</v>
      </c>
      <c r="G11" s="71"/>
      <c r="H11" s="71">
        <f>SUM(F11:G11)</f>
        <v>1600</v>
      </c>
      <c r="I11" s="71">
        <v>463.25027</v>
      </c>
      <c r="J11" s="34">
        <f t="shared" si="0"/>
        <v>28.953141875</v>
      </c>
      <c r="K11" s="71">
        <v>900.56518000000005</v>
      </c>
      <c r="L11" s="34">
        <f t="shared" si="1"/>
        <v>56.285323750000003</v>
      </c>
      <c r="M11" s="71">
        <v>1351.9039</v>
      </c>
      <c r="N11" s="34">
        <f t="shared" si="2"/>
        <v>84.493993750000001</v>
      </c>
      <c r="O11" s="71">
        <v>1865.7965300000001</v>
      </c>
      <c r="P11" s="34">
        <f t="shared" si="3"/>
        <v>116.612283125</v>
      </c>
      <c r="Q11" s="274">
        <f t="shared" si="6"/>
        <v>265.79653000000008</v>
      </c>
      <c r="R11" s="252"/>
      <c r="S11" s="71">
        <v>1900</v>
      </c>
      <c r="T11" s="165">
        <f t="shared" si="4"/>
        <v>1.1875</v>
      </c>
      <c r="U11" s="436"/>
    </row>
    <row r="12" spans="1:21" x14ac:dyDescent="0.2">
      <c r="A12" s="111"/>
      <c r="B12" s="29">
        <v>1112</v>
      </c>
      <c r="C12" s="111"/>
      <c r="D12" s="29">
        <v>2</v>
      </c>
      <c r="E12" s="29" t="s">
        <v>210</v>
      </c>
      <c r="F12" s="71">
        <v>0</v>
      </c>
      <c r="G12" s="71"/>
      <c r="H12" s="71">
        <f>SUM(F12:G12)</f>
        <v>0</v>
      </c>
      <c r="I12" s="71">
        <v>85.670860000000005</v>
      </c>
      <c r="J12" s="34"/>
      <c r="K12" s="71">
        <v>85.670860000000005</v>
      </c>
      <c r="L12" s="34"/>
      <c r="M12" s="71">
        <v>85.670860000000005</v>
      </c>
      <c r="N12" s="34"/>
      <c r="O12" s="71">
        <v>85.670860000000005</v>
      </c>
      <c r="P12" s="34"/>
      <c r="Q12" s="274">
        <f t="shared" si="6"/>
        <v>85.670860000000005</v>
      </c>
      <c r="R12" s="493" t="s">
        <v>376</v>
      </c>
      <c r="S12" s="71">
        <v>0</v>
      </c>
      <c r="T12" s="165"/>
      <c r="U12" s="155"/>
    </row>
    <row r="13" spans="1:21" x14ac:dyDescent="0.2">
      <c r="A13" s="111"/>
      <c r="B13" s="29">
        <v>1122</v>
      </c>
      <c r="C13" s="111"/>
      <c r="D13" s="111"/>
      <c r="E13" s="29" t="s">
        <v>116</v>
      </c>
      <c r="F13" s="71">
        <v>3100</v>
      </c>
      <c r="G13" s="71"/>
      <c r="H13" s="71">
        <f t="shared" si="5"/>
        <v>3100</v>
      </c>
      <c r="I13" s="71">
        <v>3098.14</v>
      </c>
      <c r="J13" s="34">
        <f t="shared" si="0"/>
        <v>99.94</v>
      </c>
      <c r="K13" s="71">
        <v>3098.14</v>
      </c>
      <c r="L13" s="34">
        <f t="shared" si="1"/>
        <v>99.94</v>
      </c>
      <c r="M13" s="71">
        <v>3098.14</v>
      </c>
      <c r="N13" s="34">
        <f t="shared" si="2"/>
        <v>99.94</v>
      </c>
      <c r="O13" s="71">
        <v>3098.14</v>
      </c>
      <c r="P13" s="34">
        <f t="shared" si="3"/>
        <v>99.94</v>
      </c>
      <c r="Q13" s="274">
        <f t="shared" si="6"/>
        <v>-1.8600000000001273</v>
      </c>
      <c r="R13" s="114" t="s">
        <v>164</v>
      </c>
      <c r="S13" s="71">
        <v>2536</v>
      </c>
      <c r="T13" s="165">
        <f>S13/F13</f>
        <v>0.8180645161290323</v>
      </c>
      <c r="U13" s="155"/>
    </row>
    <row r="14" spans="1:21" x14ac:dyDescent="0.2">
      <c r="A14" s="98" t="s">
        <v>29</v>
      </c>
      <c r="B14" s="32"/>
      <c r="C14" s="98"/>
      <c r="D14" s="32"/>
      <c r="E14" s="32"/>
      <c r="F14" s="72"/>
      <c r="G14" s="72"/>
      <c r="H14" s="72"/>
      <c r="I14" s="72"/>
      <c r="J14" s="34"/>
      <c r="K14" s="72"/>
      <c r="L14" s="34"/>
      <c r="M14" s="72"/>
      <c r="N14" s="34"/>
      <c r="O14" s="72"/>
      <c r="P14" s="34"/>
      <c r="Q14" s="275"/>
      <c r="R14" s="369"/>
      <c r="S14" s="72"/>
      <c r="T14" s="165"/>
      <c r="U14" s="119"/>
    </row>
    <row r="15" spans="1:21" x14ac:dyDescent="0.2">
      <c r="A15" s="111"/>
      <c r="B15" s="111"/>
      <c r="C15" s="111"/>
      <c r="D15" s="111"/>
      <c r="E15" s="32" t="s">
        <v>157</v>
      </c>
      <c r="F15" s="72">
        <f>SUM(F16:F26)</f>
        <v>5055</v>
      </c>
      <c r="G15" s="72">
        <f>SUM(G16:G26)</f>
        <v>0</v>
      </c>
      <c r="H15" s="72">
        <f>SUM(H16:H26)</f>
        <v>5055</v>
      </c>
      <c r="I15" s="72">
        <f>SUM(I16:I26)</f>
        <v>1345.9599999999998</v>
      </c>
      <c r="J15" s="219">
        <f>I15/$H15*100</f>
        <v>26.626310583580608</v>
      </c>
      <c r="K15" s="72">
        <f>SUM(K16:K26)</f>
        <v>2944.9650000000001</v>
      </c>
      <c r="L15" s="219">
        <f t="shared" ref="L15:L27" si="7">K15/$H15*100</f>
        <v>58.258456973293768</v>
      </c>
      <c r="M15" s="72">
        <f>SUM(M16:M26)</f>
        <v>4115.683</v>
      </c>
      <c r="N15" s="219">
        <f t="shared" ref="N15:N27" si="8">M15/$H15*100</f>
        <v>81.418061325420382</v>
      </c>
      <c r="O15" s="72">
        <f>SUM(O16:O26)</f>
        <v>5214.6900000000005</v>
      </c>
      <c r="P15" s="219">
        <f t="shared" ref="P15:P27" si="9">O15/$H15*100</f>
        <v>103.15905044510387</v>
      </c>
      <c r="Q15" s="356">
        <f>SUM(Q16:Q26)</f>
        <v>159.69000000000005</v>
      </c>
      <c r="R15" s="369"/>
      <c r="S15" s="72">
        <f>SUM(S16:S26)</f>
        <v>4582</v>
      </c>
      <c r="T15" s="164">
        <f t="shared" ref="T15:T25" si="10">S15/F15</f>
        <v>0.90642927794263106</v>
      </c>
      <c r="U15" s="155"/>
    </row>
    <row r="16" spans="1:21" x14ac:dyDescent="0.2">
      <c r="A16" s="111"/>
      <c r="B16" s="29">
        <v>1361</v>
      </c>
      <c r="D16" s="114" t="s">
        <v>145</v>
      </c>
      <c r="E16" s="29" t="s">
        <v>30</v>
      </c>
      <c r="F16" s="71">
        <v>180</v>
      </c>
      <c r="G16" s="71"/>
      <c r="H16" s="71">
        <f t="shared" ref="H16:H24" si="11">SUM(F16:G16)</f>
        <v>180</v>
      </c>
      <c r="I16" s="71">
        <f>3.2+29.29+1+26</f>
        <v>59.49</v>
      </c>
      <c r="J16" s="34">
        <f t="shared" ref="J16:J38" si="12">I16/$H16*100</f>
        <v>33.050000000000004</v>
      </c>
      <c r="K16" s="71">
        <f>5.2+58.12+3+70</f>
        <v>136.32</v>
      </c>
      <c r="L16" s="34">
        <f t="shared" si="7"/>
        <v>75.733333333333334</v>
      </c>
      <c r="M16" s="71">
        <f>8.6+78.72+4+86</f>
        <v>177.32</v>
      </c>
      <c r="N16" s="34">
        <f t="shared" si="8"/>
        <v>98.511111111111106</v>
      </c>
      <c r="O16" s="71">
        <f>10.95+99.97+4+90</f>
        <v>204.92000000000002</v>
      </c>
      <c r="P16" s="34">
        <f t="shared" si="9"/>
        <v>113.84444444444446</v>
      </c>
      <c r="Q16" s="274">
        <f t="shared" ref="Q16:Q26" si="13">O16-H16</f>
        <v>24.920000000000016</v>
      </c>
      <c r="R16" s="253"/>
      <c r="S16" s="71">
        <v>180</v>
      </c>
      <c r="T16" s="165">
        <f t="shared" si="10"/>
        <v>1</v>
      </c>
      <c r="U16" s="119"/>
    </row>
    <row r="17" spans="1:21" x14ac:dyDescent="0.2">
      <c r="A17" s="111"/>
      <c r="B17" s="29">
        <v>1361</v>
      </c>
      <c r="C17" s="111"/>
      <c r="D17" s="29">
        <v>7</v>
      </c>
      <c r="E17" s="29" t="s">
        <v>176</v>
      </c>
      <c r="F17" s="71">
        <f>1100+100</f>
        <v>1200</v>
      </c>
      <c r="G17" s="71"/>
      <c r="H17" s="71">
        <f t="shared" si="11"/>
        <v>1200</v>
      </c>
      <c r="I17" s="71">
        <v>393.98</v>
      </c>
      <c r="J17" s="34">
        <f t="shared" si="12"/>
        <v>32.831666666666671</v>
      </c>
      <c r="K17" s="71">
        <v>758.53499999999997</v>
      </c>
      <c r="L17" s="34">
        <f t="shared" si="7"/>
        <v>63.21125</v>
      </c>
      <c r="M17" s="71">
        <v>936.30499999999995</v>
      </c>
      <c r="N17" s="34">
        <f t="shared" si="8"/>
        <v>78.025416666666658</v>
      </c>
      <c r="O17" s="71">
        <v>1251.9649999999999</v>
      </c>
      <c r="P17" s="34">
        <f t="shared" si="9"/>
        <v>104.33041666666666</v>
      </c>
      <c r="Q17" s="274">
        <f t="shared" si="13"/>
        <v>51.964999999999918</v>
      </c>
      <c r="R17" s="253"/>
      <c r="S17" s="71">
        <v>700</v>
      </c>
      <c r="T17" s="165">
        <f t="shared" si="10"/>
        <v>0.58333333333333337</v>
      </c>
      <c r="U17" s="119"/>
    </row>
    <row r="18" spans="1:21" x14ac:dyDescent="0.2">
      <c r="A18" s="111"/>
      <c r="B18" s="29">
        <v>1361</v>
      </c>
      <c r="C18" s="111"/>
      <c r="D18" s="29">
        <v>10.23</v>
      </c>
      <c r="E18" s="116" t="s">
        <v>178</v>
      </c>
      <c r="F18" s="71">
        <f>55+30</f>
        <v>85</v>
      </c>
      <c r="G18" s="71"/>
      <c r="H18" s="71">
        <f t="shared" si="11"/>
        <v>85</v>
      </c>
      <c r="I18" s="71">
        <f>20+0.4+29.5</f>
        <v>49.9</v>
      </c>
      <c r="J18" s="34">
        <f t="shared" si="12"/>
        <v>58.705882352941174</v>
      </c>
      <c r="K18" s="71">
        <f>29.65+0.4+39.65</f>
        <v>69.699999999999989</v>
      </c>
      <c r="L18" s="34">
        <f t="shared" si="7"/>
        <v>81.999999999999986</v>
      </c>
      <c r="M18" s="71">
        <f>37.35+0.4+66.595</f>
        <v>104.345</v>
      </c>
      <c r="N18" s="34">
        <f t="shared" si="8"/>
        <v>122.75882352941177</v>
      </c>
      <c r="O18" s="71">
        <f>42.625+0.4+77.77</f>
        <v>120.79499999999999</v>
      </c>
      <c r="P18" s="34">
        <f t="shared" si="9"/>
        <v>142.11176470588234</v>
      </c>
      <c r="Q18" s="274">
        <f t="shared" si="13"/>
        <v>35.794999999999987</v>
      </c>
      <c r="R18" s="253"/>
      <c r="S18" s="71">
        <f>60+25</f>
        <v>85</v>
      </c>
      <c r="T18" s="165">
        <f t="shared" si="10"/>
        <v>1</v>
      </c>
    </row>
    <row r="19" spans="1:21" x14ac:dyDescent="0.2">
      <c r="A19" s="111"/>
      <c r="B19" s="29">
        <v>1361</v>
      </c>
      <c r="C19" s="111"/>
      <c r="D19" s="29">
        <v>11</v>
      </c>
      <c r="E19" s="29" t="s">
        <v>31</v>
      </c>
      <c r="F19" s="71">
        <v>230</v>
      </c>
      <c r="G19" s="71"/>
      <c r="H19" s="71">
        <f t="shared" si="11"/>
        <v>230</v>
      </c>
      <c r="I19" s="71">
        <v>47.68</v>
      </c>
      <c r="J19" s="34">
        <f t="shared" si="12"/>
        <v>20.730434782608693</v>
      </c>
      <c r="K19" s="71">
        <v>86.9</v>
      </c>
      <c r="L19" s="34">
        <f t="shared" si="7"/>
        <v>37.782608695652172</v>
      </c>
      <c r="M19" s="71">
        <v>119.06</v>
      </c>
      <c r="N19" s="34">
        <f t="shared" si="8"/>
        <v>51.765217391304354</v>
      </c>
      <c r="O19" s="71">
        <v>157.24</v>
      </c>
      <c r="P19" s="34">
        <f t="shared" si="9"/>
        <v>68.365217391304355</v>
      </c>
      <c r="Q19" s="274">
        <f t="shared" si="13"/>
        <v>-72.759999999999991</v>
      </c>
      <c r="R19" s="253"/>
      <c r="S19" s="71">
        <v>150</v>
      </c>
      <c r="T19" s="165">
        <f t="shared" si="10"/>
        <v>0.65217391304347827</v>
      </c>
    </row>
    <row r="20" spans="1:21" x14ac:dyDescent="0.2">
      <c r="A20" s="111"/>
      <c r="B20" s="29">
        <v>1361</v>
      </c>
      <c r="C20" s="111"/>
      <c r="D20" s="29">
        <v>24</v>
      </c>
      <c r="E20" s="29" t="s">
        <v>179</v>
      </c>
      <c r="F20" s="71">
        <v>30</v>
      </c>
      <c r="G20" s="71"/>
      <c r="H20" s="71">
        <f t="shared" si="11"/>
        <v>30</v>
      </c>
      <c r="I20" s="71">
        <v>4.9000000000000004</v>
      </c>
      <c r="J20" s="34">
        <f t="shared" si="12"/>
        <v>16.333333333333336</v>
      </c>
      <c r="K20" s="71">
        <v>17.899999999999999</v>
      </c>
      <c r="L20" s="34">
        <f t="shared" si="7"/>
        <v>59.666666666666657</v>
      </c>
      <c r="M20" s="71">
        <v>23.4</v>
      </c>
      <c r="N20" s="34">
        <f t="shared" si="8"/>
        <v>77.999999999999986</v>
      </c>
      <c r="O20" s="71">
        <v>26.5</v>
      </c>
      <c r="P20" s="34">
        <f t="shared" si="9"/>
        <v>88.333333333333329</v>
      </c>
      <c r="Q20" s="274">
        <f t="shared" si="13"/>
        <v>-3.5</v>
      </c>
      <c r="R20" s="253"/>
      <c r="S20" s="71">
        <v>30</v>
      </c>
      <c r="T20" s="165">
        <f t="shared" si="10"/>
        <v>1</v>
      </c>
    </row>
    <row r="21" spans="1:21" x14ac:dyDescent="0.2">
      <c r="A21" s="111"/>
      <c r="B21" s="29">
        <v>1361</v>
      </c>
      <c r="C21" s="111"/>
      <c r="D21" s="29">
        <v>26</v>
      </c>
      <c r="E21" s="29" t="s">
        <v>180</v>
      </c>
      <c r="F21" s="71">
        <v>2200</v>
      </c>
      <c r="G21" s="71"/>
      <c r="H21" s="71">
        <f t="shared" si="11"/>
        <v>2200</v>
      </c>
      <c r="I21" s="71">
        <v>509.71</v>
      </c>
      <c r="J21" s="34">
        <f t="shared" si="12"/>
        <v>23.168636363636363</v>
      </c>
      <c r="K21" s="71">
        <v>1139.01</v>
      </c>
      <c r="L21" s="34">
        <f t="shared" si="7"/>
        <v>51.773181818181811</v>
      </c>
      <c r="M21" s="71">
        <v>1721.93</v>
      </c>
      <c r="N21" s="34">
        <f t="shared" si="8"/>
        <v>78.269545454545451</v>
      </c>
      <c r="O21" s="71">
        <v>2258.61</v>
      </c>
      <c r="P21" s="34">
        <f t="shared" si="9"/>
        <v>102.66409090909092</v>
      </c>
      <c r="Q21" s="274">
        <f t="shared" si="13"/>
        <v>58.610000000000127</v>
      </c>
      <c r="R21" s="253"/>
      <c r="S21" s="71">
        <v>2200</v>
      </c>
      <c r="T21" s="165">
        <f t="shared" si="10"/>
        <v>1</v>
      </c>
    </row>
    <row r="22" spans="1:21" x14ac:dyDescent="0.2">
      <c r="A22" s="111"/>
      <c r="B22" s="29">
        <v>1353</v>
      </c>
      <c r="C22" s="111"/>
      <c r="D22" s="29">
        <v>26</v>
      </c>
      <c r="E22" s="29" t="s">
        <v>209</v>
      </c>
      <c r="F22" s="71">
        <v>400</v>
      </c>
      <c r="G22" s="71"/>
      <c r="H22" s="71">
        <f t="shared" si="11"/>
        <v>400</v>
      </c>
      <c r="I22" s="71">
        <v>80.599999999999994</v>
      </c>
      <c r="J22" s="34">
        <f t="shared" si="12"/>
        <v>20.149999999999999</v>
      </c>
      <c r="K22" s="71">
        <v>173.2</v>
      </c>
      <c r="L22" s="34">
        <f t="shared" si="7"/>
        <v>43.3</v>
      </c>
      <c r="M22" s="71">
        <v>271</v>
      </c>
      <c r="N22" s="34">
        <f t="shared" si="8"/>
        <v>67.75</v>
      </c>
      <c r="O22" s="71">
        <v>362</v>
      </c>
      <c r="P22" s="34">
        <f t="shared" si="9"/>
        <v>90.5</v>
      </c>
      <c r="Q22" s="274">
        <f t="shared" si="13"/>
        <v>-38</v>
      </c>
      <c r="R22" s="253"/>
      <c r="S22" s="71">
        <v>400</v>
      </c>
      <c r="T22" s="165">
        <f t="shared" si="10"/>
        <v>1</v>
      </c>
    </row>
    <row r="23" spans="1:21" x14ac:dyDescent="0.2">
      <c r="A23" s="111"/>
      <c r="B23" s="29">
        <v>1361</v>
      </c>
      <c r="C23" s="111"/>
      <c r="D23" s="29">
        <v>32.33</v>
      </c>
      <c r="E23" s="29" t="s">
        <v>141</v>
      </c>
      <c r="F23" s="71">
        <f>600+40</f>
        <v>640</v>
      </c>
      <c r="G23" s="71"/>
      <c r="H23" s="71">
        <f t="shared" si="11"/>
        <v>640</v>
      </c>
      <c r="I23" s="71">
        <f>172.9+10.25</f>
        <v>183.15</v>
      </c>
      <c r="J23" s="34">
        <f t="shared" si="12"/>
        <v>28.617187500000004</v>
      </c>
      <c r="K23" s="71">
        <f>498.9+21.5</f>
        <v>520.4</v>
      </c>
      <c r="L23" s="34">
        <f t="shared" si="7"/>
        <v>81.3125</v>
      </c>
      <c r="M23" s="71">
        <f>690.4+35.7</f>
        <v>726.1</v>
      </c>
      <c r="N23" s="34">
        <f t="shared" si="8"/>
        <v>113.453125</v>
      </c>
      <c r="O23" s="71">
        <f>742.1+43.05</f>
        <v>785.15</v>
      </c>
      <c r="P23" s="34">
        <f t="shared" si="9"/>
        <v>122.6796875</v>
      </c>
      <c r="Q23" s="274">
        <f t="shared" si="13"/>
        <v>145.14999999999998</v>
      </c>
      <c r="R23" s="253"/>
      <c r="S23" s="71">
        <f>700+50</f>
        <v>750</v>
      </c>
      <c r="T23" s="165">
        <f t="shared" si="10"/>
        <v>1.171875</v>
      </c>
    </row>
    <row r="24" spans="1:21" x14ac:dyDescent="0.2">
      <c r="A24" s="111"/>
      <c r="B24" s="29">
        <v>1361</v>
      </c>
      <c r="C24" s="111"/>
      <c r="D24" s="29">
        <v>35</v>
      </c>
      <c r="E24" s="29" t="s">
        <v>253</v>
      </c>
      <c r="F24" s="71">
        <v>75</v>
      </c>
      <c r="G24" s="71"/>
      <c r="H24" s="71">
        <f t="shared" si="11"/>
        <v>75</v>
      </c>
      <c r="I24" s="71">
        <v>16.55</v>
      </c>
      <c r="J24" s="34">
        <f t="shared" si="12"/>
        <v>22.066666666666666</v>
      </c>
      <c r="K24" s="71">
        <v>27</v>
      </c>
      <c r="L24" s="34">
        <f t="shared" si="7"/>
        <v>36</v>
      </c>
      <c r="M24" s="71">
        <v>34.75</v>
      </c>
      <c r="N24" s="34">
        <f t="shared" si="8"/>
        <v>46.333333333333329</v>
      </c>
      <c r="O24" s="71">
        <v>46.68</v>
      </c>
      <c r="P24" s="34">
        <f t="shared" si="9"/>
        <v>62.239999999999995</v>
      </c>
      <c r="Q24" s="274">
        <f t="shared" si="13"/>
        <v>-28.32</v>
      </c>
      <c r="R24" s="253"/>
      <c r="S24" s="71">
        <v>75</v>
      </c>
      <c r="T24" s="165">
        <f t="shared" si="10"/>
        <v>1</v>
      </c>
    </row>
    <row r="25" spans="1:21" x14ac:dyDescent="0.2">
      <c r="A25" s="111"/>
      <c r="B25" s="29">
        <v>1361</v>
      </c>
      <c r="C25" s="111"/>
      <c r="D25" s="29">
        <v>40</v>
      </c>
      <c r="E25" s="29" t="s">
        <v>32</v>
      </c>
      <c r="F25" s="71">
        <v>15</v>
      </c>
      <c r="G25" s="71"/>
      <c r="H25" s="71">
        <f>SUM(F25:G25)</f>
        <v>15</v>
      </c>
      <c r="I25" s="71">
        <v>0</v>
      </c>
      <c r="J25" s="34">
        <f>I25/$H25*100</f>
        <v>0</v>
      </c>
      <c r="K25" s="71">
        <v>0</v>
      </c>
      <c r="L25" s="34">
        <f t="shared" si="7"/>
        <v>0</v>
      </c>
      <c r="M25" s="71">
        <v>0</v>
      </c>
      <c r="N25" s="34">
        <f t="shared" si="8"/>
        <v>0</v>
      </c>
      <c r="O25" s="71">
        <v>0</v>
      </c>
      <c r="P25" s="34">
        <f t="shared" si="9"/>
        <v>0</v>
      </c>
      <c r="Q25" s="274">
        <f t="shared" si="13"/>
        <v>-15</v>
      </c>
      <c r="R25" s="253"/>
      <c r="S25" s="71">
        <v>12</v>
      </c>
      <c r="T25" s="165">
        <f t="shared" si="10"/>
        <v>0.8</v>
      </c>
    </row>
    <row r="26" spans="1:21" x14ac:dyDescent="0.2">
      <c r="A26" s="111"/>
      <c r="B26" s="29">
        <v>1361</v>
      </c>
      <c r="C26" s="111"/>
      <c r="D26" s="114" t="s">
        <v>208</v>
      </c>
      <c r="E26" s="29" t="s">
        <v>103</v>
      </c>
      <c r="F26" s="71"/>
      <c r="G26" s="71"/>
      <c r="H26" s="71">
        <f>SUM(F26:G26)</f>
        <v>0</v>
      </c>
      <c r="I26" s="71">
        <v>0</v>
      </c>
      <c r="J26" s="34"/>
      <c r="K26" s="510">
        <v>16</v>
      </c>
      <c r="L26" s="34"/>
      <c r="M26" s="71">
        <f>0.673+0.8</f>
        <v>1.4730000000000001</v>
      </c>
      <c r="N26" s="34" t="e">
        <f t="shared" si="8"/>
        <v>#DIV/0!</v>
      </c>
      <c r="O26" s="71">
        <v>0.83</v>
      </c>
      <c r="P26" s="34"/>
      <c r="Q26" s="274">
        <f t="shared" si="13"/>
        <v>0.83</v>
      </c>
      <c r="R26" s="253"/>
      <c r="S26" s="71"/>
      <c r="T26" s="165"/>
    </row>
    <row r="27" spans="1:21" x14ac:dyDescent="0.2">
      <c r="A27" s="111"/>
      <c r="B27" s="111"/>
      <c r="C27" s="111"/>
      <c r="D27" s="111"/>
      <c r="E27" s="32" t="s">
        <v>285</v>
      </c>
      <c r="F27" s="72">
        <f>SUM(F28:F30)</f>
        <v>4500</v>
      </c>
      <c r="G27" s="72">
        <f>SUM(G28:G30)</f>
        <v>0</v>
      </c>
      <c r="H27" s="72">
        <f>SUM(H28:H30)</f>
        <v>4500</v>
      </c>
      <c r="I27" s="72">
        <f>SUM(I28:I30)</f>
        <v>173.00184999999999</v>
      </c>
      <c r="J27" s="219">
        <f>I27/$H27*100</f>
        <v>3.8444855555555555</v>
      </c>
      <c r="K27" s="72">
        <f>SUM(K28:K30)</f>
        <v>3080.0770299999999</v>
      </c>
      <c r="L27" s="219">
        <f t="shared" si="7"/>
        <v>68.446156222222214</v>
      </c>
      <c r="M27" s="72">
        <f>SUM(M28:M30)</f>
        <v>4737.2349299999996</v>
      </c>
      <c r="N27" s="219">
        <f t="shared" si="8"/>
        <v>105.27188733333332</v>
      </c>
      <c r="O27" s="72">
        <f>SUM(O28:O30)</f>
        <v>6176.8668200000002</v>
      </c>
      <c r="P27" s="219">
        <f t="shared" si="9"/>
        <v>137.2637071111111</v>
      </c>
      <c r="Q27" s="356">
        <f>SUM(Q28:Q30)</f>
        <v>1676.8668200000004</v>
      </c>
      <c r="R27" s="114"/>
      <c r="S27" s="72">
        <f>SUM(S28:S30)</f>
        <v>5160</v>
      </c>
      <c r="T27" s="164">
        <f>S27/F27</f>
        <v>1.1466666666666667</v>
      </c>
      <c r="U27" s="119"/>
    </row>
    <row r="28" spans="1:21" x14ac:dyDescent="0.2">
      <c r="A28" s="111"/>
      <c r="B28" s="29">
        <v>1332.1333999999999</v>
      </c>
      <c r="C28" s="111"/>
      <c r="D28" s="29">
        <v>23.12</v>
      </c>
      <c r="E28" s="29" t="s">
        <v>111</v>
      </c>
      <c r="F28" s="71"/>
      <c r="G28" s="71"/>
      <c r="H28" s="71">
        <f>SUM(F28:G28)</f>
        <v>0</v>
      </c>
      <c r="I28" s="71">
        <f>75</f>
        <v>75</v>
      </c>
      <c r="J28" s="34"/>
      <c r="K28" s="71">
        <v>75</v>
      </c>
      <c r="L28" s="34"/>
      <c r="M28" s="71">
        <v>80</v>
      </c>
      <c r="N28" s="34"/>
      <c r="O28" s="71">
        <f>0.673+120</f>
        <v>120.673</v>
      </c>
      <c r="P28" s="34"/>
      <c r="Q28" s="274">
        <f t="shared" ref="Q28:Q36" si="14">O28-H28</f>
        <v>120.673</v>
      </c>
      <c r="R28" s="253"/>
      <c r="S28" s="71">
        <v>0</v>
      </c>
      <c r="T28" s="165"/>
    </row>
    <row r="29" spans="1:21" x14ac:dyDescent="0.2">
      <c r="A29" s="111"/>
      <c r="B29" s="29">
        <v>1334</v>
      </c>
      <c r="C29" s="111"/>
      <c r="D29" s="29"/>
      <c r="E29" s="29" t="s">
        <v>481</v>
      </c>
      <c r="F29" s="71"/>
      <c r="G29" s="71"/>
      <c r="H29" s="71"/>
      <c r="I29" s="71"/>
      <c r="J29" s="34"/>
      <c r="K29" s="71"/>
      <c r="L29" s="34"/>
      <c r="M29" s="71"/>
      <c r="N29" s="34"/>
      <c r="O29" s="71"/>
      <c r="P29" s="34"/>
      <c r="Q29" s="274"/>
      <c r="R29" s="253"/>
      <c r="S29" s="71">
        <v>160</v>
      </c>
      <c r="T29" s="165"/>
    </row>
    <row r="30" spans="1:21" x14ac:dyDescent="0.2">
      <c r="A30" s="111"/>
      <c r="B30" s="29" t="s">
        <v>414</v>
      </c>
      <c r="C30" s="111"/>
      <c r="D30" s="29">
        <v>401</v>
      </c>
      <c r="E30" s="29" t="s">
        <v>144</v>
      </c>
      <c r="F30" s="71">
        <v>4500</v>
      </c>
      <c r="G30" s="71"/>
      <c r="H30" s="71">
        <f>SUM(F30:G30)</f>
        <v>4500</v>
      </c>
      <c r="I30" s="71">
        <f>2.27825+95.7236</f>
        <v>98.001850000000005</v>
      </c>
      <c r="J30" s="34">
        <f>I30/$H30*100</f>
        <v>2.177818888888889</v>
      </c>
      <c r="K30" s="71">
        <f>1539.57626+98.58322+1366.91755</f>
        <v>3005.0770299999999</v>
      </c>
      <c r="L30" s="34">
        <f t="shared" ref="L30:L38" si="15">K30/$H30*100</f>
        <v>66.779489555555543</v>
      </c>
      <c r="M30" s="71">
        <f>3191.73416+98.58322+1366.91755</f>
        <v>4657.2349299999996</v>
      </c>
      <c r="N30" s="34">
        <f t="shared" ref="N30:N38" si="16">M30/$H30*100</f>
        <v>103.49410955555555</v>
      </c>
      <c r="O30" s="71">
        <f>4590.56123+98.71504+1366.91755</f>
        <v>6056.1938200000004</v>
      </c>
      <c r="P30" s="34">
        <f t="shared" ref="P30:P38" si="17">O30/$H30*100</f>
        <v>134.58208488888889</v>
      </c>
      <c r="Q30" s="533">
        <f t="shared" si="14"/>
        <v>1556.1938200000004</v>
      </c>
      <c r="R30" s="253"/>
      <c r="S30" s="71">
        <v>5000</v>
      </c>
      <c r="T30" s="165">
        <f t="shared" ref="T30:T39" si="18">S30/F30</f>
        <v>1.1111111111111112</v>
      </c>
    </row>
    <row r="31" spans="1:21" x14ac:dyDescent="0.2">
      <c r="A31" s="111"/>
      <c r="B31" s="111"/>
      <c r="C31" s="111"/>
      <c r="D31" s="111"/>
      <c r="E31" s="32" t="s">
        <v>158</v>
      </c>
      <c r="F31" s="72">
        <f>SUM(F32:F36)</f>
        <v>3379</v>
      </c>
      <c r="G31" s="72">
        <f>SUM(G32:G36)</f>
        <v>0</v>
      </c>
      <c r="H31" s="72">
        <f>SUM(H32:H36)</f>
        <v>3379</v>
      </c>
      <c r="I31" s="72">
        <f>SUM(I32:I36)</f>
        <v>1515.2416900000001</v>
      </c>
      <c r="J31" s="219">
        <f t="shared" si="12"/>
        <v>44.842902929860905</v>
      </c>
      <c r="K31" s="72">
        <f>SUM(K32:K36)</f>
        <v>2692.2082600000003</v>
      </c>
      <c r="L31" s="219">
        <f t="shared" si="15"/>
        <v>79.674704350399537</v>
      </c>
      <c r="M31" s="72">
        <f>SUM(M32:M36)</f>
        <v>3007.4229300000002</v>
      </c>
      <c r="N31" s="219">
        <f t="shared" si="16"/>
        <v>89.003342113051204</v>
      </c>
      <c r="O31" s="72">
        <f>SUM(O32:O36)</f>
        <v>3555.6924700000004</v>
      </c>
      <c r="P31" s="219">
        <f t="shared" si="17"/>
        <v>105.22913495116899</v>
      </c>
      <c r="Q31" s="356">
        <f t="shared" si="14"/>
        <v>176.69247000000041</v>
      </c>
      <c r="R31" s="369"/>
      <c r="S31" s="72">
        <f>SUM(S32:S36)</f>
        <v>3343</v>
      </c>
      <c r="T31" s="164">
        <f t="shared" si="18"/>
        <v>0.9893459603432968</v>
      </c>
    </row>
    <row r="32" spans="1:21" x14ac:dyDescent="0.2">
      <c r="A32" s="111"/>
      <c r="B32" s="29">
        <v>1340</v>
      </c>
      <c r="C32" s="111"/>
      <c r="D32" s="29">
        <v>240</v>
      </c>
      <c r="E32" s="29" t="s">
        <v>105</v>
      </c>
      <c r="F32" s="71">
        <v>3074</v>
      </c>
      <c r="G32" s="71"/>
      <c r="H32" s="71">
        <f>SUM(F32:G32)</f>
        <v>3074</v>
      </c>
      <c r="I32" s="71">
        <v>1393.8356900000001</v>
      </c>
      <c r="J32" s="34">
        <f>I32/$H32*100</f>
        <v>45.342735523747564</v>
      </c>
      <c r="K32" s="71">
        <v>2502.1272600000002</v>
      </c>
      <c r="L32" s="34">
        <f t="shared" si="15"/>
        <v>81.39646258946</v>
      </c>
      <c r="M32" s="71">
        <v>2774.0549299999998</v>
      </c>
      <c r="N32" s="34">
        <f t="shared" si="16"/>
        <v>90.24251561483409</v>
      </c>
      <c r="O32" s="71">
        <v>3248.9944700000001</v>
      </c>
      <c r="P32" s="34">
        <f t="shared" si="17"/>
        <v>105.69272836694861</v>
      </c>
      <c r="Q32" s="274">
        <f t="shared" si="14"/>
        <v>174.99447000000009</v>
      </c>
      <c r="R32" s="114" t="s">
        <v>292</v>
      </c>
      <c r="S32" s="71">
        <v>3074</v>
      </c>
      <c r="T32" s="165">
        <f t="shared" si="18"/>
        <v>1</v>
      </c>
    </row>
    <row r="33" spans="1:21" x14ac:dyDescent="0.2">
      <c r="A33" s="111"/>
      <c r="B33" s="29">
        <v>1341</v>
      </c>
      <c r="C33" s="111"/>
      <c r="D33" s="29">
        <v>5</v>
      </c>
      <c r="E33" s="29" t="s">
        <v>108</v>
      </c>
      <c r="F33" s="71">
        <v>135</v>
      </c>
      <c r="G33" s="71"/>
      <c r="H33" s="71">
        <f>SUM(F33:G33)</f>
        <v>135</v>
      </c>
      <c r="I33" s="71">
        <v>86.257000000000005</v>
      </c>
      <c r="J33" s="34">
        <f>I33/$H33*100</f>
        <v>63.894074074074084</v>
      </c>
      <c r="K33" s="71">
        <v>112.637</v>
      </c>
      <c r="L33" s="34">
        <f t="shared" si="15"/>
        <v>83.434814814814814</v>
      </c>
      <c r="M33" s="71">
        <v>123.858</v>
      </c>
      <c r="N33" s="34">
        <f t="shared" si="16"/>
        <v>91.74666666666667</v>
      </c>
      <c r="O33" s="71">
        <v>139.822</v>
      </c>
      <c r="P33" s="34">
        <f t="shared" si="17"/>
        <v>103.57185185185185</v>
      </c>
      <c r="Q33" s="274">
        <f t="shared" si="14"/>
        <v>4.8220000000000027</v>
      </c>
      <c r="R33" s="114"/>
      <c r="S33" s="71">
        <v>129</v>
      </c>
      <c r="T33" s="165">
        <f t="shared" si="18"/>
        <v>0.9555555555555556</v>
      </c>
    </row>
    <row r="34" spans="1:21" x14ac:dyDescent="0.2">
      <c r="A34" s="111"/>
      <c r="B34" s="29">
        <v>1343</v>
      </c>
      <c r="C34" s="111"/>
      <c r="D34" s="29">
        <v>30</v>
      </c>
      <c r="E34" s="29" t="s">
        <v>109</v>
      </c>
      <c r="F34" s="71">
        <v>85</v>
      </c>
      <c r="G34" s="71"/>
      <c r="H34" s="71">
        <f>SUM(F34:G34)</f>
        <v>85</v>
      </c>
      <c r="I34" s="71">
        <v>32.654000000000003</v>
      </c>
      <c r="J34" s="34">
        <f>I34/$H34*100</f>
        <v>38.416470588235299</v>
      </c>
      <c r="K34" s="71">
        <v>55.308999999999997</v>
      </c>
      <c r="L34" s="34">
        <f t="shared" si="15"/>
        <v>65.069411764705876</v>
      </c>
      <c r="M34" s="71">
        <v>86.924999999999997</v>
      </c>
      <c r="N34" s="34">
        <f t="shared" si="16"/>
        <v>102.26470588235294</v>
      </c>
      <c r="O34" s="71">
        <v>109.881</v>
      </c>
      <c r="P34" s="34">
        <f t="shared" si="17"/>
        <v>129.27176470588236</v>
      </c>
      <c r="Q34" s="274">
        <f t="shared" si="14"/>
        <v>24.881</v>
      </c>
      <c r="R34" s="114"/>
      <c r="S34" s="71">
        <v>85</v>
      </c>
      <c r="T34" s="165">
        <f t="shared" si="18"/>
        <v>1</v>
      </c>
    </row>
    <row r="35" spans="1:21" x14ac:dyDescent="0.2">
      <c r="A35" s="111"/>
      <c r="B35" s="29">
        <v>1344</v>
      </c>
      <c r="C35" s="111"/>
      <c r="D35" s="29">
        <v>31</v>
      </c>
      <c r="E35" s="29" t="s">
        <v>110</v>
      </c>
      <c r="F35" s="71">
        <v>30</v>
      </c>
      <c r="G35" s="71"/>
      <c r="H35" s="71">
        <f>SUM(F35:G35)</f>
        <v>30</v>
      </c>
      <c r="I35" s="71">
        <v>0</v>
      </c>
      <c r="J35" s="34">
        <f>I35/$H35*100</f>
        <v>0</v>
      </c>
      <c r="K35" s="71">
        <v>0.6</v>
      </c>
      <c r="L35" s="34">
        <f t="shared" si="15"/>
        <v>2</v>
      </c>
      <c r="M35" s="71">
        <v>1.05</v>
      </c>
      <c r="N35" s="34">
        <f t="shared" si="16"/>
        <v>3.5000000000000004</v>
      </c>
      <c r="O35" s="71">
        <v>1.05</v>
      </c>
      <c r="P35" s="34">
        <f t="shared" si="17"/>
        <v>3.5000000000000004</v>
      </c>
      <c r="Q35" s="274">
        <f t="shared" si="14"/>
        <v>-28.95</v>
      </c>
      <c r="R35" s="114" t="s">
        <v>478</v>
      </c>
      <c r="S35" s="71">
        <v>0</v>
      </c>
      <c r="T35" s="165">
        <f t="shared" si="18"/>
        <v>0</v>
      </c>
    </row>
    <row r="36" spans="1:21" ht="13.5" customHeight="1" x14ac:dyDescent="0.2">
      <c r="A36" s="111"/>
      <c r="B36" s="29">
        <v>1345</v>
      </c>
      <c r="C36" s="111"/>
      <c r="D36" s="29">
        <v>28</v>
      </c>
      <c r="E36" s="29" t="s">
        <v>380</v>
      </c>
      <c r="F36" s="71">
        <v>55</v>
      </c>
      <c r="G36" s="71"/>
      <c r="H36" s="71">
        <f>SUM(F36:G36)</f>
        <v>55</v>
      </c>
      <c r="I36" s="71">
        <f>0.495+2</f>
        <v>2.4950000000000001</v>
      </c>
      <c r="J36" s="34">
        <f>I36/$H36*100</f>
        <v>4.5363636363636362</v>
      </c>
      <c r="K36" s="71">
        <f>17.535+4</f>
        <v>21.535</v>
      </c>
      <c r="L36" s="34">
        <f t="shared" si="15"/>
        <v>39.154545454545456</v>
      </c>
      <c r="M36" s="71">
        <f>17.535+4</f>
        <v>21.535</v>
      </c>
      <c r="N36" s="34">
        <f t="shared" si="16"/>
        <v>39.154545454545456</v>
      </c>
      <c r="O36" s="71">
        <f>51.945+4</f>
        <v>55.945</v>
      </c>
      <c r="P36" s="34">
        <f t="shared" si="17"/>
        <v>101.71818181818182</v>
      </c>
      <c r="Q36" s="274">
        <f t="shared" si="14"/>
        <v>0.94500000000000028</v>
      </c>
      <c r="R36" s="114"/>
      <c r="S36" s="71">
        <v>55</v>
      </c>
      <c r="T36" s="165">
        <f t="shared" si="18"/>
        <v>1</v>
      </c>
    </row>
    <row r="37" spans="1:21" x14ac:dyDescent="0.2">
      <c r="A37" s="98" t="s">
        <v>33</v>
      </c>
      <c r="B37" s="32"/>
      <c r="C37" s="98"/>
      <c r="D37" s="32"/>
      <c r="E37" s="32"/>
      <c r="F37" s="72">
        <f>SUM(F38)</f>
        <v>4000</v>
      </c>
      <c r="G37" s="72">
        <f>SUM(G38)</f>
        <v>0</v>
      </c>
      <c r="H37" s="72">
        <f>SUM(H38:H38)</f>
        <v>4000</v>
      </c>
      <c r="I37" s="72">
        <f>SUM(I38)</f>
        <v>9.6155799999999996</v>
      </c>
      <c r="J37" s="219">
        <f t="shared" si="12"/>
        <v>0.24038950000000001</v>
      </c>
      <c r="K37" s="72">
        <f>SUM(K38)</f>
        <v>2622.6151</v>
      </c>
      <c r="L37" s="219">
        <f t="shared" si="15"/>
        <v>65.565377499999997</v>
      </c>
      <c r="M37" s="72">
        <f>SUM(M38)</f>
        <v>2792.6107499999998</v>
      </c>
      <c r="N37" s="219">
        <f t="shared" si="16"/>
        <v>69.815268749999987</v>
      </c>
      <c r="O37" s="72">
        <f>SUM(O38)</f>
        <v>4014.3407099999999</v>
      </c>
      <c r="P37" s="219">
        <f t="shared" si="17"/>
        <v>100.35851775</v>
      </c>
      <c r="Q37" s="356">
        <f>SUM(Q38:Q38)</f>
        <v>14.340709999999945</v>
      </c>
      <c r="R37" s="254"/>
      <c r="S37" s="72">
        <f>SUM(S38)</f>
        <v>4000</v>
      </c>
      <c r="T37" s="164">
        <f t="shared" si="18"/>
        <v>1</v>
      </c>
    </row>
    <row r="38" spans="1:21" ht="13.5" thickBot="1" x14ac:dyDescent="0.25">
      <c r="A38" s="111"/>
      <c r="B38" s="29">
        <v>1511</v>
      </c>
      <c r="C38" s="111" t="s">
        <v>34</v>
      </c>
      <c r="D38" s="111"/>
      <c r="E38" s="29" t="s">
        <v>187</v>
      </c>
      <c r="F38" s="71">
        <v>4000</v>
      </c>
      <c r="G38" s="71"/>
      <c r="H38" s="71">
        <f>SUM(F38:G38)</f>
        <v>4000</v>
      </c>
      <c r="I38" s="71">
        <v>9.6155799999999996</v>
      </c>
      <c r="J38" s="34">
        <f t="shared" si="12"/>
        <v>0.24038950000000001</v>
      </c>
      <c r="K38" s="71">
        <v>2622.6151</v>
      </c>
      <c r="L38" s="34">
        <f t="shared" si="15"/>
        <v>65.565377499999997</v>
      </c>
      <c r="M38" s="71">
        <v>2792.6107499999998</v>
      </c>
      <c r="N38" s="34">
        <f t="shared" si="16"/>
        <v>69.815268749999987</v>
      </c>
      <c r="O38" s="71">
        <v>4014.3407099999999</v>
      </c>
      <c r="P38" s="34">
        <f t="shared" si="17"/>
        <v>100.35851775</v>
      </c>
      <c r="Q38" s="274">
        <f>O38-H38</f>
        <v>14.340709999999945</v>
      </c>
      <c r="R38" s="114"/>
      <c r="S38" s="71">
        <v>4000</v>
      </c>
      <c r="T38" s="165">
        <f t="shared" si="18"/>
        <v>1</v>
      </c>
    </row>
    <row r="39" spans="1:21" ht="18" customHeight="1" thickBot="1" x14ac:dyDescent="0.3">
      <c r="A39" s="117" t="s">
        <v>35</v>
      </c>
      <c r="B39" s="118"/>
      <c r="C39" s="117"/>
      <c r="D39" s="118"/>
      <c r="E39" s="117"/>
      <c r="F39" s="73">
        <f>SUM(F5+F15+F27+F31+F37)</f>
        <v>80034</v>
      </c>
      <c r="G39" s="73">
        <f t="shared" ref="G39" si="19">SUM(G5+G15+G27+G31+G37)</f>
        <v>0</v>
      </c>
      <c r="H39" s="73">
        <f t="shared" ref="H39:P39" si="20">SUM(H5+H15+H27+H31+H37)</f>
        <v>80034</v>
      </c>
      <c r="I39" s="73">
        <f t="shared" si="20"/>
        <v>21882.307690000001</v>
      </c>
      <c r="J39" s="36">
        <f>I39/$H39*100</f>
        <v>27.3412645750556</v>
      </c>
      <c r="K39" s="73">
        <f t="shared" ref="K39" si="21">SUM(K5+K15+K27+K31+K37)</f>
        <v>45644.641980000008</v>
      </c>
      <c r="L39" s="73">
        <f t="shared" si="20"/>
        <v>326.31042656731012</v>
      </c>
      <c r="M39" s="73">
        <f t="shared" ref="M39" si="22">SUM(M5+M15+M27+M31+M37)</f>
        <v>66707.114130000002</v>
      </c>
      <c r="N39" s="73">
        <f t="shared" si="20"/>
        <v>428.00327033004578</v>
      </c>
      <c r="O39" s="73">
        <f t="shared" ref="O39" si="23">SUM(O5+O15+O27+O31+O37)</f>
        <v>88971.968209999992</v>
      </c>
      <c r="P39" s="73">
        <f t="shared" si="20"/>
        <v>556.96188127164703</v>
      </c>
      <c r="Q39" s="360">
        <f>SUM(Q5+Q15+Q27+Q31+Q37)</f>
        <v>8937.9682100000009</v>
      </c>
      <c r="R39" s="73"/>
      <c r="S39" s="73">
        <f t="shared" ref="S39" si="24">SUM(S5+S15+S27+S31+S37)</f>
        <v>91121</v>
      </c>
      <c r="T39" s="166">
        <f t="shared" si="18"/>
        <v>1.138528625334233</v>
      </c>
      <c r="U39" s="119"/>
    </row>
    <row r="40" spans="1:21" x14ac:dyDescent="0.2">
      <c r="A40" s="112"/>
      <c r="B40" s="79"/>
      <c r="C40" s="112"/>
      <c r="D40" s="79"/>
      <c r="E40" s="112" t="s">
        <v>36</v>
      </c>
      <c r="F40" s="78"/>
      <c r="G40" s="78"/>
      <c r="H40" s="78"/>
      <c r="I40" s="78"/>
      <c r="J40" s="37"/>
      <c r="K40" s="78"/>
      <c r="L40" s="37"/>
      <c r="M40" s="78"/>
      <c r="N40" s="37"/>
      <c r="O40" s="78"/>
      <c r="P40" s="37"/>
      <c r="Q40" s="361"/>
      <c r="R40" s="255"/>
      <c r="S40" s="78"/>
      <c r="T40" s="167"/>
    </row>
    <row r="41" spans="1:21" x14ac:dyDescent="0.2">
      <c r="A41" s="98" t="s">
        <v>37</v>
      </c>
      <c r="B41" s="32"/>
      <c r="C41" s="98"/>
      <c r="D41" s="32"/>
      <c r="E41" s="32"/>
      <c r="F41" s="72"/>
      <c r="G41" s="72"/>
      <c r="H41" s="72"/>
      <c r="I41" s="72"/>
      <c r="J41" s="34"/>
      <c r="K41" s="72"/>
      <c r="L41" s="34"/>
      <c r="M41" s="72"/>
      <c r="N41" s="34"/>
      <c r="O41" s="72"/>
      <c r="P41" s="34"/>
      <c r="Q41" s="362"/>
      <c r="R41" s="254"/>
      <c r="S41" s="72"/>
      <c r="T41" s="165"/>
    </row>
    <row r="42" spans="1:21" x14ac:dyDescent="0.2">
      <c r="A42" s="111"/>
      <c r="B42" s="32"/>
      <c r="C42" s="111"/>
      <c r="D42" s="32"/>
      <c r="E42" s="32" t="s">
        <v>156</v>
      </c>
      <c r="F42" s="72">
        <f>SUM(F43:F62)</f>
        <v>10014</v>
      </c>
      <c r="G42" s="72">
        <f>SUM(G43:G62)</f>
        <v>-58.37700000000001</v>
      </c>
      <c r="H42" s="72">
        <f>SUM(H43:H62)</f>
        <v>9955.6229999999996</v>
      </c>
      <c r="I42" s="72">
        <f>SUM(I43:I62)</f>
        <v>1415.8440200000002</v>
      </c>
      <c r="J42" s="219">
        <f t="shared" ref="J42:J78" si="25">I42/$H42*100</f>
        <v>14.221551177661111</v>
      </c>
      <c r="K42" s="72">
        <f>SUM(K43:K62)</f>
        <v>4024.2834399999992</v>
      </c>
      <c r="L42" s="219">
        <f t="shared" ref="L42:L59" si="26">K42/$H42*100</f>
        <v>40.422216068246044</v>
      </c>
      <c r="M42" s="72">
        <f>SUM(M43:M62)</f>
        <v>7989.3528900000001</v>
      </c>
      <c r="N42" s="219">
        <f t="shared" ref="N42:N60" si="27">M42/$H42*100</f>
        <v>80.249652784160276</v>
      </c>
      <c r="O42" s="72">
        <f>SUM(O43:O62)</f>
        <v>10365.618409999999</v>
      </c>
      <c r="P42" s="219">
        <f t="shared" ref="P42:P60" si="28">O42/$H42*100</f>
        <v>104.11822956735104</v>
      </c>
      <c r="Q42" s="356">
        <f>SUM(Q43:Q62)</f>
        <v>409.99541000000022</v>
      </c>
      <c r="R42" s="114"/>
      <c r="S42" s="72">
        <f>SUM(S43:S62)</f>
        <v>12679</v>
      </c>
      <c r="T42" s="164">
        <f>S42/F42</f>
        <v>1.2661274216097465</v>
      </c>
      <c r="U42" s="119" t="s">
        <v>278</v>
      </c>
    </row>
    <row r="43" spans="1:21" x14ac:dyDescent="0.2">
      <c r="A43" s="111"/>
      <c r="B43" s="29">
        <v>2111</v>
      </c>
      <c r="C43" s="111">
        <v>1031</v>
      </c>
      <c r="D43" s="29">
        <v>201</v>
      </c>
      <c r="E43" s="29" t="s">
        <v>96</v>
      </c>
      <c r="F43" s="71">
        <v>400</v>
      </c>
      <c r="G43" s="71">
        <v>43.323</v>
      </c>
      <c r="H43" s="71">
        <f t="shared" ref="H43:H62" si="29">SUM(F43:G43)</f>
        <v>443.32299999999998</v>
      </c>
      <c r="I43" s="71">
        <v>0.1</v>
      </c>
      <c r="J43" s="34">
        <f t="shared" si="25"/>
        <v>2.2556916740164624E-2</v>
      </c>
      <c r="K43" s="71">
        <v>390.72149999999999</v>
      </c>
      <c r="L43" s="34">
        <f t="shared" si="26"/>
        <v>88.134723440922315</v>
      </c>
      <c r="M43" s="71">
        <v>684.88589999999999</v>
      </c>
      <c r="N43" s="34">
        <f t="shared" si="27"/>
        <v>154.48914222812712</v>
      </c>
      <c r="O43" s="71">
        <f>1114.4339+43.323</f>
        <v>1157.7569000000001</v>
      </c>
      <c r="P43" s="34">
        <f t="shared" si="28"/>
        <v>261.15425998651102</v>
      </c>
      <c r="Q43" s="274">
        <f t="shared" ref="Q43:Q62" si="30">O43-H43</f>
        <v>714.43390000000011</v>
      </c>
      <c r="R43" s="114"/>
      <c r="S43" s="71">
        <v>400</v>
      </c>
      <c r="T43" s="165">
        <f>S43/F43</f>
        <v>1</v>
      </c>
      <c r="U43" s="450">
        <v>70</v>
      </c>
    </row>
    <row r="44" spans="1:21" x14ac:dyDescent="0.2">
      <c r="A44" s="111"/>
      <c r="B44" s="29">
        <v>2111</v>
      </c>
      <c r="C44" s="111">
        <v>2219</v>
      </c>
      <c r="D44" s="29">
        <v>43</v>
      </c>
      <c r="E44" s="29" t="s">
        <v>183</v>
      </c>
      <c r="F44" s="71">
        <v>1050</v>
      </c>
      <c r="G44" s="71"/>
      <c r="H44" s="71">
        <f t="shared" si="29"/>
        <v>1050</v>
      </c>
      <c r="I44" s="71">
        <v>297.05900000000003</v>
      </c>
      <c r="J44" s="34">
        <f t="shared" si="25"/>
        <v>28.291333333333334</v>
      </c>
      <c r="K44" s="71">
        <v>541.65200000000004</v>
      </c>
      <c r="L44" s="34">
        <f t="shared" si="26"/>
        <v>51.585904761904764</v>
      </c>
      <c r="M44" s="71">
        <v>814.16800000000001</v>
      </c>
      <c r="N44" s="34">
        <f t="shared" si="27"/>
        <v>77.539809523809524</v>
      </c>
      <c r="O44" s="71">
        <v>1055.713</v>
      </c>
      <c r="P44" s="34">
        <f t="shared" si="28"/>
        <v>100.54409523809524</v>
      </c>
      <c r="Q44" s="274">
        <f t="shared" si="30"/>
        <v>5.7129999999999654</v>
      </c>
      <c r="R44" s="114"/>
      <c r="S44" s="71">
        <v>1050</v>
      </c>
      <c r="T44" s="165">
        <f>S44/F44</f>
        <v>1</v>
      </c>
      <c r="U44" s="119"/>
    </row>
    <row r="45" spans="1:21" x14ac:dyDescent="0.2">
      <c r="A45" s="111"/>
      <c r="B45" s="29">
        <v>2111</v>
      </c>
      <c r="C45" s="111">
        <v>3113</v>
      </c>
      <c r="D45" s="613"/>
      <c r="E45" s="29" t="s">
        <v>436</v>
      </c>
      <c r="F45" s="71"/>
      <c r="G45" s="71"/>
      <c r="H45" s="71"/>
      <c r="I45" s="71"/>
      <c r="J45" s="34"/>
      <c r="K45" s="71"/>
      <c r="L45" s="34"/>
      <c r="M45" s="71"/>
      <c r="N45" s="34"/>
      <c r="O45" s="71"/>
      <c r="P45" s="34"/>
      <c r="Q45" s="274">
        <f t="shared" si="30"/>
        <v>0</v>
      </c>
      <c r="R45" s="114"/>
      <c r="S45" s="71">
        <v>260</v>
      </c>
      <c r="T45" s="165"/>
      <c r="U45" s="119"/>
    </row>
    <row r="46" spans="1:21" x14ac:dyDescent="0.2">
      <c r="A46" s="111"/>
      <c r="B46" s="29">
        <v>2111</v>
      </c>
      <c r="C46" s="111"/>
      <c r="D46" s="613"/>
      <c r="E46" s="29" t="s">
        <v>438</v>
      </c>
      <c r="F46" s="71"/>
      <c r="G46" s="71"/>
      <c r="H46" s="71"/>
      <c r="I46" s="71"/>
      <c r="J46" s="34"/>
      <c r="K46" s="71"/>
      <c r="L46" s="34"/>
      <c r="M46" s="71"/>
      <c r="N46" s="34"/>
      <c r="O46" s="71"/>
      <c r="P46" s="34"/>
      <c r="Q46" s="274">
        <f t="shared" si="30"/>
        <v>0</v>
      </c>
      <c r="R46" s="114"/>
      <c r="S46" s="71">
        <v>100</v>
      </c>
      <c r="T46" s="165"/>
      <c r="U46" s="119"/>
    </row>
    <row r="47" spans="1:21" x14ac:dyDescent="0.2">
      <c r="A47" s="111"/>
      <c r="B47" s="29">
        <v>2111</v>
      </c>
      <c r="C47" s="111">
        <v>3314</v>
      </c>
      <c r="D47" s="29">
        <v>504</v>
      </c>
      <c r="E47" s="29" t="s">
        <v>182</v>
      </c>
      <c r="F47" s="71">
        <v>96</v>
      </c>
      <c r="G47" s="71"/>
      <c r="H47" s="71">
        <f t="shared" si="29"/>
        <v>96</v>
      </c>
      <c r="I47" s="71">
        <v>67.367999999999995</v>
      </c>
      <c r="J47" s="34">
        <f t="shared" si="25"/>
        <v>70.174999999999997</v>
      </c>
      <c r="K47" s="71">
        <v>77.863</v>
      </c>
      <c r="L47" s="34">
        <f t="shared" si="26"/>
        <v>81.107291666666669</v>
      </c>
      <c r="M47" s="71">
        <v>84.759</v>
      </c>
      <c r="N47" s="34">
        <f t="shared" si="27"/>
        <v>88.290625000000006</v>
      </c>
      <c r="O47" s="71">
        <v>92.53</v>
      </c>
      <c r="P47" s="34">
        <f t="shared" si="28"/>
        <v>96.385416666666671</v>
      </c>
      <c r="Q47" s="274">
        <f t="shared" si="30"/>
        <v>-3.4699999999999989</v>
      </c>
      <c r="R47" s="114"/>
      <c r="S47" s="71">
        <v>96</v>
      </c>
      <c r="T47" s="165">
        <f t="shared" ref="T47:T59" si="31">S47/F47</f>
        <v>1</v>
      </c>
      <c r="U47" s="119"/>
    </row>
    <row r="48" spans="1:21" x14ac:dyDescent="0.2">
      <c r="A48" s="111"/>
      <c r="B48" s="29">
        <v>2111</v>
      </c>
      <c r="C48" s="437" t="s">
        <v>312</v>
      </c>
      <c r="D48" s="29">
        <v>41</v>
      </c>
      <c r="E48" s="29" t="s">
        <v>41</v>
      </c>
      <c r="F48" s="71">
        <v>80</v>
      </c>
      <c r="G48" s="71"/>
      <c r="H48" s="71">
        <f t="shared" si="29"/>
        <v>80</v>
      </c>
      <c r="I48" s="71">
        <v>19.829999999999998</v>
      </c>
      <c r="J48" s="34">
        <f t="shared" si="25"/>
        <v>24.787499999999998</v>
      </c>
      <c r="K48" s="71">
        <v>34.875</v>
      </c>
      <c r="L48" s="34">
        <f t="shared" si="26"/>
        <v>43.59375</v>
      </c>
      <c r="M48" s="71">
        <v>43.424999999999997</v>
      </c>
      <c r="N48" s="34">
        <f t="shared" si="27"/>
        <v>54.281249999999993</v>
      </c>
      <c r="O48" s="71">
        <v>73.709999999999994</v>
      </c>
      <c r="P48" s="34">
        <f t="shared" si="28"/>
        <v>92.137499999999989</v>
      </c>
      <c r="Q48" s="274">
        <f t="shared" si="30"/>
        <v>-6.2900000000000063</v>
      </c>
      <c r="R48" s="114"/>
      <c r="S48" s="71">
        <v>70</v>
      </c>
      <c r="T48" s="165">
        <f t="shared" si="31"/>
        <v>0.875</v>
      </c>
      <c r="U48" s="450">
        <v>12</v>
      </c>
    </row>
    <row r="49" spans="1:21" x14ac:dyDescent="0.2">
      <c r="A49" s="111"/>
      <c r="B49" s="29">
        <v>2111</v>
      </c>
      <c r="C49" s="111">
        <v>3349</v>
      </c>
      <c r="D49" s="29">
        <v>42</v>
      </c>
      <c r="E49" s="29" t="s">
        <v>38</v>
      </c>
      <c r="F49" s="71">
        <v>99</v>
      </c>
      <c r="G49" s="71"/>
      <c r="H49" s="71">
        <f t="shared" si="29"/>
        <v>99</v>
      </c>
      <c r="I49" s="71">
        <v>25.516999999999999</v>
      </c>
      <c r="J49" s="34">
        <f t="shared" si="25"/>
        <v>25.774747474747471</v>
      </c>
      <c r="K49" s="71">
        <v>46.552</v>
      </c>
      <c r="L49" s="34">
        <f t="shared" si="26"/>
        <v>47.022222222222219</v>
      </c>
      <c r="M49" s="71">
        <v>65.382000000000005</v>
      </c>
      <c r="N49" s="34">
        <f t="shared" si="27"/>
        <v>66.042424242424246</v>
      </c>
      <c r="O49" s="71">
        <v>89.896000000000001</v>
      </c>
      <c r="P49" s="34">
        <f t="shared" si="28"/>
        <v>90.804040404040407</v>
      </c>
      <c r="Q49" s="274">
        <f t="shared" si="30"/>
        <v>-9.1039999999999992</v>
      </c>
      <c r="R49" s="114"/>
      <c r="S49" s="71">
        <v>99</v>
      </c>
      <c r="T49" s="165">
        <f t="shared" si="31"/>
        <v>1</v>
      </c>
      <c r="U49" s="450">
        <v>11</v>
      </c>
    </row>
    <row r="50" spans="1:21" x14ac:dyDescent="0.2">
      <c r="A50" s="111"/>
      <c r="B50" s="29">
        <v>2111</v>
      </c>
      <c r="C50" s="111">
        <v>3612</v>
      </c>
      <c r="D50" s="29" t="s">
        <v>336</v>
      </c>
      <c r="E50" s="29" t="s">
        <v>188</v>
      </c>
      <c r="F50" s="71">
        <v>3650</v>
      </c>
      <c r="G50" s="71"/>
      <c r="H50" s="71">
        <f t="shared" si="29"/>
        <v>3650</v>
      </c>
      <c r="I50" s="71">
        <f>96.47-5.358+233.88445</f>
        <v>324.99644999999998</v>
      </c>
      <c r="J50" s="34">
        <f t="shared" si="25"/>
        <v>8.9040123287671236</v>
      </c>
      <c r="K50" s="71">
        <f>353.056-3.88+876.18145</f>
        <v>1225.35745</v>
      </c>
      <c r="L50" s="34">
        <f t="shared" si="26"/>
        <v>33.571436986301364</v>
      </c>
      <c r="M50" s="71">
        <f>682.952-7.042+1543.207</f>
        <v>2219.1170000000002</v>
      </c>
      <c r="N50" s="34">
        <f t="shared" si="27"/>
        <v>60.797726027397268</v>
      </c>
      <c r="O50" s="71">
        <v>3050.8092000000001</v>
      </c>
      <c r="P50" s="34">
        <f t="shared" si="28"/>
        <v>83.583813698630138</v>
      </c>
      <c r="Q50" s="274">
        <f t="shared" si="30"/>
        <v>-599.19079999999985</v>
      </c>
      <c r="R50" s="114"/>
      <c r="S50" s="71">
        <v>3578</v>
      </c>
      <c r="T50" s="165">
        <f t="shared" si="31"/>
        <v>0.98027397260273974</v>
      </c>
      <c r="U50" s="119"/>
    </row>
    <row r="51" spans="1:21" x14ac:dyDescent="0.2">
      <c r="A51" s="111"/>
      <c r="B51" s="29">
        <v>2111</v>
      </c>
      <c r="C51" s="111">
        <v>3613</v>
      </c>
      <c r="D51" s="29">
        <v>703</v>
      </c>
      <c r="E51" s="29" t="s">
        <v>189</v>
      </c>
      <c r="F51" s="71">
        <v>331</v>
      </c>
      <c r="G51" s="71"/>
      <c r="H51" s="71">
        <f t="shared" si="29"/>
        <v>331</v>
      </c>
      <c r="I51" s="71">
        <v>28.77</v>
      </c>
      <c r="J51" s="34">
        <f t="shared" si="25"/>
        <v>8.6918429003021149</v>
      </c>
      <c r="K51" s="71">
        <v>124.383</v>
      </c>
      <c r="L51" s="34">
        <f t="shared" si="26"/>
        <v>37.577945619335345</v>
      </c>
      <c r="M51" s="71">
        <v>202.94900000000001</v>
      </c>
      <c r="N51" s="34">
        <f t="shared" si="27"/>
        <v>61.313897280966771</v>
      </c>
      <c r="O51" s="71">
        <v>290.63499999999999</v>
      </c>
      <c r="P51" s="34">
        <f t="shared" si="28"/>
        <v>87.805135951661626</v>
      </c>
      <c r="Q51" s="274">
        <f t="shared" si="30"/>
        <v>-40.365000000000009</v>
      </c>
      <c r="R51" s="256"/>
      <c r="S51" s="71">
        <v>331</v>
      </c>
      <c r="T51" s="165">
        <f t="shared" si="31"/>
        <v>1</v>
      </c>
      <c r="U51" s="119"/>
    </row>
    <row r="52" spans="1:21" x14ac:dyDescent="0.2">
      <c r="A52" s="111"/>
      <c r="B52" s="29">
        <v>2111</v>
      </c>
      <c r="C52" s="111">
        <v>3632</v>
      </c>
      <c r="D52" s="29">
        <v>238</v>
      </c>
      <c r="E52" s="29" t="s">
        <v>39</v>
      </c>
      <c r="F52" s="71">
        <v>280</v>
      </c>
      <c r="G52" s="71"/>
      <c r="H52" s="71">
        <f t="shared" si="29"/>
        <v>280</v>
      </c>
      <c r="I52" s="71">
        <v>11.491</v>
      </c>
      <c r="J52" s="34">
        <f t="shared" si="25"/>
        <v>4.1039285714285718</v>
      </c>
      <c r="K52" s="71">
        <f>125.027+11.491</f>
        <v>136.518</v>
      </c>
      <c r="L52" s="34">
        <f t="shared" si="26"/>
        <v>48.756428571428572</v>
      </c>
      <c r="M52" s="71">
        <f>181.577+11.491</f>
        <v>193.06799999999998</v>
      </c>
      <c r="N52" s="34">
        <f t="shared" si="27"/>
        <v>68.952857142857141</v>
      </c>
      <c r="O52" s="71">
        <f>249.646+45.101</f>
        <v>294.74699999999996</v>
      </c>
      <c r="P52" s="34">
        <f t="shared" si="28"/>
        <v>105.26678571428569</v>
      </c>
      <c r="Q52" s="274">
        <f t="shared" si="30"/>
        <v>14.746999999999957</v>
      </c>
      <c r="R52" s="114"/>
      <c r="S52" s="71">
        <v>150</v>
      </c>
      <c r="T52" s="165">
        <f t="shared" si="31"/>
        <v>0.5357142857142857</v>
      </c>
      <c r="U52" s="450">
        <v>26</v>
      </c>
    </row>
    <row r="53" spans="1:21" x14ac:dyDescent="0.2">
      <c r="A53" s="111"/>
      <c r="B53" s="29">
        <v>2111</v>
      </c>
      <c r="C53" s="111">
        <v>3639</v>
      </c>
      <c r="D53" s="29">
        <v>21.318999999999999</v>
      </c>
      <c r="E53" s="29" t="s">
        <v>286</v>
      </c>
      <c r="F53" s="71">
        <f>60+12</f>
        <v>72</v>
      </c>
      <c r="G53" s="71"/>
      <c r="H53" s="71">
        <f t="shared" si="29"/>
        <v>72</v>
      </c>
      <c r="I53" s="71">
        <f>10.075+17.25</f>
        <v>27.324999999999999</v>
      </c>
      <c r="J53" s="34">
        <f t="shared" si="25"/>
        <v>37.951388888888886</v>
      </c>
      <c r="K53" s="71">
        <f>10.33161+34.5</f>
        <v>44.831609999999998</v>
      </c>
      <c r="L53" s="34">
        <f t="shared" si="26"/>
        <v>62.266124999999995</v>
      </c>
      <c r="M53" s="71">
        <f>16.55661+51.75</f>
        <v>68.306610000000006</v>
      </c>
      <c r="N53" s="34">
        <f t="shared" si="27"/>
        <v>94.870291666666674</v>
      </c>
      <c r="O53" s="71">
        <f>24.85661+37.977</f>
        <v>62.833609999999993</v>
      </c>
      <c r="P53" s="34">
        <f t="shared" si="28"/>
        <v>87.268902777777768</v>
      </c>
      <c r="Q53" s="274">
        <f t="shared" si="30"/>
        <v>-9.1663900000000069</v>
      </c>
      <c r="R53" s="114"/>
      <c r="S53" s="71">
        <f>21+69</f>
        <v>90</v>
      </c>
      <c r="T53" s="165">
        <f t="shared" si="31"/>
        <v>1.25</v>
      </c>
      <c r="U53" s="449">
        <v>17</v>
      </c>
    </row>
    <row r="54" spans="1:21" x14ac:dyDescent="0.2">
      <c r="A54" s="111"/>
      <c r="B54" s="29">
        <v>2111.2323999999999</v>
      </c>
      <c r="C54" s="111">
        <v>3639</v>
      </c>
      <c r="D54" s="29">
        <v>239</v>
      </c>
      <c r="E54" s="29" t="s">
        <v>155</v>
      </c>
      <c r="F54" s="71">
        <v>48</v>
      </c>
      <c r="G54" s="71"/>
      <c r="H54" s="71">
        <f t="shared" si="29"/>
        <v>48</v>
      </c>
      <c r="I54" s="71">
        <f>48.07</f>
        <v>48.07</v>
      </c>
      <c r="J54" s="34">
        <f t="shared" si="25"/>
        <v>100.14583333333333</v>
      </c>
      <c r="K54" s="71">
        <v>49.27</v>
      </c>
      <c r="L54" s="34">
        <f t="shared" si="26"/>
        <v>102.64583333333334</v>
      </c>
      <c r="M54" s="71">
        <v>72.7</v>
      </c>
      <c r="N54" s="34">
        <f t="shared" si="27"/>
        <v>151.45833333333334</v>
      </c>
      <c r="O54" s="71">
        <v>80.650000000000006</v>
      </c>
      <c r="P54" s="34">
        <f t="shared" si="28"/>
        <v>168.02083333333334</v>
      </c>
      <c r="Q54" s="274">
        <f t="shared" si="30"/>
        <v>32.650000000000006</v>
      </c>
      <c r="R54" s="114"/>
      <c r="S54" s="71">
        <v>40</v>
      </c>
      <c r="T54" s="165">
        <f t="shared" si="31"/>
        <v>0.83333333333333337</v>
      </c>
      <c r="U54" s="449">
        <v>7</v>
      </c>
    </row>
    <row r="55" spans="1:21" x14ac:dyDescent="0.2">
      <c r="A55" s="111"/>
      <c r="B55" s="29">
        <v>2111</v>
      </c>
      <c r="C55" s="111">
        <v>3639</v>
      </c>
      <c r="D55" s="29">
        <v>243</v>
      </c>
      <c r="E55" s="29" t="s">
        <v>94</v>
      </c>
      <c r="F55" s="71">
        <v>45</v>
      </c>
      <c r="G55" s="71"/>
      <c r="H55" s="71">
        <f t="shared" si="29"/>
        <v>45</v>
      </c>
      <c r="I55" s="71">
        <v>7.33</v>
      </c>
      <c r="J55" s="34">
        <f t="shared" si="25"/>
        <v>16.288888888888888</v>
      </c>
      <c r="K55" s="71">
        <v>20.66</v>
      </c>
      <c r="L55" s="34">
        <f t="shared" si="26"/>
        <v>45.911111111111111</v>
      </c>
      <c r="M55" s="71">
        <v>35.994999999999997</v>
      </c>
      <c r="N55" s="34">
        <f t="shared" si="27"/>
        <v>79.98888888888888</v>
      </c>
      <c r="O55" s="71">
        <v>47.67</v>
      </c>
      <c r="P55" s="34">
        <f t="shared" si="28"/>
        <v>105.93333333333335</v>
      </c>
      <c r="Q55" s="274">
        <f t="shared" si="30"/>
        <v>2.6700000000000017</v>
      </c>
      <c r="R55" s="114"/>
      <c r="S55" s="71">
        <v>45</v>
      </c>
      <c r="T55" s="165">
        <f t="shared" si="31"/>
        <v>1</v>
      </c>
      <c r="U55" s="450">
        <v>8</v>
      </c>
    </row>
    <row r="56" spans="1:21" x14ac:dyDescent="0.2">
      <c r="A56" s="111"/>
      <c r="B56" s="29">
        <v>2111</v>
      </c>
      <c r="C56" s="111">
        <v>4351</v>
      </c>
      <c r="D56" s="29">
        <v>227</v>
      </c>
      <c r="E56" s="29" t="s">
        <v>153</v>
      </c>
      <c r="F56" s="71">
        <f>700+100</f>
        <v>800</v>
      </c>
      <c r="G56" s="71">
        <v>55</v>
      </c>
      <c r="H56" s="71">
        <f t="shared" si="29"/>
        <v>855</v>
      </c>
      <c r="I56" s="71">
        <f>179.639+25+73.783</f>
        <v>278.42200000000003</v>
      </c>
      <c r="J56" s="34">
        <f t="shared" si="25"/>
        <v>32.56397660818714</v>
      </c>
      <c r="K56" s="71">
        <f>418.35088+25+73.783</f>
        <v>517.13387999999998</v>
      </c>
      <c r="L56" s="34">
        <f t="shared" si="26"/>
        <v>60.483494736842104</v>
      </c>
      <c r="M56" s="71">
        <f>596.52288+25+73.783</f>
        <v>695.30588</v>
      </c>
      <c r="N56" s="34">
        <f t="shared" si="27"/>
        <v>81.322325146198821</v>
      </c>
      <c r="O56" s="71">
        <f>828.09188+100+113.018</f>
        <v>1041.10988</v>
      </c>
      <c r="P56" s="34">
        <f t="shared" si="28"/>
        <v>121.76723742690059</v>
      </c>
      <c r="Q56" s="274">
        <f t="shared" si="30"/>
        <v>186.10987999999998</v>
      </c>
      <c r="R56" s="116"/>
      <c r="S56" s="71">
        <f>750+100</f>
        <v>850</v>
      </c>
      <c r="T56" s="165">
        <f t="shared" si="31"/>
        <v>1.0625</v>
      </c>
      <c r="U56" s="119"/>
    </row>
    <row r="57" spans="1:21" x14ac:dyDescent="0.2">
      <c r="A57" s="111"/>
      <c r="B57" s="29">
        <v>2111</v>
      </c>
      <c r="C57" s="111">
        <v>6171</v>
      </c>
      <c r="D57" s="29">
        <v>911</v>
      </c>
      <c r="E57" s="29" t="s">
        <v>190</v>
      </c>
      <c r="F57" s="71">
        <f>70+30</f>
        <v>100</v>
      </c>
      <c r="G57" s="71"/>
      <c r="H57" s="71">
        <f t="shared" si="29"/>
        <v>100</v>
      </c>
      <c r="I57" s="505">
        <f>18.5+11.856+1.54+0.6+6.147+0.83</f>
        <v>39.472999999999999</v>
      </c>
      <c r="J57" s="34">
        <f t="shared" si="25"/>
        <v>39.472999999999999</v>
      </c>
      <c r="K57" s="505">
        <f>61+1.16+21.736+1.54+3.8+6.152+1.348</f>
        <v>96.736000000000004</v>
      </c>
      <c r="L57" s="34">
        <f t="shared" si="26"/>
        <v>96.736000000000004</v>
      </c>
      <c r="M57" s="71">
        <f>78.5+1.32+1.604+4.4+6.152+21.736+2.5</f>
        <v>116.212</v>
      </c>
      <c r="N57" s="34">
        <f t="shared" si="27"/>
        <v>116.212</v>
      </c>
      <c r="O57" s="71">
        <f>80+0.1+1.52+29.64+1.604+4.4+6.152+2+3.01</f>
        <v>128.42599999999999</v>
      </c>
      <c r="P57" s="34">
        <f t="shared" si="28"/>
        <v>128.42599999999999</v>
      </c>
      <c r="Q57" s="274">
        <f t="shared" si="30"/>
        <v>28.425999999999988</v>
      </c>
      <c r="R57" s="114"/>
      <c r="S57" s="71">
        <f>70+30</f>
        <v>100</v>
      </c>
      <c r="T57" s="165">
        <f t="shared" si="31"/>
        <v>1</v>
      </c>
      <c r="U57" s="449">
        <v>13</v>
      </c>
    </row>
    <row r="58" spans="1:21" x14ac:dyDescent="0.2">
      <c r="A58" s="111"/>
      <c r="B58" s="29">
        <v>2119</v>
      </c>
      <c r="C58" s="111">
        <v>2121</v>
      </c>
      <c r="D58" s="29">
        <v>20</v>
      </c>
      <c r="E58" s="29" t="s">
        <v>254</v>
      </c>
      <c r="F58" s="71">
        <v>30</v>
      </c>
      <c r="G58" s="71"/>
      <c r="H58" s="71">
        <f t="shared" si="29"/>
        <v>30</v>
      </c>
      <c r="I58" s="71"/>
      <c r="J58" s="34">
        <f t="shared" si="25"/>
        <v>0</v>
      </c>
      <c r="K58" s="71">
        <v>5.5060000000000002</v>
      </c>
      <c r="L58" s="34">
        <f t="shared" si="26"/>
        <v>18.353333333333335</v>
      </c>
      <c r="M58" s="71">
        <v>17.847999999999999</v>
      </c>
      <c r="N58" s="34">
        <f t="shared" si="27"/>
        <v>59.493333333333332</v>
      </c>
      <c r="O58" s="71">
        <v>17.847999999999999</v>
      </c>
      <c r="P58" s="34">
        <f t="shared" si="28"/>
        <v>59.493333333333332</v>
      </c>
      <c r="Q58" s="274">
        <f t="shared" si="30"/>
        <v>-12.152000000000001</v>
      </c>
      <c r="R58" s="114"/>
      <c r="S58" s="71">
        <v>30</v>
      </c>
      <c r="T58" s="165">
        <f t="shared" si="31"/>
        <v>1</v>
      </c>
      <c r="U58" s="450">
        <v>5</v>
      </c>
    </row>
    <row r="59" spans="1:21" x14ac:dyDescent="0.2">
      <c r="A59" s="111"/>
      <c r="B59" s="29">
        <v>2122</v>
      </c>
      <c r="C59" s="111"/>
      <c r="D59" s="29"/>
      <c r="E59" s="29" t="s">
        <v>269</v>
      </c>
      <c r="F59" s="71">
        <v>2203</v>
      </c>
      <c r="G59" s="71">
        <f>74-622</f>
        <v>-548</v>
      </c>
      <c r="H59" s="71">
        <f t="shared" si="29"/>
        <v>1655</v>
      </c>
      <c r="I59" s="71"/>
      <c r="J59" s="34">
        <f t="shared" si="25"/>
        <v>0</v>
      </c>
      <c r="K59" s="71"/>
      <c r="L59" s="34">
        <f t="shared" si="26"/>
        <v>0</v>
      </c>
      <c r="M59" s="71">
        <f>222.581+412.119+362.754+2.482+654.52</f>
        <v>1654.4560000000001</v>
      </c>
      <c r="N59" s="34">
        <f t="shared" si="27"/>
        <v>99.967129909365568</v>
      </c>
      <c r="O59" s="71">
        <f>222.581+412.119+362.754+2.482+654.52</f>
        <v>1654.4560000000001</v>
      </c>
      <c r="P59" s="488">
        <f t="shared" si="28"/>
        <v>99.967129909365568</v>
      </c>
      <c r="Q59" s="274">
        <f t="shared" si="30"/>
        <v>-0.54399999999986903</v>
      </c>
      <c r="R59" s="132"/>
      <c r="S59" s="71">
        <v>1858</v>
      </c>
      <c r="T59" s="165">
        <f t="shared" si="31"/>
        <v>0.84339536995006814</v>
      </c>
      <c r="U59" s="119"/>
    </row>
    <row r="60" spans="1:21" x14ac:dyDescent="0.2">
      <c r="A60" s="111"/>
      <c r="B60" s="29">
        <v>2129</v>
      </c>
      <c r="C60" s="111">
        <v>3522</v>
      </c>
      <c r="D60" s="29">
        <v>233</v>
      </c>
      <c r="E60" s="29" t="s">
        <v>415</v>
      </c>
      <c r="F60" s="71"/>
      <c r="G60" s="71">
        <v>391.3</v>
      </c>
      <c r="H60" s="71">
        <f t="shared" si="29"/>
        <v>391.3</v>
      </c>
      <c r="I60" s="71"/>
      <c r="J60" s="34"/>
      <c r="K60" s="71">
        <v>280.56</v>
      </c>
      <c r="L60" s="34"/>
      <c r="M60" s="71">
        <v>391.3</v>
      </c>
      <c r="N60" s="34">
        <f t="shared" si="27"/>
        <v>100</v>
      </c>
      <c r="O60" s="71">
        <f>0.01282+391.3</f>
        <v>391.31281999999999</v>
      </c>
      <c r="P60" s="488">
        <f t="shared" si="28"/>
        <v>100.00327625862508</v>
      </c>
      <c r="Q60" s="274">
        <f t="shared" si="30"/>
        <v>1.2819999999976517E-2</v>
      </c>
      <c r="R60" s="132"/>
      <c r="S60" s="71">
        <v>0</v>
      </c>
      <c r="T60" s="165"/>
      <c r="U60" s="119"/>
    </row>
    <row r="61" spans="1:21" x14ac:dyDescent="0.2">
      <c r="A61" s="111"/>
      <c r="B61" s="29">
        <v>2129</v>
      </c>
      <c r="C61" s="111">
        <v>3412</v>
      </c>
      <c r="D61" s="29">
        <v>205</v>
      </c>
      <c r="E61" s="29" t="s">
        <v>588</v>
      </c>
      <c r="F61" s="71"/>
      <c r="G61" s="71"/>
      <c r="H61" s="71"/>
      <c r="I61" s="71"/>
      <c r="J61" s="34"/>
      <c r="K61" s="71"/>
      <c r="L61" s="34"/>
      <c r="M61" s="71"/>
      <c r="N61" s="34"/>
      <c r="O61" s="71"/>
      <c r="P61" s="488"/>
      <c r="Q61" s="274"/>
      <c r="R61" s="132"/>
      <c r="S61" s="71">
        <v>2807</v>
      </c>
      <c r="T61" s="165"/>
      <c r="U61" s="119"/>
    </row>
    <row r="62" spans="1:21" x14ac:dyDescent="0.2">
      <c r="A62" s="111"/>
      <c r="B62" s="29">
        <v>2324</v>
      </c>
      <c r="C62" s="111">
        <v>3725</v>
      </c>
      <c r="D62" s="29">
        <v>240</v>
      </c>
      <c r="E62" s="29" t="s">
        <v>123</v>
      </c>
      <c r="F62" s="71">
        <f>680+50</f>
        <v>730</v>
      </c>
      <c r="G62" s="71"/>
      <c r="H62" s="71">
        <f t="shared" si="29"/>
        <v>730</v>
      </c>
      <c r="I62" s="71">
        <f>37.273+202.81957</f>
        <v>240.09256999999999</v>
      </c>
      <c r="J62" s="34">
        <f t="shared" si="25"/>
        <v>32.889393150684931</v>
      </c>
      <c r="K62" s="71">
        <f>43.953+387.711</f>
        <v>431.66399999999999</v>
      </c>
      <c r="L62" s="34">
        <f>K62/$H62*100</f>
        <v>59.132054794520549</v>
      </c>
      <c r="M62" s="71">
        <f>57.133+572.3425</f>
        <v>629.47550000000001</v>
      </c>
      <c r="N62" s="34">
        <f>M62/$H62*100</f>
        <v>86.229520547945199</v>
      </c>
      <c r="O62" s="71">
        <f>70.53+764.985</f>
        <v>835.51499999999999</v>
      </c>
      <c r="P62" s="34">
        <f>O62/$H62*100</f>
        <v>114.4541095890411</v>
      </c>
      <c r="Q62" s="274">
        <f t="shared" si="30"/>
        <v>105.51499999999999</v>
      </c>
      <c r="R62" s="369"/>
      <c r="S62" s="71">
        <f>65+660</f>
        <v>725</v>
      </c>
      <c r="T62" s="165">
        <f>S62/F62</f>
        <v>0.99315068493150682</v>
      </c>
      <c r="U62" s="119"/>
    </row>
    <row r="63" spans="1:21" ht="15" customHeight="1" x14ac:dyDescent="0.2">
      <c r="A63" s="111"/>
      <c r="B63" s="111"/>
      <c r="C63" s="111"/>
      <c r="D63" s="111"/>
      <c r="E63" s="32" t="s">
        <v>42</v>
      </c>
      <c r="F63" s="72">
        <f>SUM(F64:F74)</f>
        <v>13711</v>
      </c>
      <c r="G63" s="72">
        <f>SUM(G64:G74)</f>
        <v>0</v>
      </c>
      <c r="H63" s="72">
        <f>SUM(H64:H74)</f>
        <v>13711</v>
      </c>
      <c r="I63" s="72">
        <f>SUM(I64:I74)</f>
        <v>3271.1048100000003</v>
      </c>
      <c r="J63" s="219">
        <f t="shared" si="25"/>
        <v>23.857521770840933</v>
      </c>
      <c r="K63" s="72">
        <f>SUM(K64:K74)</f>
        <v>6668.9744599999985</v>
      </c>
      <c r="L63" s="219">
        <f t="shared" ref="L63:L87" si="32">K63/$H63*100</f>
        <v>48.639592006418191</v>
      </c>
      <c r="M63" s="72">
        <f>SUM(M64:M74)</f>
        <v>10590.287060000001</v>
      </c>
      <c r="N63" s="219">
        <f t="shared" ref="N63:N87" si="33">M63/$H63*100</f>
        <v>77.239348406389027</v>
      </c>
      <c r="O63" s="72">
        <f>SUM(O64:O74)</f>
        <v>13797.692569999997</v>
      </c>
      <c r="P63" s="219">
        <f t="shared" ref="P63:P87" si="34">O63/$H63*100</f>
        <v>100.63228480781852</v>
      </c>
      <c r="Q63" s="356">
        <f>SUM(Q64:Q74)</f>
        <v>86.692569999999336</v>
      </c>
      <c r="R63" s="114"/>
      <c r="S63" s="72">
        <f>SUM(S64:S74)</f>
        <v>13126</v>
      </c>
      <c r="T63" s="164">
        <f>S63/F63</f>
        <v>0.95733352782437464</v>
      </c>
      <c r="U63" s="119"/>
    </row>
    <row r="64" spans="1:21" x14ac:dyDescent="0.2">
      <c r="A64" s="111"/>
      <c r="B64" s="29">
        <v>2131</v>
      </c>
      <c r="C64" s="111">
        <v>1012</v>
      </c>
      <c r="D64" s="29">
        <v>38</v>
      </c>
      <c r="E64" s="29" t="s">
        <v>201</v>
      </c>
      <c r="F64" s="71">
        <f>234+150</f>
        <v>384</v>
      </c>
      <c r="G64" s="71"/>
      <c r="H64" s="71">
        <f t="shared" ref="H64:H74" si="35">SUM(F64:G64)</f>
        <v>384</v>
      </c>
      <c r="I64" s="71">
        <v>131.53674000000001</v>
      </c>
      <c r="J64" s="34">
        <f t="shared" si="25"/>
        <v>34.254359375000007</v>
      </c>
      <c r="K64" s="71">
        <v>366.18923000000001</v>
      </c>
      <c r="L64" s="34">
        <f t="shared" si="32"/>
        <v>95.36177864583334</v>
      </c>
      <c r="M64" s="71">
        <v>393.32672000000002</v>
      </c>
      <c r="N64" s="34">
        <f t="shared" si="33"/>
        <v>102.42883333333334</v>
      </c>
      <c r="O64" s="71">
        <v>446.16620999999998</v>
      </c>
      <c r="P64" s="34">
        <f t="shared" si="34"/>
        <v>116.1891171875</v>
      </c>
      <c r="Q64" s="274">
        <f t="shared" ref="Q64:Q74" si="36">O64-H64</f>
        <v>62.166209999999978</v>
      </c>
      <c r="R64" s="114" t="s">
        <v>379</v>
      </c>
      <c r="S64" s="71">
        <v>408</v>
      </c>
      <c r="T64" s="165">
        <f>S64/F64</f>
        <v>1.0625</v>
      </c>
      <c r="U64" s="119"/>
    </row>
    <row r="65" spans="1:21" x14ac:dyDescent="0.2">
      <c r="A65" s="111"/>
      <c r="B65" s="29">
        <v>2132</v>
      </c>
      <c r="C65" s="111">
        <v>2121</v>
      </c>
      <c r="D65" s="29">
        <v>237</v>
      </c>
      <c r="E65" s="29" t="s">
        <v>202</v>
      </c>
      <c r="F65" s="71">
        <f>1350+60</f>
        <v>1410</v>
      </c>
      <c r="G65" s="71"/>
      <c r="H65" s="71">
        <f t="shared" si="35"/>
        <v>1410</v>
      </c>
      <c r="I65" s="71">
        <f>4.85+302.54187</f>
        <v>307.39187000000004</v>
      </c>
      <c r="J65" s="34">
        <f t="shared" si="25"/>
        <v>21.800841843971632</v>
      </c>
      <c r="K65" s="71">
        <f>13.8457+628.30123</f>
        <v>642.14693</v>
      </c>
      <c r="L65" s="34">
        <f t="shared" ref="L65:L74" si="37">K65/$H65*100</f>
        <v>45.542335460992902</v>
      </c>
      <c r="M65" s="71">
        <f>18.5007+1021.85161</f>
        <v>1040.35231</v>
      </c>
      <c r="N65" s="34">
        <f t="shared" ref="N65:N75" si="38">M65/$H65*100</f>
        <v>73.783851773049648</v>
      </c>
      <c r="O65" s="71">
        <f>45.17905+1396.63828</f>
        <v>1441.8173299999999</v>
      </c>
      <c r="P65" s="34">
        <f t="shared" ref="P65:P74" si="39">O65/$H65*100</f>
        <v>102.25654822695034</v>
      </c>
      <c r="Q65" s="274">
        <f t="shared" si="36"/>
        <v>31.817329999999856</v>
      </c>
      <c r="R65" s="257"/>
      <c r="S65" s="71">
        <f>1360+24</f>
        <v>1384</v>
      </c>
      <c r="T65" s="165">
        <f>S65/F65</f>
        <v>0.98156028368794324</v>
      </c>
      <c r="U65" s="450">
        <f>239+4</f>
        <v>243</v>
      </c>
    </row>
    <row r="66" spans="1:21" x14ac:dyDescent="0.2">
      <c r="A66" s="111"/>
      <c r="B66" s="29">
        <v>2132</v>
      </c>
      <c r="C66" s="111">
        <v>3113</v>
      </c>
      <c r="D66" s="613"/>
      <c r="E66" s="29" t="s">
        <v>435</v>
      </c>
      <c r="F66" s="71"/>
      <c r="G66" s="71"/>
      <c r="H66" s="71"/>
      <c r="I66" s="71"/>
      <c r="J66" s="34"/>
      <c r="K66" s="71"/>
      <c r="L66" s="34"/>
      <c r="M66" s="71"/>
      <c r="N66" s="34"/>
      <c r="O66" s="71"/>
      <c r="P66" s="34"/>
      <c r="Q66" s="274">
        <f t="shared" si="36"/>
        <v>0</v>
      </c>
      <c r="R66" s="257"/>
      <c r="S66" s="71">
        <v>195</v>
      </c>
      <c r="T66" s="165"/>
      <c r="U66" s="119"/>
    </row>
    <row r="67" spans="1:21" x14ac:dyDescent="0.2">
      <c r="A67" s="111"/>
      <c r="B67" s="29">
        <v>2132</v>
      </c>
      <c r="C67" s="111">
        <v>3613</v>
      </c>
      <c r="D67" s="613">
        <v>316</v>
      </c>
      <c r="E67" s="29" t="s">
        <v>437</v>
      </c>
      <c r="F67" s="71"/>
      <c r="G67" s="71"/>
      <c r="H67" s="71"/>
      <c r="I67" s="71"/>
      <c r="J67" s="34"/>
      <c r="K67" s="71"/>
      <c r="L67" s="34"/>
      <c r="M67" s="71"/>
      <c r="N67" s="34"/>
      <c r="O67" s="71"/>
      <c r="P67" s="34"/>
      <c r="Q67" s="274">
        <f t="shared" si="36"/>
        <v>0</v>
      </c>
      <c r="R67" s="257"/>
      <c r="S67" s="71"/>
      <c r="T67" s="165"/>
      <c r="U67" s="119"/>
    </row>
    <row r="68" spans="1:21" x14ac:dyDescent="0.2">
      <c r="A68" s="111"/>
      <c r="B68" s="29">
        <v>2132</v>
      </c>
      <c r="C68" s="111">
        <v>3612</v>
      </c>
      <c r="D68" s="29" t="s">
        <v>322</v>
      </c>
      <c r="E68" s="29" t="s">
        <v>152</v>
      </c>
      <c r="F68" s="71">
        <v>7848</v>
      </c>
      <c r="G68" s="71"/>
      <c r="H68" s="71">
        <f t="shared" si="35"/>
        <v>7848</v>
      </c>
      <c r="I68" s="71">
        <f>489.487+405.555+2.815+1029.473+9.093</f>
        <v>1936.423</v>
      </c>
      <c r="J68" s="34">
        <f t="shared" si="25"/>
        <v>24.674095310907237</v>
      </c>
      <c r="K68" s="71">
        <f>986.534+0.07+821.203+8.845+2090.234+17.754</f>
        <v>3924.64</v>
      </c>
      <c r="L68" s="34">
        <f t="shared" si="37"/>
        <v>50.008154943934755</v>
      </c>
      <c r="M68" s="71">
        <f>1471.954+0.07+1234.402+9.01+3150.558+32.202</f>
        <v>5898.1960000000008</v>
      </c>
      <c r="N68" s="34">
        <f t="shared" si="38"/>
        <v>75.155402650356791</v>
      </c>
      <c r="O68" s="71">
        <f>7797.9078+47.431</f>
        <v>7845.3387999999995</v>
      </c>
      <c r="P68" s="34">
        <f t="shared" si="39"/>
        <v>99.966090723751265</v>
      </c>
      <c r="Q68" s="274">
        <f t="shared" si="36"/>
        <v>-2.6612000000004628</v>
      </c>
      <c r="R68" s="114"/>
      <c r="S68" s="71">
        <v>7848</v>
      </c>
      <c r="T68" s="165">
        <f t="shared" ref="T68:T76" si="40">S68/F68</f>
        <v>1</v>
      </c>
      <c r="U68" s="119"/>
    </row>
    <row r="69" spans="1:21" x14ac:dyDescent="0.2">
      <c r="A69" s="111"/>
      <c r="B69" s="29">
        <v>2132</v>
      </c>
      <c r="C69" s="111">
        <v>3613</v>
      </c>
      <c r="D69" s="29">
        <v>703</v>
      </c>
      <c r="E69" s="29" t="s">
        <v>43</v>
      </c>
      <c r="F69" s="71">
        <v>750</v>
      </c>
      <c r="G69" s="71"/>
      <c r="H69" s="71">
        <f t="shared" si="35"/>
        <v>750</v>
      </c>
      <c r="I69" s="71">
        <f>178.862+0.005</f>
        <v>178.86699999999999</v>
      </c>
      <c r="J69" s="34">
        <f t="shared" si="25"/>
        <v>23.848933333333335</v>
      </c>
      <c r="K69" s="71">
        <f>393.257+0.143</f>
        <v>393.4</v>
      </c>
      <c r="L69" s="34">
        <f t="shared" si="37"/>
        <v>52.453333333333333</v>
      </c>
      <c r="M69" s="71">
        <f>574.264+0.167</f>
        <v>574.43100000000004</v>
      </c>
      <c r="N69" s="34">
        <f t="shared" si="38"/>
        <v>76.590800000000002</v>
      </c>
      <c r="O69" s="71">
        <f>761.26+0.167</f>
        <v>761.42700000000002</v>
      </c>
      <c r="P69" s="34">
        <f t="shared" si="39"/>
        <v>101.5236</v>
      </c>
      <c r="Q69" s="274">
        <f t="shared" si="36"/>
        <v>11.427000000000021</v>
      </c>
      <c r="R69" s="114"/>
      <c r="S69" s="71">
        <v>750</v>
      </c>
      <c r="T69" s="165">
        <f t="shared" si="40"/>
        <v>1</v>
      </c>
      <c r="U69" s="119"/>
    </row>
    <row r="70" spans="1:21" ht="13.5" customHeight="1" x14ac:dyDescent="0.2">
      <c r="A70" s="111"/>
      <c r="B70" s="29">
        <v>2132</v>
      </c>
      <c r="C70" s="111">
        <v>3634</v>
      </c>
      <c r="D70" s="29">
        <v>21</v>
      </c>
      <c r="E70" s="29" t="s">
        <v>44</v>
      </c>
      <c r="F70" s="71">
        <v>1807</v>
      </c>
      <c r="G70" s="71"/>
      <c r="H70" s="71">
        <f t="shared" si="35"/>
        <v>1807</v>
      </c>
      <c r="I70" s="71">
        <v>451.66224999999997</v>
      </c>
      <c r="J70" s="34">
        <f t="shared" si="25"/>
        <v>24.995143884892084</v>
      </c>
      <c r="K70" s="71">
        <v>903.32425000000001</v>
      </c>
      <c r="L70" s="34">
        <f t="shared" si="37"/>
        <v>49.990273934698401</v>
      </c>
      <c r="M70" s="71">
        <v>1354.9862499999999</v>
      </c>
      <c r="N70" s="34">
        <f t="shared" si="38"/>
        <v>74.9854039845047</v>
      </c>
      <c r="O70" s="71">
        <v>1806.64825</v>
      </c>
      <c r="P70" s="34">
        <f t="shared" si="39"/>
        <v>99.980534034311006</v>
      </c>
      <c r="Q70" s="274">
        <f t="shared" si="36"/>
        <v>-0.3517500000000382</v>
      </c>
      <c r="R70" s="114"/>
      <c r="S70" s="71">
        <v>951</v>
      </c>
      <c r="T70" s="165">
        <f t="shared" si="40"/>
        <v>0.52628666297731042</v>
      </c>
      <c r="U70" s="449">
        <v>165</v>
      </c>
    </row>
    <row r="71" spans="1:21" x14ac:dyDescent="0.2">
      <c r="A71" s="111"/>
      <c r="B71" s="29">
        <v>2132</v>
      </c>
      <c r="C71" s="111">
        <v>3639</v>
      </c>
      <c r="D71" s="29">
        <v>21</v>
      </c>
      <c r="E71" s="29" t="s">
        <v>185</v>
      </c>
      <c r="F71" s="71">
        <f>774-712+275+150</f>
        <v>487</v>
      </c>
      <c r="G71" s="71"/>
      <c r="H71" s="71">
        <f t="shared" si="35"/>
        <v>487</v>
      </c>
      <c r="I71" s="71">
        <v>183.23495</v>
      </c>
      <c r="J71" s="34">
        <f t="shared" si="25"/>
        <v>37.625246406570838</v>
      </c>
      <c r="K71" s="71">
        <v>277.67894999999999</v>
      </c>
      <c r="L71" s="34">
        <f t="shared" si="37"/>
        <v>57.018264887063651</v>
      </c>
      <c r="M71" s="71">
        <v>377.48498000000001</v>
      </c>
      <c r="N71" s="34">
        <f t="shared" si="38"/>
        <v>77.512316221765914</v>
      </c>
      <c r="O71" s="71">
        <v>466.87047999999999</v>
      </c>
      <c r="P71" s="34">
        <f t="shared" si="39"/>
        <v>95.866628336755639</v>
      </c>
      <c r="Q71" s="274">
        <f t="shared" si="36"/>
        <v>-20.129520000000014</v>
      </c>
      <c r="R71" s="114"/>
      <c r="S71" s="71">
        <f>162+275+123</f>
        <v>560</v>
      </c>
      <c r="T71" s="165">
        <f t="shared" si="40"/>
        <v>1.1498973305954825</v>
      </c>
      <c r="U71" s="449">
        <f>48+22</f>
        <v>70</v>
      </c>
    </row>
    <row r="72" spans="1:21" x14ac:dyDescent="0.2">
      <c r="A72" s="111"/>
      <c r="B72" s="29">
        <v>2132</v>
      </c>
      <c r="C72" s="111">
        <v>3639</v>
      </c>
      <c r="D72" s="29">
        <v>319</v>
      </c>
      <c r="E72" s="29" t="s">
        <v>288</v>
      </c>
      <c r="F72" s="71">
        <v>274</v>
      </c>
      <c r="G72" s="71"/>
      <c r="H72" s="71">
        <f t="shared" si="35"/>
        <v>274</v>
      </c>
      <c r="I72" s="71">
        <v>68.606999999999999</v>
      </c>
      <c r="J72" s="34">
        <f t="shared" si="25"/>
        <v>25.039051094890514</v>
      </c>
      <c r="K72" s="71">
        <v>137.214</v>
      </c>
      <c r="L72" s="34">
        <f t="shared" si="37"/>
        <v>50.078102189781028</v>
      </c>
      <c r="M72" s="71">
        <v>205.821</v>
      </c>
      <c r="N72" s="34">
        <f t="shared" si="38"/>
        <v>75.117153284671531</v>
      </c>
      <c r="O72" s="71">
        <v>274.428</v>
      </c>
      <c r="P72" s="34">
        <f t="shared" si="39"/>
        <v>100.15620437956206</v>
      </c>
      <c r="Q72" s="274">
        <f t="shared" si="36"/>
        <v>0.42799999999999727</v>
      </c>
      <c r="R72" s="114"/>
      <c r="S72" s="71">
        <v>274</v>
      </c>
      <c r="T72" s="165">
        <f t="shared" si="40"/>
        <v>1</v>
      </c>
      <c r="U72" s="449">
        <f>48</f>
        <v>48</v>
      </c>
    </row>
    <row r="73" spans="1:21" x14ac:dyDescent="0.2">
      <c r="A73" s="111"/>
      <c r="B73" s="29">
        <v>2133</v>
      </c>
      <c r="C73" s="111">
        <v>3639</v>
      </c>
      <c r="D73" s="29">
        <v>34</v>
      </c>
      <c r="E73" s="29" t="s">
        <v>184</v>
      </c>
      <c r="F73" s="71">
        <v>39</v>
      </c>
      <c r="G73" s="71"/>
      <c r="H73" s="71">
        <f t="shared" si="35"/>
        <v>39</v>
      </c>
      <c r="I73" s="71">
        <v>13.382</v>
      </c>
      <c r="J73" s="34">
        <f t="shared" si="25"/>
        <v>34.312820512820515</v>
      </c>
      <c r="K73" s="71">
        <v>24.3811</v>
      </c>
      <c r="L73" s="34">
        <f t="shared" si="37"/>
        <v>62.515641025641024</v>
      </c>
      <c r="M73" s="71">
        <v>33.688800000000001</v>
      </c>
      <c r="N73" s="34">
        <f t="shared" si="38"/>
        <v>86.381538461538469</v>
      </c>
      <c r="O73" s="71">
        <v>42.996499999999997</v>
      </c>
      <c r="P73" s="34">
        <f t="shared" si="39"/>
        <v>110.24743589743589</v>
      </c>
      <c r="Q73" s="274">
        <f t="shared" si="36"/>
        <v>3.9964999999999975</v>
      </c>
      <c r="R73" s="114" t="s">
        <v>324</v>
      </c>
      <c r="S73" s="71">
        <v>44</v>
      </c>
      <c r="T73" s="165">
        <f t="shared" si="40"/>
        <v>1.1282051282051282</v>
      </c>
      <c r="U73" s="449">
        <v>7</v>
      </c>
    </row>
    <row r="74" spans="1:21" x14ac:dyDescent="0.2">
      <c r="A74" s="111"/>
      <c r="B74" s="29">
        <v>2132</v>
      </c>
      <c r="C74" s="111">
        <v>4355</v>
      </c>
      <c r="D74" s="29">
        <v>311</v>
      </c>
      <c r="E74" s="29" t="s">
        <v>295</v>
      </c>
      <c r="F74" s="71">
        <v>712</v>
      </c>
      <c r="G74" s="71"/>
      <c r="H74" s="71">
        <f t="shared" si="35"/>
        <v>712</v>
      </c>
      <c r="I74" s="71">
        <v>0</v>
      </c>
      <c r="J74" s="34">
        <f t="shared" si="25"/>
        <v>0</v>
      </c>
      <c r="K74" s="71">
        <v>0</v>
      </c>
      <c r="L74" s="34">
        <f t="shared" si="37"/>
        <v>0</v>
      </c>
      <c r="M74" s="71">
        <v>712</v>
      </c>
      <c r="N74" s="34">
        <f t="shared" si="38"/>
        <v>100</v>
      </c>
      <c r="O74" s="71">
        <v>712</v>
      </c>
      <c r="P74" s="34">
        <f t="shared" si="39"/>
        <v>100</v>
      </c>
      <c r="Q74" s="274">
        <f t="shared" si="36"/>
        <v>0</v>
      </c>
      <c r="R74" s="114"/>
      <c r="S74" s="71">
        <v>712</v>
      </c>
      <c r="T74" s="165">
        <f t="shared" si="40"/>
        <v>1</v>
      </c>
      <c r="U74" s="119"/>
    </row>
    <row r="75" spans="1:21" ht="14.25" customHeight="1" x14ac:dyDescent="0.2">
      <c r="A75" s="111"/>
      <c r="B75" s="111"/>
      <c r="C75" s="111"/>
      <c r="D75" s="111"/>
      <c r="E75" s="32" t="s">
        <v>91</v>
      </c>
      <c r="F75" s="72">
        <f>SUM(F76:F79)</f>
        <v>95</v>
      </c>
      <c r="G75" s="72">
        <f>SUM(G76:G79)</f>
        <v>0</v>
      </c>
      <c r="H75" s="72">
        <f>SUM(H76:H79)</f>
        <v>95</v>
      </c>
      <c r="I75" s="72">
        <f>SUM(I76:I79)</f>
        <v>23.972919999999998</v>
      </c>
      <c r="J75" s="219">
        <f t="shared" si="25"/>
        <v>25.234652631578946</v>
      </c>
      <c r="K75" s="72">
        <f>SUM(K76:K79)</f>
        <v>47.437799999999996</v>
      </c>
      <c r="L75" s="219">
        <f t="shared" si="32"/>
        <v>49.934526315789469</v>
      </c>
      <c r="M75" s="72">
        <f>SUM(M76:M79)</f>
        <v>69.684349999999995</v>
      </c>
      <c r="N75" s="219">
        <f t="shared" si="38"/>
        <v>73.351947368421051</v>
      </c>
      <c r="O75" s="72">
        <f>SUM(O76:O79)</f>
        <v>89.528549999999996</v>
      </c>
      <c r="P75" s="219">
        <f t="shared" si="34"/>
        <v>94.240578947368419</v>
      </c>
      <c r="Q75" s="356">
        <f>SUM(Q76:Q79)</f>
        <v>-5.4714499999999999</v>
      </c>
      <c r="R75" s="258"/>
      <c r="S75" s="72">
        <f>SUM(S76:S79)</f>
        <v>74</v>
      </c>
      <c r="T75" s="164">
        <f t="shared" si="40"/>
        <v>0.77894736842105261</v>
      </c>
    </row>
    <row r="76" spans="1:21" x14ac:dyDescent="0.2">
      <c r="A76" s="111"/>
      <c r="B76" s="29">
        <v>2141</v>
      </c>
      <c r="C76" s="111">
        <v>6310</v>
      </c>
      <c r="D76" s="29">
        <v>314</v>
      </c>
      <c r="E76" s="29" t="s">
        <v>303</v>
      </c>
      <c r="F76" s="71">
        <v>15</v>
      </c>
      <c r="G76" s="71"/>
      <c r="H76" s="71">
        <f>SUM(F76:G76)</f>
        <v>15</v>
      </c>
      <c r="I76" s="71">
        <f>2.91826+0.20744+0.13789</f>
        <v>3.2635900000000002</v>
      </c>
      <c r="J76" s="34">
        <f t="shared" si="25"/>
        <v>21.75726666666667</v>
      </c>
      <c r="K76" s="71">
        <f>6.00591+0.37123+0.27733</f>
        <v>6.6544699999999999</v>
      </c>
      <c r="L76" s="34">
        <f t="shared" si="32"/>
        <v>44.36313333333333</v>
      </c>
      <c r="M76" s="71">
        <f>9.33264+0.51574+0.41832+0.41</f>
        <v>10.676699999999999</v>
      </c>
      <c r="N76" s="34">
        <f t="shared" si="33"/>
        <v>71.177999999999983</v>
      </c>
      <c r="O76" s="71">
        <f>12.33675+0.65779+0.57637</f>
        <v>13.570910000000001</v>
      </c>
      <c r="P76" s="34">
        <f t="shared" si="34"/>
        <v>90.472733333333338</v>
      </c>
      <c r="Q76" s="274">
        <f t="shared" ref="Q76:Q79" si="41">O76-H76</f>
        <v>-1.4290899999999986</v>
      </c>
      <c r="R76" s="114"/>
      <c r="S76" s="71">
        <v>15</v>
      </c>
      <c r="T76" s="165">
        <f t="shared" si="40"/>
        <v>1</v>
      </c>
    </row>
    <row r="77" spans="1:21" x14ac:dyDescent="0.2">
      <c r="A77" s="111"/>
      <c r="B77" s="29">
        <v>2143</v>
      </c>
      <c r="C77" s="111"/>
      <c r="D77" s="29"/>
      <c r="E77" s="29" t="s">
        <v>313</v>
      </c>
      <c r="F77" s="71"/>
      <c r="G77" s="71"/>
      <c r="H77" s="71"/>
      <c r="I77" s="71">
        <v>1.33E-3</v>
      </c>
      <c r="J77" s="34"/>
      <c r="K77" s="71">
        <v>1.33E-3</v>
      </c>
      <c r="L77" s="34"/>
      <c r="M77" s="71">
        <v>8.6499999999999997E-3</v>
      </c>
      <c r="N77" s="34"/>
      <c r="O77" s="71">
        <v>1.464E-2</v>
      </c>
      <c r="P77" s="34"/>
      <c r="Q77" s="274">
        <f t="shared" si="41"/>
        <v>1.464E-2</v>
      </c>
      <c r="R77" s="114"/>
      <c r="S77" s="71"/>
      <c r="T77" s="165"/>
    </row>
    <row r="78" spans="1:21" x14ac:dyDescent="0.2">
      <c r="A78" s="111"/>
      <c r="B78" s="29">
        <v>2141</v>
      </c>
      <c r="C78" s="111">
        <v>6310</v>
      </c>
      <c r="D78" s="29">
        <v>245</v>
      </c>
      <c r="E78" s="29" t="s">
        <v>191</v>
      </c>
      <c r="F78" s="71">
        <v>75</v>
      </c>
      <c r="G78" s="71"/>
      <c r="H78" s="71">
        <f>SUM(F78:G78)</f>
        <v>75</v>
      </c>
      <c r="I78" s="71">
        <v>20.707999999999998</v>
      </c>
      <c r="J78" s="34">
        <f t="shared" si="25"/>
        <v>27.610666666666667</v>
      </c>
      <c r="K78" s="71">
        <v>40.177999999999997</v>
      </c>
      <c r="L78" s="34">
        <f t="shared" si="32"/>
        <v>53.570666666666668</v>
      </c>
      <c r="M78" s="71">
        <v>58.395000000000003</v>
      </c>
      <c r="N78" s="34">
        <f t="shared" si="33"/>
        <v>77.860000000000014</v>
      </c>
      <c r="O78" s="71">
        <v>75.338999999999999</v>
      </c>
      <c r="P78" s="34">
        <f t="shared" si="34"/>
        <v>100.45200000000001</v>
      </c>
      <c r="Q78" s="274">
        <f t="shared" si="41"/>
        <v>0.33899999999999864</v>
      </c>
      <c r="R78" s="114"/>
      <c r="S78" s="71">
        <v>54</v>
      </c>
      <c r="T78" s="165">
        <f t="shared" ref="T78:T87" si="42">S78/F78</f>
        <v>0.72</v>
      </c>
    </row>
    <row r="79" spans="1:21" ht="13.5" customHeight="1" x14ac:dyDescent="0.2">
      <c r="A79" s="111"/>
      <c r="B79" s="29">
        <v>2141</v>
      </c>
      <c r="C79" s="111">
        <v>6310</v>
      </c>
      <c r="D79" s="29">
        <v>318</v>
      </c>
      <c r="E79" s="29" t="s">
        <v>353</v>
      </c>
      <c r="F79" s="71">
        <v>5</v>
      </c>
      <c r="G79" s="71"/>
      <c r="H79" s="71">
        <f>SUM(F79:G79)</f>
        <v>5</v>
      </c>
      <c r="I79" s="71"/>
      <c r="J79" s="34">
        <f t="shared" ref="J79:J87" si="43">I79/$H79*100</f>
        <v>0</v>
      </c>
      <c r="K79" s="71">
        <v>0.60399999999999998</v>
      </c>
      <c r="L79" s="34">
        <f t="shared" si="32"/>
        <v>12.079999999999998</v>
      </c>
      <c r="M79" s="71">
        <f>0.604</f>
        <v>0.60399999999999998</v>
      </c>
      <c r="N79" s="34">
        <f t="shared" si="33"/>
        <v>12.079999999999998</v>
      </c>
      <c r="O79" s="71">
        <v>0.60399999999999998</v>
      </c>
      <c r="P79" s="34">
        <f t="shared" si="34"/>
        <v>12.079999999999998</v>
      </c>
      <c r="Q79" s="274">
        <f t="shared" si="41"/>
        <v>-4.3959999999999999</v>
      </c>
      <c r="R79" s="114"/>
      <c r="S79" s="71">
        <v>5</v>
      </c>
      <c r="T79" s="165">
        <f t="shared" si="42"/>
        <v>1</v>
      </c>
    </row>
    <row r="80" spans="1:21" x14ac:dyDescent="0.2">
      <c r="A80" s="98" t="s">
        <v>140</v>
      </c>
      <c r="B80" s="32"/>
      <c r="C80" s="98"/>
      <c r="D80" s="32"/>
      <c r="E80" s="32"/>
      <c r="F80" s="72">
        <f>SUM(F81:F87)</f>
        <v>1569</v>
      </c>
      <c r="G80" s="72">
        <f>SUM(G81:G87)</f>
        <v>0</v>
      </c>
      <c r="H80" s="72">
        <f>SUM(H81:H87)</f>
        <v>1569</v>
      </c>
      <c r="I80" s="72">
        <f>SUM(I81:I87)</f>
        <v>156.0608</v>
      </c>
      <c r="J80" s="219">
        <f t="shared" si="43"/>
        <v>9.9465137029955386</v>
      </c>
      <c r="K80" s="72">
        <f>SUM(K81:K87)</f>
        <v>392.12924000000004</v>
      </c>
      <c r="L80" s="219">
        <f t="shared" si="32"/>
        <v>24.992303377947739</v>
      </c>
      <c r="M80" s="72">
        <f>SUM(M81:M87)</f>
        <v>603.63724000000002</v>
      </c>
      <c r="N80" s="219">
        <f t="shared" si="33"/>
        <v>38.472736775015939</v>
      </c>
      <c r="O80" s="72">
        <f>SUM(O81:O87)</f>
        <v>878.28777999999988</v>
      </c>
      <c r="P80" s="219">
        <f t="shared" si="34"/>
        <v>55.977551306564685</v>
      </c>
      <c r="Q80" s="356">
        <f>SUM(Q81:Q87)</f>
        <v>-690.71222000000012</v>
      </c>
      <c r="R80" s="254"/>
      <c r="S80" s="72">
        <f>SUM(S81:S87)</f>
        <v>1527</v>
      </c>
      <c r="T80" s="164">
        <f t="shared" si="42"/>
        <v>0.97323135755258128</v>
      </c>
    </row>
    <row r="81" spans="1:21" x14ac:dyDescent="0.2">
      <c r="A81" s="111"/>
      <c r="B81" s="29">
        <v>2212</v>
      </c>
      <c r="C81" s="111">
        <v>6171</v>
      </c>
      <c r="D81" s="29">
        <v>11</v>
      </c>
      <c r="E81" s="29" t="s">
        <v>146</v>
      </c>
      <c r="F81" s="71">
        <v>10</v>
      </c>
      <c r="G81" s="71"/>
      <c r="H81" s="71">
        <f t="shared" ref="H81:H91" si="44">SUM(F81:G81)</f>
        <v>10</v>
      </c>
      <c r="I81" s="71">
        <v>0</v>
      </c>
      <c r="J81" s="34">
        <f t="shared" si="43"/>
        <v>0</v>
      </c>
      <c r="K81" s="71">
        <v>0</v>
      </c>
      <c r="L81" s="34">
        <f t="shared" si="32"/>
        <v>0</v>
      </c>
      <c r="M81" s="71"/>
      <c r="N81" s="34">
        <f t="shared" si="33"/>
        <v>0</v>
      </c>
      <c r="O81" s="71">
        <v>1.5</v>
      </c>
      <c r="P81" s="34">
        <f t="shared" si="34"/>
        <v>15</v>
      </c>
      <c r="Q81" s="274">
        <f t="shared" ref="Q81:Q87" si="45">O81-H81</f>
        <v>-8.5</v>
      </c>
      <c r="R81" s="254"/>
      <c r="S81" s="71">
        <v>5</v>
      </c>
      <c r="T81" s="223">
        <f t="shared" si="42"/>
        <v>0.5</v>
      </c>
    </row>
    <row r="82" spans="1:21" x14ac:dyDescent="0.2">
      <c r="B82" s="29">
        <v>2212</v>
      </c>
      <c r="C82" s="111">
        <v>6171</v>
      </c>
      <c r="D82" s="29">
        <v>14.33</v>
      </c>
      <c r="E82" s="29" t="s">
        <v>268</v>
      </c>
      <c r="F82" s="71">
        <f>60+5</f>
        <v>65</v>
      </c>
      <c r="G82" s="71"/>
      <c r="H82" s="71">
        <f t="shared" si="44"/>
        <v>65</v>
      </c>
      <c r="I82" s="71">
        <f>21.941+0.4+2</f>
        <v>24.340999999999998</v>
      </c>
      <c r="J82" s="34">
        <f t="shared" si="43"/>
        <v>37.447692307692307</v>
      </c>
      <c r="K82" s="71">
        <f>43.88384+0.8+4.2</f>
        <v>48.883839999999999</v>
      </c>
      <c r="L82" s="34">
        <f t="shared" si="32"/>
        <v>75.20590769230769</v>
      </c>
      <c r="M82" s="71">
        <f>59.42984+0.8+5.9</f>
        <v>66.129840000000002</v>
      </c>
      <c r="N82" s="34">
        <f t="shared" si="33"/>
        <v>101.73821538461539</v>
      </c>
      <c r="O82" s="71">
        <f>99.94932+1+6.4</f>
        <v>107.34932000000001</v>
      </c>
      <c r="P82" s="34">
        <f t="shared" si="34"/>
        <v>165.15280000000001</v>
      </c>
      <c r="Q82" s="274">
        <f t="shared" si="45"/>
        <v>42.349320000000006</v>
      </c>
      <c r="R82" s="114"/>
      <c r="S82" s="71">
        <f>65+7</f>
        <v>72</v>
      </c>
      <c r="T82" s="165">
        <f t="shared" si="42"/>
        <v>1.1076923076923078</v>
      </c>
    </row>
    <row r="83" spans="1:21" x14ac:dyDescent="0.2">
      <c r="A83" s="99"/>
      <c r="B83" s="29">
        <v>2212</v>
      </c>
      <c r="C83" s="111">
        <v>2169</v>
      </c>
      <c r="D83" s="29">
        <v>15</v>
      </c>
      <c r="E83" s="29" t="s">
        <v>175</v>
      </c>
      <c r="F83" s="71">
        <v>40</v>
      </c>
      <c r="G83" s="71"/>
      <c r="H83" s="71">
        <f t="shared" si="44"/>
        <v>40</v>
      </c>
      <c r="I83" s="71"/>
      <c r="J83" s="34">
        <f t="shared" si="43"/>
        <v>0</v>
      </c>
      <c r="K83" s="71">
        <v>0.5</v>
      </c>
      <c r="L83" s="34">
        <f t="shared" si="32"/>
        <v>1.25</v>
      </c>
      <c r="M83" s="71">
        <v>0.5</v>
      </c>
      <c r="N83" s="34">
        <f t="shared" si="33"/>
        <v>1.25</v>
      </c>
      <c r="O83" s="71">
        <v>0.5</v>
      </c>
      <c r="P83" s="34">
        <f t="shared" si="34"/>
        <v>1.25</v>
      </c>
      <c r="Q83" s="274">
        <f t="shared" si="45"/>
        <v>-39.5</v>
      </c>
      <c r="R83" s="447"/>
      <c r="S83" s="71">
        <v>40</v>
      </c>
      <c r="T83" s="165">
        <f t="shared" si="42"/>
        <v>1</v>
      </c>
    </row>
    <row r="84" spans="1:21" x14ac:dyDescent="0.2">
      <c r="A84" s="111"/>
      <c r="B84" s="29">
        <v>2212</v>
      </c>
      <c r="C84" s="246" t="s">
        <v>198</v>
      </c>
      <c r="D84" s="29">
        <v>17</v>
      </c>
      <c r="E84" s="29" t="s">
        <v>143</v>
      </c>
      <c r="F84" s="71">
        <v>100</v>
      </c>
      <c r="G84" s="71"/>
      <c r="H84" s="71">
        <f t="shared" si="44"/>
        <v>100</v>
      </c>
      <c r="I84" s="71">
        <f>0.3</f>
        <v>0.3</v>
      </c>
      <c r="J84" s="34">
        <f t="shared" si="43"/>
        <v>0.3</v>
      </c>
      <c r="K84" s="71">
        <v>19.600000000000001</v>
      </c>
      <c r="L84" s="34">
        <f t="shared" si="32"/>
        <v>19.600000000000001</v>
      </c>
      <c r="M84" s="71">
        <v>23.8</v>
      </c>
      <c r="N84" s="34">
        <f t="shared" si="33"/>
        <v>23.8</v>
      </c>
      <c r="O84" s="71">
        <v>27.2</v>
      </c>
      <c r="P84" s="34">
        <f t="shared" si="34"/>
        <v>27.200000000000003</v>
      </c>
      <c r="Q84" s="274">
        <f t="shared" si="45"/>
        <v>-72.8</v>
      </c>
      <c r="R84" s="114"/>
      <c r="S84" s="71">
        <v>60</v>
      </c>
      <c r="T84" s="165">
        <f t="shared" si="42"/>
        <v>0.6</v>
      </c>
    </row>
    <row r="85" spans="1:21" x14ac:dyDescent="0.2">
      <c r="A85" s="111"/>
      <c r="B85" s="29">
        <v>2212</v>
      </c>
      <c r="C85" s="111">
        <v>6171</v>
      </c>
      <c r="D85" s="29">
        <v>25.26</v>
      </c>
      <c r="E85" s="29" t="s">
        <v>142</v>
      </c>
      <c r="F85" s="71">
        <v>1200</v>
      </c>
      <c r="G85" s="71"/>
      <c r="H85" s="71">
        <f t="shared" si="44"/>
        <v>1200</v>
      </c>
      <c r="I85" s="71">
        <v>109.4198</v>
      </c>
      <c r="J85" s="34">
        <f t="shared" si="43"/>
        <v>9.1183166666666668</v>
      </c>
      <c r="K85" s="71">
        <f>240.8454</f>
        <v>240.84540000000001</v>
      </c>
      <c r="L85" s="34">
        <f t="shared" si="32"/>
        <v>20.070450000000001</v>
      </c>
      <c r="M85" s="71">
        <f>378.5074</f>
        <v>378.50740000000002</v>
      </c>
      <c r="N85" s="34">
        <f t="shared" si="33"/>
        <v>31.542283333333337</v>
      </c>
      <c r="O85" s="71">
        <v>584.43845999999996</v>
      </c>
      <c r="P85" s="34">
        <f t="shared" si="34"/>
        <v>48.703204999999997</v>
      </c>
      <c r="Q85" s="274">
        <f t="shared" si="45"/>
        <v>-615.56154000000004</v>
      </c>
      <c r="R85" s="114"/>
      <c r="S85" s="71">
        <v>1200</v>
      </c>
      <c r="T85" s="165">
        <f t="shared" si="42"/>
        <v>1</v>
      </c>
    </row>
    <row r="86" spans="1:21" x14ac:dyDescent="0.2">
      <c r="A86" s="111"/>
      <c r="B86" s="29">
        <v>2212</v>
      </c>
      <c r="C86" s="111">
        <v>6171</v>
      </c>
      <c r="D86" s="29">
        <v>30.13</v>
      </c>
      <c r="E86" s="29" t="s">
        <v>357</v>
      </c>
      <c r="F86" s="71">
        <v>4</v>
      </c>
      <c r="G86" s="71"/>
      <c r="H86" s="71">
        <f t="shared" si="44"/>
        <v>4</v>
      </c>
      <c r="I86" s="71"/>
      <c r="J86" s="34">
        <f t="shared" si="43"/>
        <v>0</v>
      </c>
      <c r="K86" s="71">
        <v>0</v>
      </c>
      <c r="L86" s="34">
        <f t="shared" si="32"/>
        <v>0</v>
      </c>
      <c r="M86" s="71">
        <v>0</v>
      </c>
      <c r="N86" s="34">
        <f t="shared" si="33"/>
        <v>0</v>
      </c>
      <c r="O86" s="71"/>
      <c r="P86" s="34">
        <f t="shared" si="34"/>
        <v>0</v>
      </c>
      <c r="Q86" s="274">
        <f t="shared" si="45"/>
        <v>-4</v>
      </c>
      <c r="R86" s="114"/>
      <c r="S86" s="71">
        <v>0</v>
      </c>
      <c r="T86" s="165">
        <f t="shared" si="42"/>
        <v>0</v>
      </c>
    </row>
    <row r="87" spans="1:21" x14ac:dyDescent="0.2">
      <c r="A87" s="111"/>
      <c r="B87" s="29">
        <v>2212</v>
      </c>
      <c r="C87" s="111">
        <v>5311</v>
      </c>
      <c r="D87" s="29">
        <v>16</v>
      </c>
      <c r="E87" s="29" t="s">
        <v>45</v>
      </c>
      <c r="F87" s="71">
        <v>150</v>
      </c>
      <c r="G87" s="71"/>
      <c r="H87" s="71">
        <f t="shared" si="44"/>
        <v>150</v>
      </c>
      <c r="I87" s="71">
        <v>22</v>
      </c>
      <c r="J87" s="34">
        <f t="shared" si="43"/>
        <v>14.666666666666666</v>
      </c>
      <c r="K87" s="71">
        <v>82.3</v>
      </c>
      <c r="L87" s="34">
        <f t="shared" si="32"/>
        <v>54.86666666666666</v>
      </c>
      <c r="M87" s="71">
        <v>134.69999999999999</v>
      </c>
      <c r="N87" s="34">
        <f t="shared" si="33"/>
        <v>89.8</v>
      </c>
      <c r="O87" s="71">
        <v>157.30000000000001</v>
      </c>
      <c r="P87" s="34">
        <f t="shared" si="34"/>
        <v>104.86666666666666</v>
      </c>
      <c r="Q87" s="274">
        <f t="shared" si="45"/>
        <v>7.3000000000000114</v>
      </c>
      <c r="R87" s="114"/>
      <c r="S87" s="71">
        <v>150</v>
      </c>
      <c r="T87" s="165">
        <f t="shared" si="42"/>
        <v>1</v>
      </c>
    </row>
    <row r="88" spans="1:21" x14ac:dyDescent="0.2">
      <c r="A88" s="98" t="s">
        <v>139</v>
      </c>
      <c r="B88" s="29"/>
      <c r="C88" s="111"/>
      <c r="D88" s="29"/>
      <c r="E88" s="29"/>
      <c r="F88" s="72">
        <f>SUM(F89:F89)</f>
        <v>0</v>
      </c>
      <c r="G88" s="72">
        <f>SUM(G89:G92)</f>
        <v>92.634410000000003</v>
      </c>
      <c r="H88" s="72">
        <f>SUM(H89:H89)</f>
        <v>74.963999999999999</v>
      </c>
      <c r="I88" s="72">
        <f>SUM(I89:I92)</f>
        <v>52.37659</v>
      </c>
      <c r="J88" s="219"/>
      <c r="K88" s="72">
        <f>SUM(K89:K92)</f>
        <v>107.34059000000001</v>
      </c>
      <c r="L88" s="31"/>
      <c r="M88" s="72">
        <f>SUM(M89:M92)</f>
        <v>129.15058999999999</v>
      </c>
      <c r="N88" s="31"/>
      <c r="O88" s="72">
        <f>SUM(O89:O92)</f>
        <v>296.24759</v>
      </c>
      <c r="P88" s="31"/>
      <c r="Q88" s="356">
        <f>SUM(Q89:Q92)</f>
        <v>204.28359000000003</v>
      </c>
      <c r="R88" s="369"/>
      <c r="S88" s="72">
        <f>SUM(S89:S92)</f>
        <v>0</v>
      </c>
      <c r="T88" s="164"/>
    </row>
    <row r="89" spans="1:21" x14ac:dyDescent="0.2">
      <c r="A89" s="111"/>
      <c r="B89" s="29">
        <v>2321</v>
      </c>
      <c r="C89" s="111">
        <v>2199</v>
      </c>
      <c r="D89" s="29"/>
      <c r="E89" s="29" t="s">
        <v>291</v>
      </c>
      <c r="F89" s="71"/>
      <c r="G89" s="71">
        <f>44.964+10+20</f>
        <v>74.963999999999999</v>
      </c>
      <c r="H89" s="71">
        <f t="shared" si="44"/>
        <v>74.963999999999999</v>
      </c>
      <c r="I89" s="71"/>
      <c r="J89" s="34"/>
      <c r="K89" s="71">
        <f>44.964+10</f>
        <v>54.963999999999999</v>
      </c>
      <c r="L89" s="34"/>
      <c r="M89" s="71">
        <f>1.81+44.964+20+10</f>
        <v>76.774000000000001</v>
      </c>
      <c r="N89" s="34"/>
      <c r="O89" s="71">
        <f>44.964+10+20</f>
        <v>74.963999999999999</v>
      </c>
      <c r="P89" s="34"/>
      <c r="Q89" s="274">
        <f t="shared" ref="Q89:Q94" si="46">O89-H89</f>
        <v>0</v>
      </c>
      <c r="R89" s="114"/>
      <c r="S89" s="71">
        <v>0</v>
      </c>
      <c r="T89" s="165"/>
    </row>
    <row r="90" spans="1:21" x14ac:dyDescent="0.2">
      <c r="A90" s="111"/>
      <c r="B90" s="29">
        <v>2322</v>
      </c>
      <c r="C90" s="111">
        <v>5512</v>
      </c>
      <c r="D90" s="29">
        <v>223</v>
      </c>
      <c r="E90" s="29" t="s">
        <v>407</v>
      </c>
      <c r="F90" s="71"/>
      <c r="G90" s="71"/>
      <c r="H90" s="71">
        <f t="shared" si="44"/>
        <v>0</v>
      </c>
      <c r="I90" s="71">
        <v>11.2</v>
      </c>
      <c r="J90" s="34"/>
      <c r="K90" s="71">
        <f>11.2+0.514+17.12218</f>
        <v>28.836179999999999</v>
      </c>
      <c r="L90" s="34"/>
      <c r="M90" s="71">
        <f>11.2+0.514+17.12218</f>
        <v>28.836179999999999</v>
      </c>
      <c r="N90" s="34"/>
      <c r="O90" s="71">
        <f>29.126</f>
        <v>29.126000000000001</v>
      </c>
      <c r="P90" s="34"/>
      <c r="Q90" s="274">
        <f t="shared" si="46"/>
        <v>29.126000000000001</v>
      </c>
      <c r="R90" s="114"/>
      <c r="S90" s="71">
        <v>0</v>
      </c>
      <c r="T90" s="165"/>
    </row>
    <row r="91" spans="1:21" x14ac:dyDescent="0.2">
      <c r="A91" s="111"/>
      <c r="B91" s="29">
        <v>2324</v>
      </c>
      <c r="C91" s="111"/>
      <c r="D91" s="29"/>
      <c r="E91" s="29" t="s">
        <v>348</v>
      </c>
      <c r="F91" s="71"/>
      <c r="G91" s="71">
        <v>17</v>
      </c>
      <c r="H91" s="71">
        <f t="shared" si="44"/>
        <v>17</v>
      </c>
      <c r="I91" s="71">
        <f>22.87+0.514+17.12218</f>
        <v>40.506180000000001</v>
      </c>
      <c r="J91" s="34"/>
      <c r="K91" s="71">
        <f>22.87</f>
        <v>22.87</v>
      </c>
      <c r="L91" s="34"/>
      <c r="M91" s="71">
        <v>22.87</v>
      </c>
      <c r="N91" s="34"/>
      <c r="O91" s="71">
        <f>22.87+66.57+84.925+17.12218</f>
        <v>191.48718000000002</v>
      </c>
      <c r="P91" s="34"/>
      <c r="Q91" s="274">
        <f t="shared" si="46"/>
        <v>174.48718000000002</v>
      </c>
      <c r="R91" s="114"/>
      <c r="S91" s="71">
        <v>0</v>
      </c>
      <c r="T91" s="165"/>
      <c r="U91" s="115"/>
    </row>
    <row r="92" spans="1:21" x14ac:dyDescent="0.2">
      <c r="A92" s="111"/>
      <c r="B92" s="29">
        <v>2222</v>
      </c>
      <c r="C92" s="111"/>
      <c r="D92" s="29"/>
      <c r="E92" s="29" t="s">
        <v>403</v>
      </c>
      <c r="F92" s="71"/>
      <c r="G92" s="71">
        <v>0.67040999999999995</v>
      </c>
      <c r="H92" s="71"/>
      <c r="I92" s="71">
        <v>0.67040999999999995</v>
      </c>
      <c r="J92" s="34"/>
      <c r="K92" s="71">
        <v>0.67040999999999995</v>
      </c>
      <c r="L92" s="34"/>
      <c r="M92" s="71">
        <v>0.67040999999999995</v>
      </c>
      <c r="N92" s="34"/>
      <c r="O92" s="71">
        <v>0.67040999999999995</v>
      </c>
      <c r="P92" s="34"/>
      <c r="Q92" s="274">
        <f t="shared" si="46"/>
        <v>0.67040999999999995</v>
      </c>
      <c r="R92" s="114"/>
      <c r="S92" s="71">
        <v>0</v>
      </c>
      <c r="T92" s="165"/>
    </row>
    <row r="93" spans="1:21" x14ac:dyDescent="0.2">
      <c r="A93" s="98" t="s">
        <v>138</v>
      </c>
      <c r="B93" s="29"/>
      <c r="C93" s="111"/>
      <c r="D93" s="29"/>
      <c r="E93" s="29"/>
      <c r="F93" s="72">
        <f>SUM(F94:F94)</f>
        <v>0</v>
      </c>
      <c r="G93" s="72">
        <f>SUM(G94:G94)</f>
        <v>0</v>
      </c>
      <c r="H93" s="72">
        <f>SUM(H94:H94)</f>
        <v>0</v>
      </c>
      <c r="I93" s="72">
        <f>SUM(I94:I94)</f>
        <v>0</v>
      </c>
      <c r="J93" s="31"/>
      <c r="K93" s="72">
        <f>SUM(K94:K94)</f>
        <v>0</v>
      </c>
      <c r="L93" s="31"/>
      <c r="M93" s="72">
        <f>SUM(M94:M94)</f>
        <v>0</v>
      </c>
      <c r="N93" s="219"/>
      <c r="O93" s="72">
        <f>SUM(O94:O94)</f>
        <v>0</v>
      </c>
      <c r="P93" s="219"/>
      <c r="Q93" s="274">
        <f t="shared" si="46"/>
        <v>0</v>
      </c>
      <c r="R93" s="253"/>
      <c r="S93" s="72">
        <f>SUM(S94:S94)</f>
        <v>0</v>
      </c>
      <c r="T93" s="164"/>
    </row>
    <row r="94" spans="1:21" ht="13.5" thickBot="1" x14ac:dyDescent="0.25">
      <c r="A94" s="111"/>
      <c r="B94" s="29"/>
      <c r="C94" s="111"/>
      <c r="D94" s="29"/>
      <c r="E94" s="29"/>
      <c r="F94" s="71"/>
      <c r="G94" s="71"/>
      <c r="H94" s="71">
        <f>SUM(F94:G94)</f>
        <v>0</v>
      </c>
      <c r="I94" s="71"/>
      <c r="J94" s="34"/>
      <c r="K94" s="71"/>
      <c r="L94" s="34"/>
      <c r="M94" s="71"/>
      <c r="N94" s="34"/>
      <c r="O94" s="71"/>
      <c r="P94" s="34"/>
      <c r="Q94" s="274">
        <f t="shared" si="46"/>
        <v>0</v>
      </c>
      <c r="R94" s="114"/>
      <c r="S94" s="71"/>
      <c r="T94" s="165"/>
    </row>
    <row r="95" spans="1:21" ht="16.5" thickBot="1" x14ac:dyDescent="0.3">
      <c r="A95" s="117" t="s">
        <v>46</v>
      </c>
      <c r="B95" s="120"/>
      <c r="C95" s="121"/>
      <c r="D95" s="120"/>
      <c r="E95" s="120"/>
      <c r="F95" s="73">
        <f>SUM(F42+F63+F75+F80+F88+F93)</f>
        <v>25389</v>
      </c>
      <c r="G95" s="73">
        <f>SUM(G42+G63+G75+G80+G88+G93)</f>
        <v>34.257409999999993</v>
      </c>
      <c r="H95" s="73">
        <f>SUM(H42+H63+H75+H80+H88+H93)</f>
        <v>25405.587</v>
      </c>
      <c r="I95" s="73">
        <f>SUM(I42+I63+I75+I80+I88+I93)</f>
        <v>4919.3591400000005</v>
      </c>
      <c r="J95" s="36">
        <f>I95/$H95*100</f>
        <v>19.363296506394441</v>
      </c>
      <c r="K95" s="73">
        <f>SUM(K42+K63+K75+K80+K88+K93)</f>
        <v>11240.165529999997</v>
      </c>
      <c r="L95" s="36">
        <f>K95/$H95*100</f>
        <v>44.242888503225672</v>
      </c>
      <c r="M95" s="73">
        <f>SUM(M42+M63+M75+M80+M88+M93)</f>
        <v>19382.112130000001</v>
      </c>
      <c r="N95" s="36">
        <f>M95/$H95*100</f>
        <v>76.290747110074648</v>
      </c>
      <c r="O95" s="73">
        <f>SUM(O42+O63+O75+O80+O88+O93)</f>
        <v>25427.374899999992</v>
      </c>
      <c r="P95" s="36">
        <f>O95/$H95*100</f>
        <v>100.08576026997522</v>
      </c>
      <c r="Q95" s="360">
        <f>SUM(Q42+Q63+Q75+Q80+Q88+Q93)</f>
        <v>4.787899999999496</v>
      </c>
      <c r="R95" s="259"/>
      <c r="S95" s="73">
        <f>SUM(S42+S63+S75+S80+S88+S93)</f>
        <v>27406</v>
      </c>
      <c r="T95" s="166">
        <f>S95/F95</f>
        <v>1.079443853637402</v>
      </c>
    </row>
    <row r="96" spans="1:21" x14ac:dyDescent="0.2">
      <c r="A96" s="112" t="s">
        <v>159</v>
      </c>
      <c r="B96" s="79"/>
      <c r="C96" s="112"/>
      <c r="D96" s="79"/>
      <c r="E96" s="112" t="s">
        <v>47</v>
      </c>
      <c r="F96" s="78"/>
      <c r="G96" s="78"/>
      <c r="H96" s="78"/>
      <c r="I96" s="78"/>
      <c r="J96" s="30"/>
      <c r="K96" s="78"/>
      <c r="L96" s="30"/>
      <c r="M96" s="78"/>
      <c r="N96" s="30"/>
      <c r="O96" s="78"/>
      <c r="P96" s="30"/>
      <c r="Q96" s="30"/>
      <c r="R96" s="255"/>
      <c r="S96" s="78"/>
      <c r="T96" s="163"/>
    </row>
    <row r="97" spans="1:21" x14ac:dyDescent="0.2">
      <c r="A97" s="98" t="s">
        <v>48</v>
      </c>
      <c r="B97" s="32"/>
      <c r="C97" s="98"/>
      <c r="D97" s="32"/>
      <c r="E97" s="32"/>
      <c r="F97" s="72"/>
      <c r="G97" s="72"/>
      <c r="H97" s="72"/>
      <c r="I97" s="72"/>
      <c r="J97" s="31"/>
      <c r="K97" s="72"/>
      <c r="L97" s="31"/>
      <c r="M97" s="72"/>
      <c r="N97" s="31"/>
      <c r="O97" s="72"/>
      <c r="P97" s="31"/>
      <c r="Q97" s="322"/>
      <c r="R97" s="254"/>
      <c r="S97" s="72"/>
      <c r="T97" s="165"/>
      <c r="U97" s="354"/>
    </row>
    <row r="98" spans="1:21" x14ac:dyDescent="0.2">
      <c r="A98" s="111"/>
      <c r="B98" s="29">
        <v>3111</v>
      </c>
      <c r="C98" s="111">
        <v>2121</v>
      </c>
      <c r="D98" s="29">
        <v>20</v>
      </c>
      <c r="E98" s="29" t="s">
        <v>192</v>
      </c>
      <c r="F98" s="71">
        <v>50</v>
      </c>
      <c r="G98" s="71"/>
      <c r="H98" s="71">
        <f>SUM(F98:G98)</f>
        <v>50</v>
      </c>
      <c r="I98" s="71">
        <v>1.7</v>
      </c>
      <c r="J98" s="34">
        <f>I98/$H98*100</f>
        <v>3.4000000000000004</v>
      </c>
      <c r="K98" s="71">
        <v>546.67600000000004</v>
      </c>
      <c r="L98" s="509">
        <f>K98/$H98*100</f>
        <v>1093.3520000000001</v>
      </c>
      <c r="M98" s="71">
        <v>587.548</v>
      </c>
      <c r="N98" s="513">
        <f>M98/$H98*100</f>
        <v>1175.096</v>
      </c>
      <c r="O98" s="71">
        <f>890.048-O99</f>
        <v>527.048</v>
      </c>
      <c r="P98" s="34">
        <f>O98/$H98*100</f>
        <v>1054.096</v>
      </c>
      <c r="Q98" s="274">
        <f t="shared" ref="Q98:Q103" si="47">O98-H98</f>
        <v>477.048</v>
      </c>
      <c r="R98" s="114"/>
      <c r="S98" s="71">
        <v>50</v>
      </c>
      <c r="T98" s="165">
        <f>S98/F98</f>
        <v>1</v>
      </c>
      <c r="U98" s="250"/>
    </row>
    <row r="99" spans="1:21" x14ac:dyDescent="0.2">
      <c r="A99" s="111"/>
      <c r="B99" s="29">
        <v>3111</v>
      </c>
      <c r="C99" s="111">
        <v>3612</v>
      </c>
      <c r="D99" s="29">
        <v>326</v>
      </c>
      <c r="E99" s="29" t="s">
        <v>434</v>
      </c>
      <c r="F99" s="71"/>
      <c r="G99" s="71"/>
      <c r="H99" s="71"/>
      <c r="I99" s="71"/>
      <c r="J99" s="34"/>
      <c r="K99" s="71"/>
      <c r="L99" s="509"/>
      <c r="M99" s="71"/>
      <c r="N99" s="513"/>
      <c r="O99" s="71">
        <f>6*60.5</f>
        <v>363</v>
      </c>
      <c r="P99" s="34"/>
      <c r="Q99" s="274">
        <f t="shared" si="47"/>
        <v>363</v>
      </c>
      <c r="R99" s="114"/>
      <c r="S99" s="71">
        <f>2020+424</f>
        <v>2444</v>
      </c>
      <c r="T99" s="165"/>
      <c r="U99" s="514">
        <v>424</v>
      </c>
    </row>
    <row r="100" spans="1:21" x14ac:dyDescent="0.2">
      <c r="A100" s="111"/>
      <c r="B100" s="29">
        <v>3112</v>
      </c>
      <c r="C100" s="111">
        <v>3612</v>
      </c>
      <c r="D100" s="29">
        <v>45</v>
      </c>
      <c r="E100" s="29" t="s">
        <v>193</v>
      </c>
      <c r="F100" s="71">
        <v>0</v>
      </c>
      <c r="G100" s="71"/>
      <c r="H100" s="71">
        <f>SUM(F100:G100)</f>
        <v>0</v>
      </c>
      <c r="I100" s="71">
        <v>0</v>
      </c>
      <c r="J100" s="34"/>
      <c r="K100" s="71">
        <v>0</v>
      </c>
      <c r="L100" s="34"/>
      <c r="M100" s="71"/>
      <c r="N100" s="34"/>
      <c r="O100" s="71">
        <v>0</v>
      </c>
      <c r="P100" s="34"/>
      <c r="Q100" s="274">
        <f t="shared" si="47"/>
        <v>0</v>
      </c>
      <c r="R100" s="114"/>
      <c r="S100" s="71">
        <v>5000</v>
      </c>
      <c r="T100" s="165"/>
    </row>
    <row r="101" spans="1:21" x14ac:dyDescent="0.2">
      <c r="A101" s="111"/>
      <c r="B101" s="29">
        <v>3112</v>
      </c>
      <c r="C101" s="111">
        <v>5311</v>
      </c>
      <c r="D101" s="29">
        <v>321</v>
      </c>
      <c r="E101" s="29" t="s">
        <v>378</v>
      </c>
      <c r="F101" s="71">
        <v>80</v>
      </c>
      <c r="G101" s="71">
        <v>20</v>
      </c>
      <c r="H101" s="71">
        <f>SUM(F101:G101)</f>
        <v>100</v>
      </c>
      <c r="I101" s="71">
        <v>100.1</v>
      </c>
      <c r="J101" s="34">
        <f t="shared" ref="J101" si="48">I101/$H101*100</f>
        <v>100.1</v>
      </c>
      <c r="K101" s="71">
        <v>100.1</v>
      </c>
      <c r="L101" s="34">
        <f t="shared" ref="L101" si="49">K101/$H101*100</f>
        <v>100.1</v>
      </c>
      <c r="M101" s="71">
        <v>100.1</v>
      </c>
      <c r="N101" s="34"/>
      <c r="O101" s="71">
        <v>100.1</v>
      </c>
      <c r="P101" s="34">
        <f t="shared" ref="P101" si="50">O101/$H101*100</f>
        <v>100.1</v>
      </c>
      <c r="Q101" s="274">
        <f t="shared" si="47"/>
        <v>9.9999999999994316E-2</v>
      </c>
      <c r="R101" s="114" t="s">
        <v>446</v>
      </c>
      <c r="S101" s="71">
        <v>300</v>
      </c>
      <c r="T101" s="165"/>
    </row>
    <row r="102" spans="1:21" x14ac:dyDescent="0.2">
      <c r="A102" s="111"/>
      <c r="B102" s="29">
        <v>3114</v>
      </c>
      <c r="C102" s="111">
        <v>3613</v>
      </c>
      <c r="D102" s="29">
        <v>213</v>
      </c>
      <c r="E102" s="29" t="s">
        <v>416</v>
      </c>
      <c r="F102" s="71"/>
      <c r="G102" s="71"/>
      <c r="H102" s="71"/>
      <c r="I102" s="71"/>
      <c r="J102" s="34"/>
      <c r="K102" s="71">
        <v>200</v>
      </c>
      <c r="L102" s="34"/>
      <c r="M102" s="71">
        <v>200</v>
      </c>
      <c r="N102" s="34"/>
      <c r="O102" s="71">
        <v>200</v>
      </c>
      <c r="P102" s="34"/>
      <c r="Q102" s="274">
        <f t="shared" si="47"/>
        <v>200</v>
      </c>
      <c r="R102" s="114"/>
      <c r="S102" s="71">
        <v>0</v>
      </c>
      <c r="T102" s="165"/>
    </row>
    <row r="103" spans="1:21" ht="13.5" thickBot="1" x14ac:dyDescent="0.25">
      <c r="A103" s="111"/>
      <c r="B103" s="29">
        <v>3112</v>
      </c>
      <c r="C103" s="111">
        <v>3612</v>
      </c>
      <c r="D103" s="29">
        <v>245</v>
      </c>
      <c r="E103" s="29" t="s">
        <v>194</v>
      </c>
      <c r="F103" s="71">
        <v>335</v>
      </c>
      <c r="G103" s="71"/>
      <c r="H103" s="71">
        <f>SUM(F103:G103)</f>
        <v>335</v>
      </c>
      <c r="I103" s="71">
        <v>81.966999999999999</v>
      </c>
      <c r="J103" s="34">
        <f>I103/$H103*100</f>
        <v>24.467761194029851</v>
      </c>
      <c r="K103" s="71">
        <v>165.172</v>
      </c>
      <c r="L103" s="34">
        <f>K103/$H103*100</f>
        <v>49.305074626865668</v>
      </c>
      <c r="M103" s="71">
        <v>249.63</v>
      </c>
      <c r="N103" s="34">
        <f>M103/$H103*100</f>
        <v>74.516417910447757</v>
      </c>
      <c r="O103" s="71">
        <v>335.36099999999999</v>
      </c>
      <c r="P103" s="34">
        <f>O103/$H103*100</f>
        <v>100.10776119402985</v>
      </c>
      <c r="Q103" s="274">
        <f t="shared" si="47"/>
        <v>0.36099999999999</v>
      </c>
      <c r="R103" s="114"/>
      <c r="S103" s="71">
        <v>356</v>
      </c>
      <c r="T103" s="165">
        <f>S103/F103</f>
        <v>1.0626865671641792</v>
      </c>
    </row>
    <row r="104" spans="1:21" ht="15.75" customHeight="1" thickBot="1" x14ac:dyDescent="0.3">
      <c r="A104" s="117" t="s">
        <v>49</v>
      </c>
      <c r="B104" s="120"/>
      <c r="C104" s="121"/>
      <c r="D104" s="120"/>
      <c r="E104" s="120"/>
      <c r="F104" s="73">
        <f>SUM(F98:F103)</f>
        <v>465</v>
      </c>
      <c r="G104" s="73">
        <f>SUM(G98:G103)</f>
        <v>20</v>
      </c>
      <c r="H104" s="73">
        <f>SUM(H98:H103)</f>
        <v>485</v>
      </c>
      <c r="I104" s="73">
        <f>SUM(I98:I103)</f>
        <v>183.767</v>
      </c>
      <c r="J104" s="36">
        <f>I104/$H104*100</f>
        <v>37.890103092783505</v>
      </c>
      <c r="K104" s="73">
        <f>SUM(K98:K103)</f>
        <v>1011.9480000000001</v>
      </c>
      <c r="L104" s="36">
        <f>K104/$H104*100</f>
        <v>208.64907216494845</v>
      </c>
      <c r="M104" s="73">
        <f>SUM(M98:M103)</f>
        <v>1137.278</v>
      </c>
      <c r="N104" s="36">
        <f>M104/$H104*100</f>
        <v>234.49030927835054</v>
      </c>
      <c r="O104" s="73">
        <f>SUM(O98:O103)</f>
        <v>1525.509</v>
      </c>
      <c r="P104" s="36">
        <f>O104/$H104*100</f>
        <v>314.53793814432987</v>
      </c>
      <c r="Q104" s="357">
        <f>SUM(Q98:Q103)</f>
        <v>1040.509</v>
      </c>
      <c r="R104" s="259"/>
      <c r="S104" s="73">
        <f>SUM(S98:S103)</f>
        <v>8150</v>
      </c>
      <c r="T104" s="166">
        <f>S104/F104</f>
        <v>17.526881720430108</v>
      </c>
      <c r="U104" s="450">
        <f>SUM(U43:U103)</f>
        <v>1126</v>
      </c>
    </row>
    <row r="105" spans="1:21" x14ac:dyDescent="0.2">
      <c r="A105" s="112" t="s">
        <v>50</v>
      </c>
      <c r="B105" s="80"/>
      <c r="C105" s="122"/>
      <c r="D105" s="80"/>
      <c r="E105" s="112" t="s">
        <v>51</v>
      </c>
      <c r="F105" s="74"/>
      <c r="G105" s="74"/>
      <c r="H105" s="78"/>
      <c r="I105" s="74"/>
      <c r="J105" s="37"/>
      <c r="K105" s="74"/>
      <c r="L105" s="37"/>
      <c r="M105" s="74"/>
      <c r="N105" s="37"/>
      <c r="O105" s="74"/>
      <c r="P105" s="37"/>
      <c r="Q105" s="37"/>
      <c r="R105" s="260"/>
      <c r="S105" s="74"/>
      <c r="T105" s="167"/>
    </row>
    <row r="106" spans="1:21" x14ac:dyDescent="0.2">
      <c r="A106" s="98" t="s">
        <v>52</v>
      </c>
      <c r="B106" s="32"/>
      <c r="C106" s="98" t="s">
        <v>350</v>
      </c>
      <c r="D106" s="32" t="s">
        <v>149</v>
      </c>
      <c r="E106" s="32"/>
      <c r="F106" s="72">
        <f>SUM(F107:F135)</f>
        <v>25091</v>
      </c>
      <c r="G106" s="72">
        <f>SUM(G107:G135)</f>
        <v>11389.291859999999</v>
      </c>
      <c r="H106" s="72">
        <f>SUM(H107:H135)</f>
        <v>36480.291859999998</v>
      </c>
      <c r="I106" s="72">
        <f>SUM(I107:I135)</f>
        <v>10109.561</v>
      </c>
      <c r="J106" s="31">
        <f>I106/$H106*100</f>
        <v>27.712390676032271</v>
      </c>
      <c r="K106" s="72">
        <f>SUM(K107:K135)</f>
        <v>21395.387020000002</v>
      </c>
      <c r="L106" s="31">
        <f>K106/$H106*100</f>
        <v>58.64916624600712</v>
      </c>
      <c r="M106" s="72">
        <f>SUM(M107:M135)</f>
        <v>29141.477530000004</v>
      </c>
      <c r="N106" s="31">
        <f>M106/$H106*100</f>
        <v>79.882797105450592</v>
      </c>
      <c r="O106" s="72">
        <f>SUM(O107:O135)</f>
        <v>36537.522189999996</v>
      </c>
      <c r="P106" s="31">
        <f>O106/$H106*100</f>
        <v>100.15688013193433</v>
      </c>
      <c r="Q106" s="356">
        <f>SUM(Q107:Q135)</f>
        <v>57.230329999999945</v>
      </c>
      <c r="R106" s="261"/>
      <c r="S106" s="31">
        <f>SUM(S107:S135)</f>
        <v>27910</v>
      </c>
      <c r="T106" s="164">
        <f>S106/F106</f>
        <v>1.1123510422063687</v>
      </c>
    </row>
    <row r="107" spans="1:21" x14ac:dyDescent="0.2">
      <c r="A107" s="111"/>
      <c r="B107" s="29">
        <v>4112</v>
      </c>
      <c r="C107" s="29"/>
      <c r="D107" s="29"/>
      <c r="E107" s="29" t="s">
        <v>195</v>
      </c>
      <c r="F107" s="71">
        <f>17305.8</f>
        <v>17305.8</v>
      </c>
      <c r="G107" s="71"/>
      <c r="H107" s="71">
        <f t="shared" ref="H107:H134" si="51">SUM(F107:G107)</f>
        <v>17305.8</v>
      </c>
      <c r="I107" s="71">
        <v>4326.45</v>
      </c>
      <c r="J107" s="34">
        <f>I107/$H107*100</f>
        <v>25</v>
      </c>
      <c r="K107" s="71">
        <v>8652.9</v>
      </c>
      <c r="L107" s="34">
        <f>K107/$H107*100</f>
        <v>50</v>
      </c>
      <c r="M107" s="71">
        <v>12979.35</v>
      </c>
      <c r="N107" s="34">
        <f>M107/$H107*100</f>
        <v>75</v>
      </c>
      <c r="O107" s="71">
        <v>17305.8</v>
      </c>
      <c r="P107" s="34">
        <f>O107/$H107*100</f>
        <v>100</v>
      </c>
      <c r="Q107" s="274">
        <f t="shared" ref="Q107:Q135" si="52">O107-H107</f>
        <v>0</v>
      </c>
      <c r="R107" s="132"/>
      <c r="S107" s="34">
        <v>18081.3</v>
      </c>
      <c r="T107" s="492">
        <f>S107/F107</f>
        <v>1.0448115660645565</v>
      </c>
      <c r="U107" s="66"/>
    </row>
    <row r="108" spans="1:21" x14ac:dyDescent="0.2">
      <c r="A108" s="111"/>
      <c r="B108" s="29">
        <v>4111</v>
      </c>
      <c r="C108" s="29">
        <v>110</v>
      </c>
      <c r="D108" s="29"/>
      <c r="E108" s="220" t="s">
        <v>425</v>
      </c>
      <c r="F108" s="71"/>
      <c r="G108" s="71">
        <f>30+200</f>
        <v>230</v>
      </c>
      <c r="H108" s="71">
        <f t="shared" si="51"/>
        <v>230</v>
      </c>
      <c r="I108" s="71"/>
      <c r="J108" s="34"/>
      <c r="K108" s="71"/>
      <c r="L108" s="34"/>
      <c r="M108" s="71">
        <v>30</v>
      </c>
      <c r="N108" s="34">
        <f t="shared" ref="N108:N141" si="53">M108/$H108*100</f>
        <v>13.043478260869565</v>
      </c>
      <c r="O108" s="71">
        <f>30+200</f>
        <v>230</v>
      </c>
      <c r="P108" s="34">
        <f t="shared" ref="P108:P141" si="54">O108/$H108*100</f>
        <v>100</v>
      </c>
      <c r="Q108" s="274">
        <f t="shared" si="52"/>
        <v>0</v>
      </c>
      <c r="R108" s="132"/>
      <c r="S108" s="71">
        <v>200</v>
      </c>
      <c r="T108" s="492"/>
      <c r="U108" s="66"/>
    </row>
    <row r="109" spans="1:21" x14ac:dyDescent="0.2">
      <c r="A109" s="111"/>
      <c r="B109" s="29">
        <v>4113</v>
      </c>
      <c r="C109" s="29">
        <v>244</v>
      </c>
      <c r="D109" s="272" t="s">
        <v>349</v>
      </c>
      <c r="E109" s="220" t="s">
        <v>327</v>
      </c>
      <c r="F109" s="71">
        <v>154</v>
      </c>
      <c r="G109" s="71"/>
      <c r="H109" s="71">
        <f t="shared" si="51"/>
        <v>154</v>
      </c>
      <c r="I109" s="71">
        <v>138.892</v>
      </c>
      <c r="J109" s="34">
        <f t="shared" ref="J109:J131" si="55">I109/$H109*100</f>
        <v>90.18961038961038</v>
      </c>
      <c r="K109" s="71">
        <v>154.32400000000001</v>
      </c>
      <c r="L109" s="34">
        <f t="shared" ref="L109:L131" si="56">K109/$H109*100</f>
        <v>100.21038961038961</v>
      </c>
      <c r="M109" s="71">
        <v>154.32400000000001</v>
      </c>
      <c r="N109" s="34">
        <f t="shared" si="53"/>
        <v>100.21038961038961</v>
      </c>
      <c r="O109" s="71">
        <v>154.32400000000001</v>
      </c>
      <c r="P109" s="34">
        <f t="shared" si="54"/>
        <v>100.21038961038961</v>
      </c>
      <c r="Q109" s="274">
        <f t="shared" si="52"/>
        <v>0.32400000000001228</v>
      </c>
      <c r="R109" s="132" t="s">
        <v>432</v>
      </c>
      <c r="S109" s="71">
        <v>0</v>
      </c>
      <c r="T109" s="492">
        <f>S109/F109</f>
        <v>0</v>
      </c>
    </row>
    <row r="110" spans="1:21" x14ac:dyDescent="0.2">
      <c r="A110" s="111"/>
      <c r="B110" s="29">
        <v>4113</v>
      </c>
      <c r="C110" s="29"/>
      <c r="D110" s="272"/>
      <c r="E110" s="220" t="s">
        <v>449</v>
      </c>
      <c r="F110" s="71"/>
      <c r="G110" s="71"/>
      <c r="H110" s="71"/>
      <c r="I110" s="71"/>
      <c r="J110" s="34"/>
      <c r="K110" s="71"/>
      <c r="L110" s="34"/>
      <c r="M110" s="71"/>
      <c r="N110" s="34"/>
      <c r="O110" s="71"/>
      <c r="P110" s="34"/>
      <c r="Q110" s="274">
        <f t="shared" si="52"/>
        <v>0</v>
      </c>
      <c r="R110" s="132"/>
      <c r="S110" s="71">
        <v>250</v>
      </c>
      <c r="T110" s="492"/>
    </row>
    <row r="111" spans="1:21" x14ac:dyDescent="0.2">
      <c r="A111" s="111"/>
      <c r="B111" s="29">
        <v>4116</v>
      </c>
      <c r="C111" s="29">
        <v>314</v>
      </c>
      <c r="D111" s="272" t="s">
        <v>311</v>
      </c>
      <c r="E111" s="455" t="s">
        <v>410</v>
      </c>
      <c r="F111" s="71">
        <v>2530</v>
      </c>
      <c r="G111" s="71">
        <f>848.116+533</f>
        <v>1381.116</v>
      </c>
      <c r="H111" s="71">
        <f t="shared" si="51"/>
        <v>3911.116</v>
      </c>
      <c r="I111" s="71">
        <v>1209</v>
      </c>
      <c r="J111" s="34">
        <f t="shared" si="55"/>
        <v>30.911893178315346</v>
      </c>
      <c r="K111" s="71">
        <f>2057.116</f>
        <v>2057.116</v>
      </c>
      <c r="L111" s="34">
        <f t="shared" si="56"/>
        <v>52.596650163278206</v>
      </c>
      <c r="M111" s="71">
        <v>3911.116</v>
      </c>
      <c r="N111" s="34">
        <f t="shared" si="53"/>
        <v>100</v>
      </c>
      <c r="O111" s="71">
        <f>3063+848.116</f>
        <v>3911.116</v>
      </c>
      <c r="P111" s="34">
        <f t="shared" si="54"/>
        <v>100</v>
      </c>
      <c r="Q111" s="274">
        <f t="shared" si="52"/>
        <v>0</v>
      </c>
      <c r="R111" s="484"/>
      <c r="S111" s="71">
        <v>2530</v>
      </c>
      <c r="T111" s="492">
        <f>S111/F111</f>
        <v>1</v>
      </c>
      <c r="U111" s="66"/>
    </row>
    <row r="112" spans="1:21" x14ac:dyDescent="0.2">
      <c r="A112" s="111"/>
      <c r="B112" s="29">
        <v>4116</v>
      </c>
      <c r="C112" s="29"/>
      <c r="D112" s="272" t="s">
        <v>258</v>
      </c>
      <c r="E112" s="220" t="s">
        <v>256</v>
      </c>
      <c r="F112" s="71">
        <f>144+468+169</f>
        <v>781</v>
      </c>
      <c r="G112" s="71">
        <f>70+33+163</f>
        <v>266</v>
      </c>
      <c r="H112" s="71">
        <f t="shared" si="51"/>
        <v>1047</v>
      </c>
      <c r="I112" s="71">
        <f>66.22+77.793+45.689+72</f>
        <v>261.702</v>
      </c>
      <c r="J112" s="34">
        <f t="shared" si="55"/>
        <v>24.995415472779371</v>
      </c>
      <c r="K112" s="71">
        <f>124.436+251.01+162.512+106.733</f>
        <v>644.69100000000003</v>
      </c>
      <c r="L112" s="34">
        <f t="shared" si="56"/>
        <v>61.575071633237819</v>
      </c>
      <c r="M112" s="71">
        <f>154.436+341.01+162.512+138.733</f>
        <v>796.69100000000003</v>
      </c>
      <c r="N112" s="34">
        <f t="shared" si="53"/>
        <v>76.092741165234003</v>
      </c>
      <c r="O112" s="71">
        <f>214.436+474.558+162.512+202.733</f>
        <v>1054.239</v>
      </c>
      <c r="P112" s="34">
        <f t="shared" si="54"/>
        <v>100.69140401146133</v>
      </c>
      <c r="Q112" s="274">
        <f t="shared" si="52"/>
        <v>7.2390000000000327</v>
      </c>
      <c r="R112" s="528"/>
      <c r="S112" s="71">
        <f>192+180+540</f>
        <v>912</v>
      </c>
      <c r="T112" s="492">
        <f>S112/F112</f>
        <v>1.1677336747759284</v>
      </c>
    </row>
    <row r="113" spans="1:21" x14ac:dyDescent="0.2">
      <c r="A113" s="111"/>
      <c r="B113" s="29">
        <v>4116</v>
      </c>
      <c r="C113" s="29">
        <v>314</v>
      </c>
      <c r="D113" s="272"/>
      <c r="E113" s="455" t="s">
        <v>330</v>
      </c>
      <c r="F113" s="71">
        <v>391</v>
      </c>
      <c r="G113" s="71">
        <v>39.716999999999999</v>
      </c>
      <c r="H113" s="71">
        <f t="shared" si="51"/>
        <v>430.71699999999998</v>
      </c>
      <c r="I113" s="71">
        <v>0</v>
      </c>
      <c r="J113" s="34">
        <f t="shared" si="55"/>
        <v>0</v>
      </c>
      <c r="K113" s="71">
        <v>430.71699999999998</v>
      </c>
      <c r="L113" s="34">
        <f t="shared" si="56"/>
        <v>100</v>
      </c>
      <c r="M113" s="71">
        <v>430.71699999999998</v>
      </c>
      <c r="N113" s="34">
        <f t="shared" si="53"/>
        <v>100</v>
      </c>
      <c r="O113" s="71">
        <v>430.71699999999998</v>
      </c>
      <c r="P113" s="34">
        <f t="shared" si="54"/>
        <v>100</v>
      </c>
      <c r="Q113" s="274">
        <f t="shared" si="52"/>
        <v>0</v>
      </c>
      <c r="R113" s="132"/>
      <c r="S113" s="71">
        <v>430</v>
      </c>
      <c r="T113" s="492">
        <f>S113/F113</f>
        <v>1.0997442455242967</v>
      </c>
      <c r="U113" s="482"/>
    </row>
    <row r="114" spans="1:21" x14ac:dyDescent="0.2">
      <c r="A114" s="111"/>
      <c r="B114" s="29">
        <v>4116</v>
      </c>
      <c r="C114" s="29">
        <v>109</v>
      </c>
      <c r="D114" s="272" t="s">
        <v>335</v>
      </c>
      <c r="E114" s="220" t="s">
        <v>266</v>
      </c>
      <c r="F114" s="71"/>
      <c r="G114" s="71">
        <f>142.43+139.203+140.75+5.25+90.112+59.276</f>
        <v>577.02099999999996</v>
      </c>
      <c r="H114" s="71">
        <f t="shared" si="51"/>
        <v>577.02099999999996</v>
      </c>
      <c r="I114" s="71">
        <v>142.43</v>
      </c>
      <c r="J114" s="34">
        <f t="shared" si="55"/>
        <v>24.683677023886482</v>
      </c>
      <c r="K114" s="71">
        <v>281.63299999999998</v>
      </c>
      <c r="L114" s="34">
        <f t="shared" si="56"/>
        <v>48.808102304768802</v>
      </c>
      <c r="M114" s="71">
        <v>422.38299999999998</v>
      </c>
      <c r="N114" s="34">
        <f t="shared" si="53"/>
        <v>73.200628746614072</v>
      </c>
      <c r="O114" s="71">
        <f>486.909+90.112</f>
        <v>577.02099999999996</v>
      </c>
      <c r="P114" s="34">
        <f t="shared" si="54"/>
        <v>100</v>
      </c>
      <c r="Q114" s="274">
        <f t="shared" si="52"/>
        <v>0</v>
      </c>
      <c r="R114" s="132"/>
      <c r="S114" s="71">
        <v>0</v>
      </c>
      <c r="T114" s="492"/>
      <c r="U114" s="97" t="s">
        <v>424</v>
      </c>
    </row>
    <row r="115" spans="1:21" x14ac:dyDescent="0.2">
      <c r="A115" s="111"/>
      <c r="B115" s="29">
        <v>4116</v>
      </c>
      <c r="C115" s="29">
        <v>3005</v>
      </c>
      <c r="D115" s="29">
        <v>3005</v>
      </c>
      <c r="E115" s="530" t="s">
        <v>375</v>
      </c>
      <c r="F115" s="71">
        <v>1498</v>
      </c>
      <c r="G115" s="71">
        <v>-595</v>
      </c>
      <c r="H115" s="71">
        <f t="shared" si="51"/>
        <v>903</v>
      </c>
      <c r="I115" s="71">
        <v>0</v>
      </c>
      <c r="J115" s="34">
        <f t="shared" si="55"/>
        <v>0</v>
      </c>
      <c r="K115" s="71">
        <v>687.99568999999997</v>
      </c>
      <c r="L115" s="34">
        <f t="shared" si="56"/>
        <v>76.189998892580277</v>
      </c>
      <c r="M115" s="71">
        <v>903.17899999999997</v>
      </c>
      <c r="N115" s="34">
        <f t="shared" si="53"/>
        <v>100.01982281284607</v>
      </c>
      <c r="O115" s="71">
        <v>903.17899999999997</v>
      </c>
      <c r="P115" s="34">
        <f t="shared" si="54"/>
        <v>100.01982281284607</v>
      </c>
      <c r="Q115" s="274">
        <f t="shared" si="52"/>
        <v>0.17899999999997362</v>
      </c>
      <c r="R115" s="132"/>
      <c r="S115" s="71">
        <v>860</v>
      </c>
      <c r="T115" s="492">
        <f>S115/F115</f>
        <v>0.57409879839786382</v>
      </c>
    </row>
    <row r="116" spans="1:21" x14ac:dyDescent="0.2">
      <c r="A116" s="111"/>
      <c r="B116" s="29">
        <v>4116</v>
      </c>
      <c r="C116" s="29">
        <v>250</v>
      </c>
      <c r="D116" s="29"/>
      <c r="E116" s="220" t="s">
        <v>460</v>
      </c>
      <c r="F116" s="71"/>
      <c r="G116" s="71"/>
      <c r="H116" s="71"/>
      <c r="I116" s="71"/>
      <c r="J116" s="34"/>
      <c r="K116" s="71"/>
      <c r="L116" s="34"/>
      <c r="M116" s="71"/>
      <c r="N116" s="34"/>
      <c r="O116" s="71"/>
      <c r="P116" s="34"/>
      <c r="Q116" s="274">
        <f t="shared" si="52"/>
        <v>0</v>
      </c>
      <c r="R116" s="132"/>
      <c r="S116" s="71">
        <v>1342</v>
      </c>
      <c r="T116" s="492"/>
    </row>
    <row r="117" spans="1:21" x14ac:dyDescent="0.2">
      <c r="A117" s="111"/>
      <c r="B117" s="29">
        <v>4116</v>
      </c>
      <c r="C117" s="29">
        <v>6206</v>
      </c>
      <c r="D117" s="29">
        <v>6206</v>
      </c>
      <c r="E117" s="530" t="s">
        <v>377</v>
      </c>
      <c r="F117" s="71">
        <v>1326</v>
      </c>
      <c r="G117" s="71">
        <v>-25</v>
      </c>
      <c r="H117" s="71">
        <f t="shared" si="51"/>
        <v>1301</v>
      </c>
      <c r="I117" s="71">
        <v>0</v>
      </c>
      <c r="J117" s="34">
        <f t="shared" si="55"/>
        <v>0</v>
      </c>
      <c r="K117" s="71">
        <v>1301.1803299999999</v>
      </c>
      <c r="L117" s="34">
        <f t="shared" si="56"/>
        <v>100.01386087624904</v>
      </c>
      <c r="M117" s="71">
        <v>1301.1803299999999</v>
      </c>
      <c r="N117" s="34">
        <f t="shared" si="53"/>
        <v>100.01386087624904</v>
      </c>
      <c r="O117" s="71">
        <v>1301.1803299999999</v>
      </c>
      <c r="P117" s="34">
        <f t="shared" si="54"/>
        <v>100.01386087624904</v>
      </c>
      <c r="Q117" s="274">
        <f t="shared" si="52"/>
        <v>0.18032999999991262</v>
      </c>
      <c r="R117" s="132"/>
      <c r="S117" s="71">
        <v>879</v>
      </c>
      <c r="T117" s="492">
        <f>S117/F117</f>
        <v>0.66289592760180993</v>
      </c>
    </row>
    <row r="118" spans="1:21" x14ac:dyDescent="0.2">
      <c r="A118" s="111"/>
      <c r="B118" s="29">
        <v>4116</v>
      </c>
      <c r="C118" s="29">
        <v>103</v>
      </c>
      <c r="D118" s="29"/>
      <c r="E118" s="220" t="s">
        <v>412</v>
      </c>
      <c r="F118" s="71"/>
      <c r="G118" s="71">
        <v>640</v>
      </c>
      <c r="H118" s="71">
        <f t="shared" si="51"/>
        <v>640</v>
      </c>
      <c r="I118" s="71"/>
      <c r="J118" s="34"/>
      <c r="K118" s="71">
        <v>640</v>
      </c>
      <c r="L118" s="34">
        <f t="shared" si="56"/>
        <v>100</v>
      </c>
      <c r="M118" s="71">
        <v>640</v>
      </c>
      <c r="N118" s="34">
        <f t="shared" si="53"/>
        <v>100</v>
      </c>
      <c r="O118" s="71">
        <v>640</v>
      </c>
      <c r="P118" s="34">
        <f t="shared" si="54"/>
        <v>100</v>
      </c>
      <c r="Q118" s="274">
        <f t="shared" si="52"/>
        <v>0</v>
      </c>
      <c r="R118" s="132"/>
      <c r="S118" s="71"/>
      <c r="T118" s="492"/>
    </row>
    <row r="119" spans="1:21" x14ac:dyDescent="0.2">
      <c r="A119" s="111"/>
      <c r="B119" s="29">
        <v>4116</v>
      </c>
      <c r="C119" s="29">
        <v>223</v>
      </c>
      <c r="D119" s="29">
        <v>14004</v>
      </c>
      <c r="E119" s="220" t="s">
        <v>404</v>
      </c>
      <c r="F119" s="71"/>
      <c r="G119" s="71">
        <f>150+38.516</f>
        <v>188.51599999999999</v>
      </c>
      <c r="H119" s="71">
        <f t="shared" si="51"/>
        <v>188.51599999999999</v>
      </c>
      <c r="I119" s="71">
        <v>150</v>
      </c>
      <c r="J119" s="34">
        <f t="shared" si="55"/>
        <v>79.568842962931527</v>
      </c>
      <c r="K119" s="71">
        <v>150</v>
      </c>
      <c r="L119" s="34">
        <f t="shared" si="56"/>
        <v>79.568842962931527</v>
      </c>
      <c r="M119" s="71">
        <v>150</v>
      </c>
      <c r="N119" s="34">
        <f t="shared" si="53"/>
        <v>79.568842962931527</v>
      </c>
      <c r="O119" s="71">
        <v>188.51599999999999</v>
      </c>
      <c r="P119" s="34">
        <f t="shared" si="54"/>
        <v>100</v>
      </c>
      <c r="Q119" s="274">
        <f t="shared" si="52"/>
        <v>0</v>
      </c>
      <c r="R119" s="132"/>
      <c r="S119" s="71"/>
      <c r="T119" s="492"/>
    </row>
    <row r="120" spans="1:21" x14ac:dyDescent="0.2">
      <c r="A120" s="111"/>
      <c r="B120" s="29">
        <v>4116</v>
      </c>
      <c r="C120" s="29">
        <v>203</v>
      </c>
      <c r="D120" s="29"/>
      <c r="E120" s="220" t="s">
        <v>411</v>
      </c>
      <c r="F120" s="71"/>
      <c r="G120" s="71">
        <v>51.182000000000002</v>
      </c>
      <c r="H120" s="71">
        <f t="shared" si="51"/>
        <v>51.182000000000002</v>
      </c>
      <c r="I120" s="71"/>
      <c r="J120" s="34"/>
      <c r="K120" s="71">
        <v>51.183</v>
      </c>
      <c r="L120" s="34">
        <f t="shared" si="56"/>
        <v>100.00195381188699</v>
      </c>
      <c r="M120" s="71">
        <v>51.183</v>
      </c>
      <c r="N120" s="34">
        <f t="shared" si="53"/>
        <v>100.00195381188699</v>
      </c>
      <c r="O120" s="71">
        <v>51.183</v>
      </c>
      <c r="P120" s="34">
        <f t="shared" si="54"/>
        <v>100.00195381188699</v>
      </c>
      <c r="Q120" s="274">
        <f t="shared" si="52"/>
        <v>9.9999999999766942E-4</v>
      </c>
      <c r="R120" s="132"/>
      <c r="S120" s="71"/>
      <c r="T120" s="492"/>
    </row>
    <row r="121" spans="1:21" x14ac:dyDescent="0.2">
      <c r="A121" s="111"/>
      <c r="B121" s="29">
        <v>4116</v>
      </c>
      <c r="C121" s="29">
        <v>314</v>
      </c>
      <c r="D121" s="29"/>
      <c r="E121" s="220" t="s">
        <v>417</v>
      </c>
      <c r="F121" s="71"/>
      <c r="G121" s="71">
        <f>24.45+40.05</f>
        <v>64.5</v>
      </c>
      <c r="H121" s="71">
        <f t="shared" si="51"/>
        <v>64.5</v>
      </c>
      <c r="I121" s="71"/>
      <c r="J121" s="34"/>
      <c r="K121" s="71"/>
      <c r="L121" s="34"/>
      <c r="M121" s="71">
        <v>24.45</v>
      </c>
      <c r="N121" s="34">
        <f t="shared" si="53"/>
        <v>37.906976744186046</v>
      </c>
      <c r="O121" s="71">
        <v>64.5</v>
      </c>
      <c r="P121" s="34">
        <f t="shared" si="54"/>
        <v>100</v>
      </c>
      <c r="Q121" s="274">
        <f t="shared" si="52"/>
        <v>0</v>
      </c>
      <c r="R121" s="132"/>
      <c r="S121" s="71"/>
      <c r="T121" s="492"/>
    </row>
    <row r="122" spans="1:21" x14ac:dyDescent="0.2">
      <c r="A122" s="111"/>
      <c r="B122" s="29">
        <v>4116</v>
      </c>
      <c r="C122" s="29">
        <v>301</v>
      </c>
      <c r="D122" s="29"/>
      <c r="E122" s="220" t="s">
        <v>420</v>
      </c>
      <c r="F122" s="71"/>
      <c r="G122" s="71">
        <v>391.44959999999998</v>
      </c>
      <c r="H122" s="71">
        <f t="shared" si="51"/>
        <v>391.44959999999998</v>
      </c>
      <c r="I122" s="71"/>
      <c r="J122" s="34"/>
      <c r="K122" s="71"/>
      <c r="L122" s="34"/>
      <c r="M122" s="71">
        <v>391.44959999999998</v>
      </c>
      <c r="N122" s="34">
        <f t="shared" si="53"/>
        <v>100</v>
      </c>
      <c r="O122" s="71">
        <v>391.44959999999998</v>
      </c>
      <c r="P122" s="34">
        <f t="shared" si="54"/>
        <v>100</v>
      </c>
      <c r="Q122" s="274">
        <f t="shared" si="52"/>
        <v>0</v>
      </c>
      <c r="R122" s="132"/>
      <c r="S122" s="71"/>
      <c r="T122" s="492"/>
    </row>
    <row r="123" spans="1:21" x14ac:dyDescent="0.2">
      <c r="A123" s="111"/>
      <c r="B123" s="29">
        <v>4116</v>
      </c>
      <c r="C123" s="29">
        <v>303</v>
      </c>
      <c r="D123" s="29"/>
      <c r="E123" s="220" t="s">
        <v>428</v>
      </c>
      <c r="F123" s="71"/>
      <c r="G123" s="71">
        <v>577.95960000000002</v>
      </c>
      <c r="H123" s="71">
        <f t="shared" si="51"/>
        <v>577.95960000000002</v>
      </c>
      <c r="I123" s="71"/>
      <c r="J123" s="34"/>
      <c r="K123" s="71"/>
      <c r="L123" s="34"/>
      <c r="M123" s="71"/>
      <c r="N123" s="34"/>
      <c r="O123" s="71">
        <v>577.95960000000002</v>
      </c>
      <c r="P123" s="34">
        <f t="shared" si="54"/>
        <v>100</v>
      </c>
      <c r="Q123" s="274">
        <f t="shared" si="52"/>
        <v>0</v>
      </c>
      <c r="R123" s="132"/>
      <c r="S123" s="71"/>
      <c r="T123" s="492"/>
    </row>
    <row r="124" spans="1:21" x14ac:dyDescent="0.2">
      <c r="A124" s="111"/>
      <c r="B124" s="29">
        <v>4116</v>
      </c>
      <c r="C124" s="29">
        <v>304</v>
      </c>
      <c r="D124" s="29"/>
      <c r="E124" s="220" t="s">
        <v>421</v>
      </c>
      <c r="F124" s="71"/>
      <c r="G124" s="71">
        <v>507.52260000000001</v>
      </c>
      <c r="H124" s="71">
        <f t="shared" si="51"/>
        <v>507.52260000000001</v>
      </c>
      <c r="I124" s="71"/>
      <c r="J124" s="34"/>
      <c r="K124" s="71"/>
      <c r="L124" s="34"/>
      <c r="M124" s="71">
        <v>507.52260000000001</v>
      </c>
      <c r="N124" s="34">
        <f t="shared" si="53"/>
        <v>100</v>
      </c>
      <c r="O124" s="71">
        <v>507.52260000000001</v>
      </c>
      <c r="P124" s="34">
        <f t="shared" si="54"/>
        <v>100</v>
      </c>
      <c r="Q124" s="274">
        <f t="shared" si="52"/>
        <v>0</v>
      </c>
      <c r="R124" s="132"/>
      <c r="S124" s="71"/>
      <c r="T124" s="492"/>
    </row>
    <row r="125" spans="1:21" x14ac:dyDescent="0.2">
      <c r="A125" s="111"/>
      <c r="B125" s="29">
        <v>4121</v>
      </c>
      <c r="C125" s="29"/>
      <c r="D125" s="29" t="s">
        <v>302</v>
      </c>
      <c r="E125" s="220" t="s">
        <v>280</v>
      </c>
      <c r="F125" s="71">
        <f>130+50+0.2</f>
        <v>180.2</v>
      </c>
      <c r="G125" s="71"/>
      <c r="H125" s="71">
        <f t="shared" si="51"/>
        <v>180.2</v>
      </c>
      <c r="I125" s="71">
        <v>152.5</v>
      </c>
      <c r="J125" s="34">
        <f t="shared" si="55"/>
        <v>84.628190899001112</v>
      </c>
      <c r="K125" s="71">
        <v>152.5</v>
      </c>
      <c r="L125" s="34">
        <f t="shared" si="56"/>
        <v>84.628190899001112</v>
      </c>
      <c r="M125" s="71">
        <f>329.585-M126</f>
        <v>225.99999999999997</v>
      </c>
      <c r="N125" s="34">
        <f t="shared" si="53"/>
        <v>125.41620421753605</v>
      </c>
      <c r="O125" s="71">
        <f>354.06-O126</f>
        <v>226</v>
      </c>
      <c r="P125" s="34">
        <f t="shared" si="54"/>
        <v>125.41620421753608</v>
      </c>
      <c r="Q125" s="274">
        <f t="shared" si="52"/>
        <v>45.800000000000011</v>
      </c>
      <c r="R125" s="132"/>
      <c r="S125" s="34">
        <f>130+50+0.7</f>
        <v>180.7</v>
      </c>
      <c r="T125" s="165">
        <f>S125/F125</f>
        <v>1.0027746947835738</v>
      </c>
    </row>
    <row r="126" spans="1:21" x14ac:dyDescent="0.2">
      <c r="A126" s="111"/>
      <c r="B126" s="29">
        <v>4121</v>
      </c>
      <c r="C126" s="29"/>
      <c r="D126" s="29">
        <v>321</v>
      </c>
      <c r="E126" s="220" t="s">
        <v>199</v>
      </c>
      <c r="F126" s="71">
        <v>125</v>
      </c>
      <c r="G126" s="71"/>
      <c r="H126" s="71">
        <f t="shared" si="51"/>
        <v>125</v>
      </c>
      <c r="I126" s="71">
        <v>37.44</v>
      </c>
      <c r="J126" s="34">
        <f t="shared" si="55"/>
        <v>29.952000000000002</v>
      </c>
      <c r="K126" s="71">
        <v>72.8</v>
      </c>
      <c r="L126" s="34">
        <f t="shared" si="56"/>
        <v>58.24</v>
      </c>
      <c r="M126" s="71">
        <f>45.305+58.28</f>
        <v>103.58500000000001</v>
      </c>
      <c r="N126" s="34">
        <f t="shared" si="53"/>
        <v>82.868000000000009</v>
      </c>
      <c r="O126" s="71">
        <f>66.32+61.74</f>
        <v>128.06</v>
      </c>
      <c r="P126" s="34">
        <f t="shared" si="54"/>
        <v>102.44800000000001</v>
      </c>
      <c r="Q126" s="274">
        <f t="shared" si="52"/>
        <v>3.0600000000000023</v>
      </c>
      <c r="R126" s="132" t="s">
        <v>0</v>
      </c>
      <c r="S126" s="71">
        <f>65+60</f>
        <v>125</v>
      </c>
      <c r="T126" s="165">
        <f>S126/F126</f>
        <v>1</v>
      </c>
    </row>
    <row r="127" spans="1:21" x14ac:dyDescent="0.2">
      <c r="A127" s="111"/>
      <c r="B127" s="29">
        <v>4122</v>
      </c>
      <c r="C127" s="29"/>
      <c r="D127" s="29"/>
      <c r="E127" s="220" t="s">
        <v>442</v>
      </c>
      <c r="F127" s="71"/>
      <c r="G127" s="71"/>
      <c r="H127" s="71"/>
      <c r="I127" s="71"/>
      <c r="J127" s="34"/>
      <c r="K127" s="71"/>
      <c r="L127" s="34"/>
      <c r="M127" s="71"/>
      <c r="N127" s="34"/>
      <c r="O127" s="71"/>
      <c r="P127" s="34"/>
      <c r="Q127" s="274">
        <f t="shared" si="52"/>
        <v>0</v>
      </c>
      <c r="R127" s="132" t="s">
        <v>443</v>
      </c>
      <c r="S127" s="71">
        <v>500</v>
      </c>
      <c r="T127" s="165"/>
    </row>
    <row r="128" spans="1:21" x14ac:dyDescent="0.2">
      <c r="A128" s="111"/>
      <c r="B128" s="29">
        <v>4122</v>
      </c>
      <c r="C128" s="29"/>
      <c r="D128" s="29"/>
      <c r="E128" s="220" t="s">
        <v>453</v>
      </c>
      <c r="F128" s="71"/>
      <c r="G128" s="71"/>
      <c r="H128" s="71"/>
      <c r="I128" s="71"/>
      <c r="J128" s="34"/>
      <c r="K128" s="71"/>
      <c r="L128" s="34"/>
      <c r="M128" s="71"/>
      <c r="N128" s="34"/>
      <c r="O128" s="71"/>
      <c r="P128" s="34"/>
      <c r="Q128" s="274">
        <f t="shared" si="52"/>
        <v>0</v>
      </c>
      <c r="R128" s="132"/>
      <c r="S128" s="71">
        <v>120</v>
      </c>
      <c r="T128" s="165"/>
    </row>
    <row r="129" spans="1:20" x14ac:dyDescent="0.2">
      <c r="A129" s="111"/>
      <c r="B129" s="29">
        <v>4122</v>
      </c>
      <c r="C129" s="29">
        <v>307</v>
      </c>
      <c r="D129" s="272" t="s">
        <v>314</v>
      </c>
      <c r="E129" s="29" t="s">
        <v>352</v>
      </c>
      <c r="F129" s="71"/>
      <c r="G129" s="71">
        <f>3129+2086+979+375.376</f>
        <v>6569.3760000000002</v>
      </c>
      <c r="H129" s="71">
        <f t="shared" si="51"/>
        <v>6569.3760000000002</v>
      </c>
      <c r="I129" s="71">
        <v>3129</v>
      </c>
      <c r="J129" s="34">
        <f t="shared" si="55"/>
        <v>47.630094547792666</v>
      </c>
      <c r="K129" s="71">
        <v>5215</v>
      </c>
      <c r="L129" s="34">
        <f t="shared" si="56"/>
        <v>79.383490912987781</v>
      </c>
      <c r="M129" s="71">
        <v>5215</v>
      </c>
      <c r="N129" s="34">
        <f t="shared" si="53"/>
        <v>79.383490912987781</v>
      </c>
      <c r="O129" s="71">
        <v>6569.3760000000002</v>
      </c>
      <c r="P129" s="34">
        <f t="shared" si="54"/>
        <v>100</v>
      </c>
      <c r="Q129" s="274">
        <f t="shared" si="52"/>
        <v>0</v>
      </c>
      <c r="R129" s="132"/>
      <c r="S129" s="71"/>
      <c r="T129" s="165"/>
    </row>
    <row r="130" spans="1:20" x14ac:dyDescent="0.2">
      <c r="A130" s="111"/>
      <c r="B130" s="29">
        <v>4122</v>
      </c>
      <c r="C130" s="29">
        <v>227</v>
      </c>
      <c r="D130" s="29">
        <v>13305</v>
      </c>
      <c r="E130" s="481" t="s">
        <v>351</v>
      </c>
      <c r="F130" s="71">
        <v>800</v>
      </c>
      <c r="G130" s="71">
        <f>53+160+131.251</f>
        <v>344.25099999999998</v>
      </c>
      <c r="H130" s="71">
        <f t="shared" si="51"/>
        <v>1144.251</v>
      </c>
      <c r="I130" s="71">
        <v>511.8</v>
      </c>
      <c r="J130" s="34">
        <f t="shared" si="55"/>
        <v>44.727948675596529</v>
      </c>
      <c r="K130" s="71">
        <v>853</v>
      </c>
      <c r="L130" s="34">
        <f t="shared" si="56"/>
        <v>74.546581125994209</v>
      </c>
      <c r="M130" s="71">
        <v>853</v>
      </c>
      <c r="N130" s="34">
        <f t="shared" si="53"/>
        <v>74.546581125994209</v>
      </c>
      <c r="O130" s="71">
        <v>1144.251</v>
      </c>
      <c r="P130" s="34">
        <f t="shared" si="54"/>
        <v>100</v>
      </c>
      <c r="Q130" s="274">
        <f t="shared" si="52"/>
        <v>0</v>
      </c>
      <c r="R130" s="132"/>
      <c r="S130" s="71">
        <v>1500</v>
      </c>
      <c r="T130" s="165">
        <f>S130/F130</f>
        <v>1.875</v>
      </c>
    </row>
    <row r="131" spans="1:20" x14ac:dyDescent="0.2">
      <c r="A131" s="111"/>
      <c r="B131" s="29">
        <v>4122</v>
      </c>
      <c r="C131" s="111">
        <v>201</v>
      </c>
      <c r="D131" s="29"/>
      <c r="E131" s="29" t="s">
        <v>405</v>
      </c>
      <c r="F131" s="71"/>
      <c r="G131" s="71">
        <v>49.9</v>
      </c>
      <c r="H131" s="71">
        <f t="shared" si="51"/>
        <v>49.9</v>
      </c>
      <c r="I131" s="71">
        <v>49.9</v>
      </c>
      <c r="J131" s="34">
        <f t="shared" si="55"/>
        <v>100</v>
      </c>
      <c r="K131" s="71">
        <v>49.9</v>
      </c>
      <c r="L131" s="34">
        <f t="shared" si="56"/>
        <v>100</v>
      </c>
      <c r="M131" s="71">
        <v>49.9</v>
      </c>
      <c r="N131" s="34">
        <f t="shared" si="53"/>
        <v>100</v>
      </c>
      <c r="O131" s="71">
        <v>49.9</v>
      </c>
      <c r="P131" s="34">
        <f t="shared" si="54"/>
        <v>100</v>
      </c>
      <c r="Q131" s="274">
        <f t="shared" si="52"/>
        <v>0</v>
      </c>
      <c r="R131" s="132"/>
      <c r="S131" s="71"/>
      <c r="T131" s="165"/>
    </row>
    <row r="132" spans="1:20" x14ac:dyDescent="0.2">
      <c r="A132" s="111"/>
      <c r="B132" s="29">
        <v>4122</v>
      </c>
      <c r="C132" s="111">
        <v>311</v>
      </c>
      <c r="D132" s="29"/>
      <c r="E132" s="29" t="s">
        <v>427</v>
      </c>
      <c r="F132" s="71"/>
      <c r="G132" s="71">
        <v>42.9</v>
      </c>
      <c r="H132" s="71">
        <f t="shared" si="51"/>
        <v>42.9</v>
      </c>
      <c r="I132" s="71"/>
      <c r="J132" s="34"/>
      <c r="K132" s="71"/>
      <c r="L132" s="34"/>
      <c r="M132" s="71"/>
      <c r="N132" s="34"/>
      <c r="O132" s="71">
        <v>42.9</v>
      </c>
      <c r="P132" s="34">
        <f t="shared" si="54"/>
        <v>100</v>
      </c>
      <c r="Q132" s="274">
        <f t="shared" si="52"/>
        <v>0</v>
      </c>
      <c r="R132" s="132"/>
      <c r="S132" s="71"/>
      <c r="T132" s="165"/>
    </row>
    <row r="133" spans="1:20" x14ac:dyDescent="0.2">
      <c r="A133" s="111"/>
      <c r="B133" s="29">
        <v>4122</v>
      </c>
      <c r="C133" s="111">
        <v>249</v>
      </c>
      <c r="D133" s="29"/>
      <c r="E133" s="29" t="s">
        <v>480</v>
      </c>
      <c r="F133" s="71"/>
      <c r="G133" s="71">
        <v>42.84</v>
      </c>
      <c r="H133" s="71">
        <f t="shared" si="51"/>
        <v>42.84</v>
      </c>
      <c r="I133" s="71"/>
      <c r="J133" s="34"/>
      <c r="K133" s="71"/>
      <c r="L133" s="34"/>
      <c r="M133" s="71"/>
      <c r="N133" s="34"/>
      <c r="O133" s="71">
        <v>42.84</v>
      </c>
      <c r="P133" s="34">
        <f t="shared" si="54"/>
        <v>100</v>
      </c>
      <c r="Q133" s="274">
        <f t="shared" si="52"/>
        <v>0</v>
      </c>
      <c r="R133" s="132"/>
      <c r="S133" s="71"/>
      <c r="T133" s="165"/>
    </row>
    <row r="134" spans="1:20" x14ac:dyDescent="0.2">
      <c r="A134" s="111"/>
      <c r="B134" s="29">
        <v>4122</v>
      </c>
      <c r="C134" s="111">
        <v>301</v>
      </c>
      <c r="D134" s="29"/>
      <c r="E134" s="29" t="s">
        <v>466</v>
      </c>
      <c r="F134" s="71"/>
      <c r="G134" s="71">
        <v>45.041060000000002</v>
      </c>
      <c r="H134" s="71">
        <f t="shared" si="51"/>
        <v>45.041060000000002</v>
      </c>
      <c r="I134" s="71"/>
      <c r="J134" s="34"/>
      <c r="K134" s="71"/>
      <c r="L134" s="34"/>
      <c r="M134" s="71"/>
      <c r="N134" s="34"/>
      <c r="O134" s="71">
        <v>45.041060000000002</v>
      </c>
      <c r="P134" s="34">
        <f t="shared" si="54"/>
        <v>100</v>
      </c>
      <c r="Q134" s="274">
        <f t="shared" si="52"/>
        <v>0</v>
      </c>
      <c r="R134" s="132"/>
      <c r="S134" s="71"/>
      <c r="T134" s="165"/>
    </row>
    <row r="135" spans="1:20" ht="13.5" customHeight="1" x14ac:dyDescent="0.2">
      <c r="A135" s="111"/>
      <c r="B135" s="29">
        <v>4132</v>
      </c>
      <c r="C135" s="111"/>
      <c r="D135" s="29"/>
      <c r="E135" s="29" t="s">
        <v>392</v>
      </c>
      <c r="F135" s="71"/>
      <c r="G135" s="71"/>
      <c r="H135" s="71">
        <f>SUM(F135:G135)</f>
        <v>0</v>
      </c>
      <c r="I135" s="71">
        <v>0.44700000000000001</v>
      </c>
      <c r="J135" s="34"/>
      <c r="K135" s="71">
        <v>0.44700000000000001</v>
      </c>
      <c r="L135" s="34"/>
      <c r="M135" s="71">
        <v>0.44700000000000001</v>
      </c>
      <c r="N135" s="34"/>
      <c r="O135" s="71">
        <v>0.44700000000000001</v>
      </c>
      <c r="P135" s="34"/>
      <c r="Q135" s="274">
        <f t="shared" si="52"/>
        <v>0.44700000000000001</v>
      </c>
      <c r="R135" s="447"/>
      <c r="S135" s="71"/>
      <c r="T135" s="165"/>
    </row>
    <row r="136" spans="1:20" x14ac:dyDescent="0.2">
      <c r="A136" s="98" t="s">
        <v>53</v>
      </c>
      <c r="B136" s="32"/>
      <c r="C136" s="98"/>
      <c r="D136" s="32"/>
      <c r="E136" s="32"/>
      <c r="F136" s="72">
        <f>SUM(F137:F141)</f>
        <v>13500</v>
      </c>
      <c r="G136" s="72">
        <f>SUM(G137:G141)</f>
        <v>17424.5</v>
      </c>
      <c r="H136" s="72">
        <f>SUM(H137:H141)</f>
        <v>30924.5</v>
      </c>
      <c r="I136" s="72">
        <f>SUM(I137:I141)</f>
        <v>24.5</v>
      </c>
      <c r="J136" s="31">
        <f>I136/$H136*100</f>
        <v>7.922520978512182E-2</v>
      </c>
      <c r="K136" s="72">
        <f>SUM(K137:K141)</f>
        <v>24.5</v>
      </c>
      <c r="L136" s="31">
        <f>K136/$H136*100</f>
        <v>7.922520978512182E-2</v>
      </c>
      <c r="M136" s="72">
        <f>SUM(M137:M141)</f>
        <v>10924.5</v>
      </c>
      <c r="N136" s="31">
        <f>M136/$H136*100</f>
        <v>35.326359359084222</v>
      </c>
      <c r="O136" s="72">
        <f>SUM(O137:O141)</f>
        <v>30924.5</v>
      </c>
      <c r="P136" s="31">
        <f>O136/$H136*100</f>
        <v>100</v>
      </c>
      <c r="Q136" s="356">
        <f>SUM(Q137:Q141)</f>
        <v>0</v>
      </c>
      <c r="R136" s="114"/>
      <c r="S136" s="72">
        <f>SUM(S137:S141)</f>
        <v>2600</v>
      </c>
      <c r="T136" s="164">
        <f>S136/F136</f>
        <v>0.19259259259259259</v>
      </c>
    </row>
    <row r="137" spans="1:20" x14ac:dyDescent="0.2">
      <c r="A137" s="98"/>
      <c r="B137" s="33">
        <v>4222</v>
      </c>
      <c r="C137" s="486">
        <v>216</v>
      </c>
      <c r="D137" s="32"/>
      <c r="E137" s="415" t="s">
        <v>328</v>
      </c>
      <c r="F137" s="443">
        <v>10000</v>
      </c>
      <c r="G137" s="443"/>
      <c r="H137" s="71">
        <f>SUM(F137:G137)</f>
        <v>10000</v>
      </c>
      <c r="I137" s="443">
        <v>0</v>
      </c>
      <c r="J137" s="34"/>
      <c r="K137" s="443">
        <v>0</v>
      </c>
      <c r="L137" s="31"/>
      <c r="M137" s="443">
        <v>10000</v>
      </c>
      <c r="N137" s="34">
        <f t="shared" si="53"/>
        <v>100</v>
      </c>
      <c r="O137" s="443">
        <v>10000</v>
      </c>
      <c r="P137" s="34">
        <f t="shared" si="54"/>
        <v>100</v>
      </c>
      <c r="Q137" s="274">
        <f t="shared" ref="Q137:Q141" si="57">O137-H137</f>
        <v>0</v>
      </c>
      <c r="R137" s="132"/>
      <c r="S137" s="443"/>
      <c r="T137" s="164"/>
    </row>
    <row r="138" spans="1:20" x14ac:dyDescent="0.2">
      <c r="A138" s="98"/>
      <c r="B138" s="33">
        <v>4216</v>
      </c>
      <c r="C138" s="486">
        <v>216</v>
      </c>
      <c r="D138" s="32"/>
      <c r="E138" s="415" t="s">
        <v>409</v>
      </c>
      <c r="F138" s="443"/>
      <c r="G138" s="443">
        <v>20000</v>
      </c>
      <c r="H138" s="71">
        <f>SUM(F138:G138)</f>
        <v>20000</v>
      </c>
      <c r="I138" s="443"/>
      <c r="J138" s="34"/>
      <c r="K138" s="443">
        <v>0</v>
      </c>
      <c r="L138" s="31"/>
      <c r="M138" s="443"/>
      <c r="N138" s="34"/>
      <c r="O138" s="443">
        <v>20000</v>
      </c>
      <c r="P138" s="34">
        <f t="shared" si="54"/>
        <v>100</v>
      </c>
      <c r="Q138" s="274">
        <f t="shared" si="57"/>
        <v>0</v>
      </c>
      <c r="R138" s="132"/>
      <c r="S138" s="443"/>
      <c r="T138" s="164"/>
    </row>
    <row r="139" spans="1:20" x14ac:dyDescent="0.2">
      <c r="A139" s="98"/>
      <c r="B139" s="33">
        <v>4216</v>
      </c>
      <c r="C139" s="486"/>
      <c r="D139" s="32"/>
      <c r="E139" s="415" t="s">
        <v>371</v>
      </c>
      <c r="F139" s="443">
        <v>2500</v>
      </c>
      <c r="G139" s="443">
        <v>-2500</v>
      </c>
      <c r="H139" s="71">
        <f t="shared" ref="H139" si="58">SUM(F139:G139)</f>
        <v>0</v>
      </c>
      <c r="I139" s="443">
        <v>0</v>
      </c>
      <c r="J139" s="34"/>
      <c r="K139" s="443">
        <v>0</v>
      </c>
      <c r="L139" s="31"/>
      <c r="M139" s="443"/>
      <c r="N139" s="34"/>
      <c r="O139" s="443">
        <v>0</v>
      </c>
      <c r="P139" s="34"/>
      <c r="Q139" s="274">
        <f t="shared" si="57"/>
        <v>0</v>
      </c>
      <c r="R139" s="132"/>
      <c r="S139" s="443">
        <v>2500</v>
      </c>
      <c r="T139" s="164"/>
    </row>
    <row r="140" spans="1:20" x14ac:dyDescent="0.2">
      <c r="A140" s="111"/>
      <c r="B140" s="33">
        <v>4222</v>
      </c>
      <c r="C140" s="486">
        <v>223</v>
      </c>
      <c r="D140" s="29"/>
      <c r="E140" s="29" t="s">
        <v>356</v>
      </c>
      <c r="F140" s="71"/>
      <c r="G140" s="71">
        <v>24.5</v>
      </c>
      <c r="H140" s="71">
        <f>SUM(F140:G140)</f>
        <v>24.5</v>
      </c>
      <c r="I140" s="71">
        <v>24.5</v>
      </c>
      <c r="J140" s="34">
        <f>I140/$H140*100</f>
        <v>100</v>
      </c>
      <c r="K140" s="71">
        <v>24.5</v>
      </c>
      <c r="L140" s="34">
        <f>K140/$H140*100</f>
        <v>100</v>
      </c>
      <c r="M140" s="71">
        <v>24.5</v>
      </c>
      <c r="N140" s="34">
        <f t="shared" si="53"/>
        <v>100</v>
      </c>
      <c r="O140" s="71">
        <v>24.5</v>
      </c>
      <c r="P140" s="34">
        <f t="shared" si="54"/>
        <v>100</v>
      </c>
      <c r="Q140" s="274">
        <f t="shared" si="57"/>
        <v>0</v>
      </c>
      <c r="R140" s="132"/>
      <c r="S140" s="71"/>
      <c r="T140" s="165"/>
    </row>
    <row r="141" spans="1:20" ht="13.5" thickBot="1" x14ac:dyDescent="0.25">
      <c r="A141" s="98"/>
      <c r="B141" s="33">
        <v>4222</v>
      </c>
      <c r="C141" s="486">
        <v>223</v>
      </c>
      <c r="D141" s="32"/>
      <c r="E141" s="415" t="s">
        <v>402</v>
      </c>
      <c r="F141" s="443">
        <v>1000</v>
      </c>
      <c r="G141" s="443">
        <v>-100</v>
      </c>
      <c r="H141" s="71">
        <f>SUM(F141:G141)</f>
        <v>900</v>
      </c>
      <c r="I141" s="443">
        <v>0</v>
      </c>
      <c r="J141" s="34"/>
      <c r="K141" s="443">
        <v>0</v>
      </c>
      <c r="L141" s="31"/>
      <c r="M141" s="443">
        <v>900</v>
      </c>
      <c r="N141" s="34">
        <f t="shared" si="53"/>
        <v>100</v>
      </c>
      <c r="O141" s="443">
        <v>900</v>
      </c>
      <c r="P141" s="34">
        <f t="shared" si="54"/>
        <v>100</v>
      </c>
      <c r="Q141" s="274">
        <f t="shared" si="57"/>
        <v>0</v>
      </c>
      <c r="R141" s="132" t="s">
        <v>372</v>
      </c>
      <c r="S141" s="443">
        <v>100</v>
      </c>
      <c r="T141" s="164"/>
    </row>
    <row r="142" spans="1:20" ht="14.25" customHeight="1" thickBot="1" x14ac:dyDescent="0.3">
      <c r="A142" s="117" t="s">
        <v>54</v>
      </c>
      <c r="B142" s="120"/>
      <c r="C142" s="121"/>
      <c r="D142" s="120"/>
      <c r="E142" s="120"/>
      <c r="F142" s="123">
        <f>SUM(F106+F136)</f>
        <v>38591</v>
      </c>
      <c r="G142" s="123">
        <f>SUM(G106+G136)</f>
        <v>28813.791859999998</v>
      </c>
      <c r="H142" s="123">
        <f>SUM(H106+H136)</f>
        <v>67404.791859999998</v>
      </c>
      <c r="I142" s="123">
        <f>SUM(I106+I136)</f>
        <v>10134.061</v>
      </c>
      <c r="J142" s="36">
        <f>I142/$H142*100</f>
        <v>15.034629913327946</v>
      </c>
      <c r="K142" s="123">
        <f>SUM(K106+K136)</f>
        <v>21419.887020000002</v>
      </c>
      <c r="L142" s="36">
        <f>K142/$H142*100</f>
        <v>31.777988521185836</v>
      </c>
      <c r="M142" s="123">
        <f>SUM(M106+M136)</f>
        <v>40065.977530000004</v>
      </c>
      <c r="N142" s="36">
        <f>M142/$H142*100</f>
        <v>59.440844522177571</v>
      </c>
      <c r="O142" s="123">
        <f>SUM(O106+O136)</f>
        <v>67462.022189999989</v>
      </c>
      <c r="P142" s="36">
        <f>O142/$H142*100</f>
        <v>100.08490543241919</v>
      </c>
      <c r="Q142" s="357">
        <f>SUM(Q106+Q136)</f>
        <v>57.230329999999945</v>
      </c>
      <c r="R142" s="123"/>
      <c r="S142" s="123">
        <f>SUM(S106+S136)</f>
        <v>30510</v>
      </c>
      <c r="T142" s="166">
        <f>S142/F142</f>
        <v>0.79059884429011951</v>
      </c>
    </row>
    <row r="143" spans="1:20" ht="16.5" thickBot="1" x14ac:dyDescent="0.3">
      <c r="A143" s="39" t="s">
        <v>11</v>
      </c>
      <c r="B143" s="40"/>
      <c r="C143" s="41"/>
      <c r="D143" s="41"/>
      <c r="E143" s="42"/>
      <c r="F143" s="133">
        <f>SUM(F39+F95+F104+F142)</f>
        <v>144479</v>
      </c>
      <c r="G143" s="133">
        <f>SUM(G39+G95+G104+G142)</f>
        <v>28868.049269999996</v>
      </c>
      <c r="H143" s="133">
        <f>SUM(H39+H95+H104+H142)</f>
        <v>173329.37886</v>
      </c>
      <c r="I143" s="133">
        <f>SUM(I39+I95+I104+I142)</f>
        <v>37119.494830000003</v>
      </c>
      <c r="J143" s="480">
        <f>I143/$H143*100</f>
        <v>21.415581752001671</v>
      </c>
      <c r="K143" s="133">
        <f>SUM(K39+K95+K104+K142)</f>
        <v>79316.642530000012</v>
      </c>
      <c r="L143" s="133">
        <f>K143/$H143*100</f>
        <v>45.760645455300988</v>
      </c>
      <c r="M143" s="133">
        <f>SUM(M39+M95+M104+M142)</f>
        <v>127292.48179000001</v>
      </c>
      <c r="N143" s="133">
        <f>M143/$H143*100</f>
        <v>73.439645735311558</v>
      </c>
      <c r="O143" s="133">
        <f>SUM(O39+O95+O104+O142)</f>
        <v>183386.87429999997</v>
      </c>
      <c r="P143" s="133">
        <f>O143/$H143*100</f>
        <v>105.80253359594826</v>
      </c>
      <c r="Q143" s="357">
        <f>SUM(Q39+Q95+Q104+Q142)</f>
        <v>10040.495440000001</v>
      </c>
      <c r="R143" s="262"/>
      <c r="S143" s="133">
        <f>SUM(S39+S95+S104+S142)</f>
        <v>157187</v>
      </c>
      <c r="T143" s="222">
        <f>S143/F143</f>
        <v>1.0879574194173547</v>
      </c>
    </row>
    <row r="144" spans="1:20" ht="24" customHeight="1" thickBot="1" x14ac:dyDescent="0.25">
      <c r="A144" s="108"/>
      <c r="B144" s="23"/>
      <c r="C144" s="108"/>
      <c r="D144" s="23"/>
      <c r="E144" s="23"/>
      <c r="F144" s="159"/>
      <c r="G144" s="159"/>
      <c r="H144" s="159"/>
      <c r="I144" s="159"/>
      <c r="J144" s="110"/>
      <c r="K144" s="159"/>
      <c r="L144" s="110"/>
      <c r="M144" s="159"/>
      <c r="N144" s="110"/>
      <c r="O144" s="159"/>
      <c r="P144" s="110"/>
      <c r="Q144" s="358"/>
      <c r="R144" s="250"/>
      <c r="S144" s="159"/>
      <c r="T144" s="162"/>
    </row>
    <row r="145" spans="1:21" ht="13.5" thickBot="1" x14ac:dyDescent="0.25">
      <c r="A145" s="43"/>
      <c r="B145" s="44"/>
      <c r="C145" s="43"/>
      <c r="D145" s="44"/>
      <c r="E145" s="45"/>
      <c r="F145" s="491" t="s">
        <v>343</v>
      </c>
      <c r="G145" s="485" t="s">
        <v>3</v>
      </c>
      <c r="H145" s="160" t="s">
        <v>101</v>
      </c>
      <c r="I145" s="485" t="s">
        <v>386</v>
      </c>
      <c r="J145" s="444" t="s">
        <v>4</v>
      </c>
      <c r="K145" s="485" t="str">
        <f>K3</f>
        <v>2.Q.2017</v>
      </c>
      <c r="L145" s="444" t="s">
        <v>4</v>
      </c>
      <c r="M145" s="485" t="str">
        <f>M3</f>
        <v>3.Q.2017</v>
      </c>
      <c r="N145" s="444" t="s">
        <v>4</v>
      </c>
      <c r="O145" s="485" t="str">
        <f>O3</f>
        <v>4.Q.2017</v>
      </c>
      <c r="P145" s="456" t="s">
        <v>4</v>
      </c>
      <c r="Q145" s="276" t="s">
        <v>92</v>
      </c>
      <c r="R145" s="263"/>
      <c r="S145" s="491" t="s">
        <v>387</v>
      </c>
      <c r="T145" s="614" t="s">
        <v>388</v>
      </c>
    </row>
    <row r="146" spans="1:21" x14ac:dyDescent="0.2">
      <c r="A146" s="43" t="s">
        <v>55</v>
      </c>
      <c r="B146" s="23"/>
      <c r="C146" s="108"/>
      <c r="D146" s="23"/>
      <c r="E146" s="124" t="s">
        <v>56</v>
      </c>
      <c r="F146" s="156">
        <f>F39</f>
        <v>80034</v>
      </c>
      <c r="G146" s="156">
        <f>G39</f>
        <v>0</v>
      </c>
      <c r="H146" s="156">
        <f>H39</f>
        <v>80034</v>
      </c>
      <c r="I146" s="156">
        <f>I39</f>
        <v>21882.307690000001</v>
      </c>
      <c r="J146" s="38">
        <f t="shared" ref="J146:J152" si="59">I146/$H146*100</f>
        <v>27.3412645750556</v>
      </c>
      <c r="K146" s="156">
        <f>K39</f>
        <v>45644.641980000008</v>
      </c>
      <c r="L146" s="38">
        <f t="shared" ref="L146:L152" si="60">K146/$H146*100</f>
        <v>57.031564060274398</v>
      </c>
      <c r="M146" s="156">
        <f>M39</f>
        <v>66707.114130000002</v>
      </c>
      <c r="N146" s="419">
        <f t="shared" ref="N146:N152" si="61">M146/$H146*100</f>
        <v>83.348469562935762</v>
      </c>
      <c r="O146" s="156">
        <f>O39</f>
        <v>88971.968209999992</v>
      </c>
      <c r="P146" s="419">
        <f t="shared" ref="P146:P152" si="62">O146/$H146*100</f>
        <v>111.16771398405676</v>
      </c>
      <c r="Q146" s="274">
        <f>Q39</f>
        <v>8937.9682100000009</v>
      </c>
      <c r="R146" s="264"/>
      <c r="S146" s="156">
        <f>S39</f>
        <v>91121</v>
      </c>
      <c r="T146" s="168">
        <f t="shared" ref="T146:T152" si="63">S146/F146</f>
        <v>1.138528625334233</v>
      </c>
    </row>
    <row r="147" spans="1:21" x14ac:dyDescent="0.2">
      <c r="A147" s="108"/>
      <c r="B147" s="23"/>
      <c r="C147" s="108"/>
      <c r="D147" s="23"/>
      <c r="E147" s="62" t="s">
        <v>57</v>
      </c>
      <c r="F147" s="399">
        <f>F95</f>
        <v>25389</v>
      </c>
      <c r="G147" s="399">
        <f>G95</f>
        <v>34.257409999999993</v>
      </c>
      <c r="H147" s="46">
        <f>H95</f>
        <v>25405.587</v>
      </c>
      <c r="I147" s="399">
        <f>I95</f>
        <v>4919.3591400000005</v>
      </c>
      <c r="J147" s="38">
        <f t="shared" si="59"/>
        <v>19.363296506394441</v>
      </c>
      <c r="K147" s="399">
        <f>K95</f>
        <v>11240.165529999997</v>
      </c>
      <c r="L147" s="38">
        <f t="shared" si="60"/>
        <v>44.242888503225672</v>
      </c>
      <c r="M147" s="399">
        <f>M95</f>
        <v>19382.112130000001</v>
      </c>
      <c r="N147" s="419">
        <f t="shared" si="61"/>
        <v>76.290747110074648</v>
      </c>
      <c r="O147" s="399">
        <f>O95</f>
        <v>25427.374899999992</v>
      </c>
      <c r="P147" s="419">
        <f t="shared" si="62"/>
        <v>100.08576026997522</v>
      </c>
      <c r="Q147" s="274">
        <f>Q95</f>
        <v>4.787899999999496</v>
      </c>
      <c r="R147" s="265"/>
      <c r="S147" s="399">
        <f>S95</f>
        <v>27406</v>
      </c>
      <c r="T147" s="168">
        <f t="shared" si="63"/>
        <v>1.079443853637402</v>
      </c>
    </row>
    <row r="148" spans="1:21" x14ac:dyDescent="0.2">
      <c r="A148" s="108"/>
      <c r="B148" s="23"/>
      <c r="C148" s="108"/>
      <c r="D148" s="23"/>
      <c r="E148" s="62" t="s">
        <v>58</v>
      </c>
      <c r="F148" s="157">
        <f>F106</f>
        <v>25091</v>
      </c>
      <c r="G148" s="157">
        <f>G106</f>
        <v>11389.291859999999</v>
      </c>
      <c r="H148" s="157">
        <f>H106</f>
        <v>36480.291859999998</v>
      </c>
      <c r="I148" s="157">
        <f>I106</f>
        <v>10109.561</v>
      </c>
      <c r="J148" s="38">
        <f t="shared" si="59"/>
        <v>27.712390676032271</v>
      </c>
      <c r="K148" s="157">
        <f>K106</f>
        <v>21395.387020000002</v>
      </c>
      <c r="L148" s="38">
        <f t="shared" si="60"/>
        <v>58.64916624600712</v>
      </c>
      <c r="M148" s="157">
        <f>M106</f>
        <v>29141.477530000004</v>
      </c>
      <c r="N148" s="419">
        <f t="shared" si="61"/>
        <v>79.882797105450592</v>
      </c>
      <c r="O148" s="157">
        <f>O106</f>
        <v>36537.522189999996</v>
      </c>
      <c r="P148" s="419">
        <f t="shared" si="62"/>
        <v>100.15688013193433</v>
      </c>
      <c r="Q148" s="274">
        <f>Q106</f>
        <v>57.230329999999945</v>
      </c>
      <c r="R148" s="367"/>
      <c r="S148" s="157">
        <f>S106</f>
        <v>27910</v>
      </c>
      <c r="T148" s="168">
        <f t="shared" si="63"/>
        <v>1.1123510422063687</v>
      </c>
    </row>
    <row r="149" spans="1:21" x14ac:dyDescent="0.2">
      <c r="A149" s="108"/>
      <c r="B149" s="23"/>
      <c r="C149" s="108"/>
      <c r="D149" s="23"/>
      <c r="E149" s="125" t="s">
        <v>59</v>
      </c>
      <c r="F149" s="192">
        <f>SUM(F146:F148)</f>
        <v>130514</v>
      </c>
      <c r="G149" s="192">
        <f>SUM(G146:G148)</f>
        <v>11423.54927</v>
      </c>
      <c r="H149" s="192">
        <f>SUM(H146:H148)</f>
        <v>141919.87886</v>
      </c>
      <c r="I149" s="192">
        <f>SUM(I146:I148)</f>
        <v>36911.227830000003</v>
      </c>
      <c r="J149" s="224">
        <f t="shared" si="59"/>
        <v>26.008497277828074</v>
      </c>
      <c r="K149" s="192">
        <f>SUM(K146:K148)</f>
        <v>78280.194530000008</v>
      </c>
      <c r="L149" s="224">
        <f t="shared" si="60"/>
        <v>55.158019552159601</v>
      </c>
      <c r="M149" s="192">
        <f>SUM(M146:M148)</f>
        <v>115230.70379</v>
      </c>
      <c r="N149" s="420">
        <f t="shared" si="61"/>
        <v>81.194195426048722</v>
      </c>
      <c r="O149" s="192">
        <f>SUM(O146:O148)</f>
        <v>150936.86529999998</v>
      </c>
      <c r="P149" s="420">
        <f t="shared" si="62"/>
        <v>106.35357535000081</v>
      </c>
      <c r="Q149" s="356">
        <f>SUM(Q146:Q148)</f>
        <v>8999.9864400000006</v>
      </c>
      <c r="R149" s="266"/>
      <c r="S149" s="192">
        <f>SUM(S146:S148)</f>
        <v>146437</v>
      </c>
      <c r="T149" s="169">
        <f t="shared" si="63"/>
        <v>1.1220022373078751</v>
      </c>
    </row>
    <row r="150" spans="1:21" x14ac:dyDescent="0.2">
      <c r="A150" s="108"/>
      <c r="B150" s="23"/>
      <c r="C150" s="108"/>
      <c r="D150" s="23"/>
      <c r="E150" s="62" t="s">
        <v>60</v>
      </c>
      <c r="F150" s="158">
        <f>F104</f>
        <v>465</v>
      </c>
      <c r="G150" s="158">
        <f>G104</f>
        <v>20</v>
      </c>
      <c r="H150" s="158">
        <f>H104</f>
        <v>485</v>
      </c>
      <c r="I150" s="158">
        <f>I104</f>
        <v>183.767</v>
      </c>
      <c r="J150" s="38">
        <f t="shared" si="59"/>
        <v>37.890103092783505</v>
      </c>
      <c r="K150" s="158">
        <f>K104</f>
        <v>1011.9480000000001</v>
      </c>
      <c r="L150" s="38">
        <f t="shared" si="60"/>
        <v>208.64907216494845</v>
      </c>
      <c r="M150" s="158">
        <f>M104</f>
        <v>1137.278</v>
      </c>
      <c r="N150" s="419">
        <f t="shared" si="61"/>
        <v>234.49030927835054</v>
      </c>
      <c r="O150" s="158">
        <f>O104</f>
        <v>1525.509</v>
      </c>
      <c r="P150" s="419">
        <f t="shared" si="62"/>
        <v>314.53793814432987</v>
      </c>
      <c r="Q150" s="274">
        <f>Q104</f>
        <v>1040.509</v>
      </c>
      <c r="R150" s="264" t="s">
        <v>1</v>
      </c>
      <c r="S150" s="158">
        <f>S104</f>
        <v>8150</v>
      </c>
      <c r="T150" s="168">
        <f t="shared" si="63"/>
        <v>17.526881720430108</v>
      </c>
    </row>
    <row r="151" spans="1:21" x14ac:dyDescent="0.2">
      <c r="A151" s="108"/>
      <c r="B151" s="23"/>
      <c r="C151" s="108"/>
      <c r="D151" s="23"/>
      <c r="E151" s="62" t="s">
        <v>61</v>
      </c>
      <c r="F151" s="158">
        <f>F136</f>
        <v>13500</v>
      </c>
      <c r="G151" s="158">
        <f>G136</f>
        <v>17424.5</v>
      </c>
      <c r="H151" s="158">
        <f>H136</f>
        <v>30924.5</v>
      </c>
      <c r="I151" s="158">
        <f>I136</f>
        <v>24.5</v>
      </c>
      <c r="J151" s="38">
        <f t="shared" si="59"/>
        <v>7.922520978512182E-2</v>
      </c>
      <c r="K151" s="158">
        <f>K136</f>
        <v>24.5</v>
      </c>
      <c r="L151" s="38">
        <f t="shared" si="60"/>
        <v>7.922520978512182E-2</v>
      </c>
      <c r="M151" s="158">
        <f>M136</f>
        <v>10924.5</v>
      </c>
      <c r="N151" s="419">
        <f t="shared" si="61"/>
        <v>35.326359359084222</v>
      </c>
      <c r="O151" s="158">
        <f>O136</f>
        <v>30924.5</v>
      </c>
      <c r="P151" s="419">
        <f t="shared" si="62"/>
        <v>100</v>
      </c>
      <c r="Q151" s="274">
        <f>Q136</f>
        <v>0</v>
      </c>
      <c r="R151" s="264"/>
      <c r="S151" s="158">
        <f>S136</f>
        <v>2600</v>
      </c>
      <c r="T151" s="168">
        <f t="shared" si="63"/>
        <v>0.19259259259259259</v>
      </c>
    </row>
    <row r="152" spans="1:21" ht="13.5" thickBot="1" x14ac:dyDescent="0.25">
      <c r="A152" s="126"/>
      <c r="B152" s="23"/>
      <c r="C152" s="108"/>
      <c r="D152" s="23"/>
      <c r="E152" s="127" t="s">
        <v>62</v>
      </c>
      <c r="F152" s="400">
        <f>SUM(F149:F151)</f>
        <v>144479</v>
      </c>
      <c r="G152" s="400">
        <f>SUM(G149:G151)</f>
        <v>28868.04927</v>
      </c>
      <c r="H152" s="182">
        <f>SUM(H149:H151)</f>
        <v>173329.37886</v>
      </c>
      <c r="I152" s="400">
        <f>SUM(I149:I151)</f>
        <v>37119.494830000003</v>
      </c>
      <c r="J152" s="47">
        <f t="shared" si="59"/>
        <v>21.415581752001671</v>
      </c>
      <c r="K152" s="400">
        <f>SUM(K149:K151)</f>
        <v>79316.642530000012</v>
      </c>
      <c r="L152" s="47">
        <f t="shared" si="60"/>
        <v>45.760645455300988</v>
      </c>
      <c r="M152" s="400">
        <f>SUM(M149:M151)</f>
        <v>127292.48179000001</v>
      </c>
      <c r="N152" s="421">
        <f t="shared" si="61"/>
        <v>73.439645735311558</v>
      </c>
      <c r="O152" s="400">
        <f>SUM(O149:O151)</f>
        <v>183386.87429999997</v>
      </c>
      <c r="P152" s="421">
        <f t="shared" si="62"/>
        <v>105.80253359594826</v>
      </c>
      <c r="Q152" s="382">
        <f>SUM(Q149:Q151)</f>
        <v>10040.495440000001</v>
      </c>
      <c r="R152" s="267"/>
      <c r="S152" s="400">
        <f>SUM(S149:S151)</f>
        <v>157187</v>
      </c>
      <c r="T152" s="170">
        <f t="shared" si="63"/>
        <v>1.0879574194173547</v>
      </c>
    </row>
    <row r="153" spans="1:21" x14ac:dyDescent="0.2">
      <c r="R153" s="268"/>
    </row>
    <row r="154" spans="1:21" x14ac:dyDescent="0.2">
      <c r="A154" s="15"/>
      <c r="B154" s="135"/>
      <c r="C154" s="135"/>
      <c r="D154" s="147"/>
      <c r="E154" s="410"/>
      <c r="H154" s="411"/>
      <c r="Q154" s="225"/>
      <c r="R154" s="128"/>
      <c r="T154" s="135"/>
    </row>
    <row r="155" spans="1:21" x14ac:dyDescent="0.2">
      <c r="A155" s="135"/>
      <c r="B155" s="135"/>
      <c r="C155" s="135"/>
      <c r="D155" s="135"/>
      <c r="E155" s="410"/>
      <c r="F155" s="97"/>
      <c r="H155" s="353"/>
      <c r="Q155" s="225"/>
      <c r="R155" s="128"/>
    </row>
    <row r="156" spans="1:21" x14ac:dyDescent="0.2">
      <c r="A156" s="135"/>
      <c r="B156" s="135"/>
      <c r="C156" s="135"/>
      <c r="D156" s="135"/>
      <c r="E156" s="410"/>
      <c r="H156" s="353"/>
      <c r="Q156" s="225"/>
      <c r="R156" s="268"/>
    </row>
    <row r="157" spans="1:21" x14ac:dyDescent="0.2">
      <c r="A157" s="135"/>
      <c r="B157" s="135"/>
      <c r="C157" s="135"/>
      <c r="D157" s="135"/>
      <c r="E157" s="410"/>
      <c r="H157" s="412"/>
      <c r="R157" s="128"/>
      <c r="T157" s="241"/>
    </row>
    <row r="158" spans="1:21" x14ac:dyDescent="0.2">
      <c r="A158" s="135"/>
      <c r="B158" s="135"/>
      <c r="C158" s="135"/>
      <c r="D158" s="135"/>
      <c r="E158" s="416"/>
      <c r="H158" s="412"/>
      <c r="Q158" s="225"/>
      <c r="R158" s="128"/>
    </row>
    <row r="159" spans="1:21" x14ac:dyDescent="0.2">
      <c r="A159" s="15"/>
      <c r="B159" s="135"/>
      <c r="C159" s="135"/>
      <c r="D159" s="135"/>
      <c r="E159" s="506"/>
      <c r="H159" s="413"/>
      <c r="Q159" s="225"/>
      <c r="R159" s="128"/>
      <c r="T159" s="268"/>
      <c r="U159" s="268"/>
    </row>
    <row r="160" spans="1:21" x14ac:dyDescent="0.2">
      <c r="E160" s="128"/>
      <c r="R160" s="128"/>
    </row>
    <row r="161" spans="5:19" x14ac:dyDescent="0.2">
      <c r="E161" s="128"/>
      <c r="R161" s="128"/>
    </row>
    <row r="162" spans="5:19" x14ac:dyDescent="0.2">
      <c r="E162" s="128"/>
      <c r="F162" s="359"/>
      <c r="G162" s="359"/>
      <c r="I162" s="359"/>
      <c r="K162" s="359"/>
      <c r="M162" s="359"/>
      <c r="O162" s="359"/>
      <c r="R162" s="128"/>
      <c r="S162" s="359"/>
    </row>
    <row r="163" spans="5:19" x14ac:dyDescent="0.2">
      <c r="R163" s="363"/>
    </row>
    <row r="164" spans="5:19" x14ac:dyDescent="0.2">
      <c r="R164" s="268"/>
    </row>
    <row r="167" spans="5:19" x14ac:dyDescent="0.2">
      <c r="R167" s="268"/>
    </row>
  </sheetData>
  <phoneticPr fontId="6" type="noConversion"/>
  <pageMargins left="0.56000000000000005" right="0.15748031496062992" top="0.37" bottom="0.19" header="0.19685039370078741" footer="0.15748031496062992"/>
  <pageSetup paperSize="9" scale="87" fitToWidth="0" fitToHeight="0" orientation="landscape" horizontalDpi="300" verticalDpi="300" r:id="rId1"/>
  <headerFooter alignWithMargins="0">
    <oddHeader>&amp;R&amp;P+1.strana</oddHeader>
    <oddFooter xml:space="preserve">&amp;R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U157"/>
  <sheetViews>
    <sheetView zoomScaleNormal="100" workbookViewId="0">
      <pane xSplit="4" ySplit="4" topLeftCell="AC5" activePane="bottomRight" state="frozen"/>
      <selection pane="topRight" activeCell="E1" sqref="E1"/>
      <selection pane="bottomLeft" activeCell="A5" sqref="A5"/>
      <selection pane="bottomRight" activeCell="D8" sqref="D8"/>
    </sheetView>
  </sheetViews>
  <sheetFormatPr defaultColWidth="7.85546875" defaultRowHeight="12.75" x14ac:dyDescent="0.2"/>
  <cols>
    <col min="1" max="1" width="3.28515625" style="97" customWidth="1"/>
    <col min="2" max="2" width="4.85546875" style="100" customWidth="1"/>
    <col min="3" max="3" width="5.28515625" style="100" bestFit="1" customWidth="1"/>
    <col min="4" max="4" width="27.42578125" style="238" customWidth="1"/>
    <col min="5" max="5" width="6.28515625" style="119" customWidth="1"/>
    <col min="6" max="6" width="5.85546875" style="119" customWidth="1"/>
    <col min="7" max="7" width="7.42578125" style="119" customWidth="1"/>
    <col min="8" max="8" width="5.85546875" style="213" bestFit="1" customWidth="1"/>
    <col min="9" max="9" width="6.28515625" style="213" customWidth="1"/>
    <col min="10" max="10" width="6.5703125" style="119" bestFit="1" customWidth="1"/>
    <col min="11" max="11" width="6.42578125" style="119" customWidth="1"/>
    <col min="12" max="12" width="7" style="119" customWidth="1"/>
    <col min="13" max="13" width="7.5703125" style="97" hidden="1" customWidth="1"/>
    <col min="14" max="14" width="7.7109375" style="97" hidden="1" customWidth="1"/>
    <col min="15" max="15" width="6.85546875" style="119" hidden="1" customWidth="1"/>
    <col min="16" max="16" width="4.140625" style="119" hidden="1" customWidth="1"/>
    <col min="17" max="17" width="6" style="119" hidden="1" customWidth="1"/>
    <col min="18" max="18" width="5.28515625" style="119" hidden="1" customWidth="1"/>
    <col min="19" max="19" width="6" style="119" hidden="1" customWidth="1"/>
    <col min="20" max="20" width="6.5703125" style="119" hidden="1" customWidth="1"/>
    <col min="21" max="22" width="6.140625" style="97" hidden="1" customWidth="1"/>
    <col min="23" max="23" width="6.140625" style="119" hidden="1" customWidth="1"/>
    <col min="24" max="24" width="4.5703125" style="119" hidden="1" customWidth="1"/>
    <col min="25" max="25" width="6.42578125" style="119" customWidth="1"/>
    <col min="26" max="26" width="6" style="119" customWidth="1"/>
    <col min="27" max="27" width="6.42578125" style="119" customWidth="1"/>
    <col min="28" max="28" width="4" style="119" customWidth="1"/>
    <col min="29" max="32" width="7.140625" style="119" customWidth="1"/>
    <col min="33" max="33" width="4.7109375" style="119" customWidth="1"/>
    <col min="34" max="34" width="6.5703125" style="97" hidden="1" customWidth="1"/>
    <col min="35" max="35" width="6.28515625" style="398" hidden="1" customWidth="1"/>
    <col min="36" max="36" width="24.5703125" style="119" customWidth="1"/>
    <col min="37" max="37" width="23.28515625" style="213" hidden="1" customWidth="1"/>
    <col min="38" max="38" width="23.28515625" style="386" hidden="1" customWidth="1"/>
    <col min="39" max="39" width="8.5703125" style="97" customWidth="1"/>
    <col min="40" max="40" width="8.85546875" style="97" customWidth="1"/>
    <col min="41" max="41" width="8.85546875" style="119" customWidth="1"/>
    <col min="42" max="16384" width="7.85546875" style="97"/>
  </cols>
  <sheetData>
    <row r="1" spans="1:41" ht="18.75" thickBot="1" x14ac:dyDescent="0.3">
      <c r="A1" s="107" t="s">
        <v>488</v>
      </c>
      <c r="B1" s="324"/>
      <c r="C1" s="324"/>
      <c r="D1" s="323"/>
      <c r="E1" s="324"/>
      <c r="F1" s="324"/>
      <c r="G1" s="324"/>
      <c r="H1" s="324"/>
      <c r="I1" s="324"/>
      <c r="J1" s="324"/>
      <c r="K1" s="324"/>
      <c r="L1" s="324"/>
      <c r="M1" s="323"/>
      <c r="N1" s="323"/>
      <c r="O1" s="324"/>
      <c r="P1" s="324"/>
      <c r="Q1" s="324"/>
      <c r="R1" s="324"/>
      <c r="S1" s="324"/>
      <c r="T1" s="324"/>
      <c r="U1" s="323"/>
      <c r="V1" s="323"/>
      <c r="W1" s="324"/>
      <c r="X1" s="324"/>
      <c r="Y1" s="324"/>
      <c r="Z1" s="324"/>
      <c r="AA1" s="324"/>
      <c r="AB1" s="324"/>
      <c r="AC1" s="534"/>
      <c r="AD1" s="324"/>
      <c r="AE1" s="324"/>
      <c r="AF1" s="324"/>
      <c r="AG1" s="324"/>
      <c r="AH1" s="323"/>
      <c r="AI1" s="387"/>
      <c r="AJ1" s="324"/>
      <c r="AK1" s="324"/>
      <c r="AL1" s="384"/>
      <c r="AM1" s="23"/>
      <c r="AN1" s="119"/>
    </row>
    <row r="2" spans="1:41" x14ac:dyDescent="0.2">
      <c r="A2" s="140"/>
      <c r="B2" s="101"/>
      <c r="C2" s="101"/>
      <c r="D2" s="535"/>
      <c r="E2" s="186"/>
      <c r="F2" s="186" t="s">
        <v>344</v>
      </c>
      <c r="G2" s="186"/>
      <c r="H2" s="615" t="s">
        <v>3</v>
      </c>
      <c r="I2" s="616"/>
      <c r="J2" s="452"/>
      <c r="K2" s="48" t="s">
        <v>102</v>
      </c>
      <c r="L2" s="186"/>
      <c r="M2" s="186"/>
      <c r="N2" s="186" t="s">
        <v>394</v>
      </c>
      <c r="O2" s="186"/>
      <c r="P2" s="186"/>
      <c r="Q2" s="186"/>
      <c r="R2" s="186" t="s">
        <v>395</v>
      </c>
      <c r="S2" s="186"/>
      <c r="T2" s="186"/>
      <c r="U2" s="186"/>
      <c r="V2" s="186" t="s">
        <v>396</v>
      </c>
      <c r="W2" s="186"/>
      <c r="X2" s="186"/>
      <c r="Y2" s="186"/>
      <c r="Z2" s="186" t="s">
        <v>397</v>
      </c>
      <c r="AA2" s="186"/>
      <c r="AB2" s="186"/>
      <c r="AC2" s="427"/>
      <c r="AD2" s="186"/>
      <c r="AE2" s="186" t="s">
        <v>393</v>
      </c>
      <c r="AF2" s="186"/>
      <c r="AG2" s="186"/>
      <c r="AH2" s="186"/>
      <c r="AI2" s="388" t="s">
        <v>124</v>
      </c>
      <c r="AJ2" s="186"/>
      <c r="AK2" s="401"/>
      <c r="AL2" s="465"/>
      <c r="AM2" s="474"/>
      <c r="AN2" s="325"/>
      <c r="AO2" s="325"/>
    </row>
    <row r="3" spans="1:41" x14ac:dyDescent="0.2">
      <c r="A3" s="92"/>
      <c r="B3" s="32"/>
      <c r="C3" s="32"/>
      <c r="D3" s="457"/>
      <c r="E3" s="49">
        <v>2017</v>
      </c>
      <c r="F3" s="50">
        <v>2017</v>
      </c>
      <c r="G3" s="91">
        <v>2017</v>
      </c>
      <c r="H3" s="194">
        <v>2017</v>
      </c>
      <c r="I3" s="195">
        <v>2017</v>
      </c>
      <c r="J3" s="49">
        <v>2017</v>
      </c>
      <c r="K3" s="50">
        <v>2017</v>
      </c>
      <c r="L3" s="91">
        <v>2017</v>
      </c>
      <c r="M3" s="49">
        <v>2017</v>
      </c>
      <c r="N3" s="50">
        <v>2017</v>
      </c>
      <c r="O3" s="91">
        <v>2017</v>
      </c>
      <c r="P3" s="91"/>
      <c r="Q3" s="49">
        <v>2017</v>
      </c>
      <c r="R3" s="50">
        <v>2017</v>
      </c>
      <c r="S3" s="91">
        <v>2017</v>
      </c>
      <c r="T3" s="91"/>
      <c r="U3" s="49">
        <v>2017</v>
      </c>
      <c r="V3" s="50">
        <v>2017</v>
      </c>
      <c r="W3" s="91">
        <v>2017</v>
      </c>
      <c r="X3" s="91"/>
      <c r="Y3" s="49">
        <v>2017</v>
      </c>
      <c r="Z3" s="50">
        <v>2017</v>
      </c>
      <c r="AA3" s="91">
        <v>2017</v>
      </c>
      <c r="AB3" s="91"/>
      <c r="AC3" s="428" t="s">
        <v>301</v>
      </c>
      <c r="AD3" s="49">
        <v>2018</v>
      </c>
      <c r="AE3" s="50">
        <v>2018</v>
      </c>
      <c r="AF3" s="91">
        <v>2018</v>
      </c>
      <c r="AG3" s="91"/>
      <c r="AH3" s="50" t="s">
        <v>430</v>
      </c>
      <c r="AI3" s="389" t="s">
        <v>135</v>
      </c>
      <c r="AJ3" s="91"/>
      <c r="AK3" s="195" t="s">
        <v>398</v>
      </c>
      <c r="AL3" s="466">
        <v>2017</v>
      </c>
      <c r="AM3" s="417" t="s">
        <v>161</v>
      </c>
      <c r="AN3" s="475" t="s">
        <v>172</v>
      </c>
      <c r="AO3" s="475"/>
    </row>
    <row r="4" spans="1:41" ht="13.5" thickBot="1" x14ac:dyDescent="0.25">
      <c r="A4" s="51" t="s">
        <v>63</v>
      </c>
      <c r="B4" s="27" t="s">
        <v>22</v>
      </c>
      <c r="C4" s="27" t="s">
        <v>23</v>
      </c>
      <c r="D4" s="458" t="s">
        <v>64</v>
      </c>
      <c r="E4" s="51" t="s">
        <v>65</v>
      </c>
      <c r="F4" s="27" t="s">
        <v>66</v>
      </c>
      <c r="G4" s="52" t="s">
        <v>67</v>
      </c>
      <c r="H4" s="196" t="s">
        <v>65</v>
      </c>
      <c r="I4" s="494" t="s">
        <v>66</v>
      </c>
      <c r="J4" s="426" t="s">
        <v>65</v>
      </c>
      <c r="K4" s="27" t="s">
        <v>66</v>
      </c>
      <c r="L4" s="52" t="s">
        <v>67</v>
      </c>
      <c r="M4" s="51" t="s">
        <v>65</v>
      </c>
      <c r="N4" s="27" t="s">
        <v>66</v>
      </c>
      <c r="O4" s="52" t="s">
        <v>67</v>
      </c>
      <c r="P4" s="52" t="s">
        <v>4</v>
      </c>
      <c r="Q4" s="51" t="s">
        <v>65</v>
      </c>
      <c r="R4" s="27" t="s">
        <v>66</v>
      </c>
      <c r="S4" s="52" t="s">
        <v>67</v>
      </c>
      <c r="T4" s="52" t="s">
        <v>4</v>
      </c>
      <c r="U4" s="51" t="s">
        <v>65</v>
      </c>
      <c r="V4" s="27" t="s">
        <v>66</v>
      </c>
      <c r="W4" s="52" t="s">
        <v>67</v>
      </c>
      <c r="X4" s="52" t="s">
        <v>4</v>
      </c>
      <c r="Y4" s="51" t="s">
        <v>65</v>
      </c>
      <c r="Z4" s="27" t="s">
        <v>66</v>
      </c>
      <c r="AA4" s="52" t="s">
        <v>67</v>
      </c>
      <c r="AB4" s="52" t="s">
        <v>4</v>
      </c>
      <c r="AC4" s="429" t="s">
        <v>197</v>
      </c>
      <c r="AD4" s="51" t="s">
        <v>65</v>
      </c>
      <c r="AE4" s="27" t="s">
        <v>66</v>
      </c>
      <c r="AF4" s="52" t="s">
        <v>67</v>
      </c>
      <c r="AG4" s="52" t="s">
        <v>4</v>
      </c>
      <c r="AH4" s="27">
        <v>2018</v>
      </c>
      <c r="AI4" s="390" t="s">
        <v>429</v>
      </c>
      <c r="AJ4" s="52" t="s">
        <v>283</v>
      </c>
      <c r="AK4" s="494">
        <v>2017</v>
      </c>
      <c r="AL4" s="467" t="s">
        <v>290</v>
      </c>
      <c r="AM4" s="418" t="s">
        <v>160</v>
      </c>
      <c r="AN4" s="476" t="s">
        <v>165</v>
      </c>
      <c r="AO4" s="476" t="s">
        <v>347</v>
      </c>
    </row>
    <row r="5" spans="1:41" x14ac:dyDescent="0.2">
      <c r="A5" s="141">
        <v>10</v>
      </c>
      <c r="B5" s="69"/>
      <c r="C5" s="69"/>
      <c r="D5" s="451" t="s">
        <v>68</v>
      </c>
      <c r="E5" s="53">
        <f>SUM(E6:E9)</f>
        <v>1272</v>
      </c>
      <c r="F5" s="54">
        <f>SUM(F6:F9)</f>
        <v>0</v>
      </c>
      <c r="G5" s="188">
        <f>SUM(G6:G9)</f>
        <v>1272</v>
      </c>
      <c r="H5" s="197">
        <f t="shared" ref="H5:O5" si="0">SUM(H6:H9)</f>
        <v>670.24400000000003</v>
      </c>
      <c r="I5" s="198">
        <f t="shared" si="0"/>
        <v>0</v>
      </c>
      <c r="J5" s="53">
        <f t="shared" si="0"/>
        <v>1942.2440000000001</v>
      </c>
      <c r="K5" s="54">
        <f t="shared" si="0"/>
        <v>0</v>
      </c>
      <c r="L5" s="188">
        <f t="shared" si="0"/>
        <v>1942.2440000000001</v>
      </c>
      <c r="M5" s="53">
        <f t="shared" si="0"/>
        <v>235.46594000000002</v>
      </c>
      <c r="N5" s="54">
        <f t="shared" si="0"/>
        <v>0</v>
      </c>
      <c r="O5" s="188">
        <f t="shared" si="0"/>
        <v>235.46594000000002</v>
      </c>
      <c r="P5" s="188">
        <f>O5/$L5*100</f>
        <v>12.12339644246552</v>
      </c>
      <c r="Q5" s="53">
        <f t="shared" ref="Q5:S5" si="1">SUM(Q6:Q9)</f>
        <v>581.58927999999992</v>
      </c>
      <c r="R5" s="54">
        <f t="shared" si="1"/>
        <v>0</v>
      </c>
      <c r="S5" s="188">
        <f t="shared" si="1"/>
        <v>581.58927999999992</v>
      </c>
      <c r="T5" s="188">
        <f>S5/$L5*100</f>
        <v>29.944192387774137</v>
      </c>
      <c r="U5" s="53">
        <f t="shared" ref="U5:W5" si="2">SUM(U6:U9)</f>
        <v>1057.86824</v>
      </c>
      <c r="V5" s="54">
        <f t="shared" si="2"/>
        <v>0</v>
      </c>
      <c r="W5" s="188">
        <f t="shared" si="2"/>
        <v>1057.86824</v>
      </c>
      <c r="X5" s="188">
        <f>W5/$L5*100</f>
        <v>54.466289508424268</v>
      </c>
      <c r="Y5" s="53">
        <f t="shared" ref="Y5:AA5" si="3">SUM(Y6:Y9)</f>
        <v>1384.1484700000001</v>
      </c>
      <c r="Z5" s="54">
        <f t="shared" si="3"/>
        <v>0</v>
      </c>
      <c r="AA5" s="188">
        <f t="shared" si="3"/>
        <v>1384.1484700000001</v>
      </c>
      <c r="AB5" s="188">
        <f>AA5/$L5*100</f>
        <v>71.26542648606457</v>
      </c>
      <c r="AC5" s="430">
        <f>SUM(AC6:AC9)</f>
        <v>558.09553000000005</v>
      </c>
      <c r="AD5" s="53">
        <f t="shared" ref="AD5:AF5" si="4">SUM(AD6:AD9)</f>
        <v>1313</v>
      </c>
      <c r="AE5" s="54">
        <f t="shared" si="4"/>
        <v>540</v>
      </c>
      <c r="AF5" s="188">
        <f t="shared" si="4"/>
        <v>1853</v>
      </c>
      <c r="AG5" s="188">
        <f>AF5/$G5*100</f>
        <v>145.67610062893081</v>
      </c>
      <c r="AH5" s="54">
        <f t="shared" ref="AH5" si="5">SUM(AH6:AH9)</f>
        <v>1748</v>
      </c>
      <c r="AI5" s="391">
        <f>AH5/G5</f>
        <v>1.3742138364779874</v>
      </c>
      <c r="AJ5" s="188"/>
      <c r="AK5" s="198">
        <f t="shared" ref="AK5" si="6">SUM(AK6:AK9)</f>
        <v>0</v>
      </c>
      <c r="AL5" s="468">
        <f>SUM(AL6:AL9)</f>
        <v>1692.2440000000001</v>
      </c>
      <c r="AM5" s="55"/>
      <c r="AN5" s="76"/>
    </row>
    <row r="6" spans="1:41" x14ac:dyDescent="0.2">
      <c r="A6" s="142"/>
      <c r="B6" s="29">
        <v>1031</v>
      </c>
      <c r="C6" s="29">
        <v>201</v>
      </c>
      <c r="D6" s="220" t="s">
        <v>204</v>
      </c>
      <c r="E6" s="46">
        <f>618+404</f>
        <v>1022</v>
      </c>
      <c r="F6" s="29"/>
      <c r="G6" s="57">
        <f>E6+F6</f>
        <v>1022</v>
      </c>
      <c r="H6" s="199">
        <f>49.9+43.323+90.112</f>
        <v>183.33499999999998</v>
      </c>
      <c r="I6" s="200"/>
      <c r="J6" s="46">
        <f t="shared" ref="J6:K9" si="7">E6+H6</f>
        <v>1205.335</v>
      </c>
      <c r="K6" s="29">
        <f t="shared" si="7"/>
        <v>0</v>
      </c>
      <c r="L6" s="57">
        <f>SUM(J6:K6)</f>
        <v>1205.335</v>
      </c>
      <c r="M6" s="46">
        <f>64.26694+28.769</f>
        <v>93.035940000000011</v>
      </c>
      <c r="N6" s="29"/>
      <c r="O6" s="57">
        <f>M6+N6</f>
        <v>93.035940000000011</v>
      </c>
      <c r="P6" s="57">
        <f>O6/$L6*100</f>
        <v>7.7186790394371689</v>
      </c>
      <c r="Q6" s="46">
        <f>411.78328+27.376</f>
        <v>439.15927999999997</v>
      </c>
      <c r="R6" s="29"/>
      <c r="S6" s="57">
        <f>Q6+R6</f>
        <v>439.15927999999997</v>
      </c>
      <c r="T6" s="57">
        <f>S6/$L6*100</f>
        <v>36.434624399025992</v>
      </c>
      <c r="U6" s="46">
        <f>607.55324+27.932</f>
        <v>635.48523999999998</v>
      </c>
      <c r="V6" s="29"/>
      <c r="W6" s="57">
        <f>U6+V6</f>
        <v>635.48523999999998</v>
      </c>
      <c r="X6" s="57">
        <f>W6/$L6*100</f>
        <v>52.722706965283507</v>
      </c>
      <c r="Y6" s="46">
        <v>897.23946999999998</v>
      </c>
      <c r="Z6" s="29"/>
      <c r="AA6" s="57">
        <f>Y6+Z6</f>
        <v>897.23946999999998</v>
      </c>
      <c r="AB6" s="57">
        <f>AA6/$L6*100</f>
        <v>74.439012390746143</v>
      </c>
      <c r="AC6" s="431">
        <f>L6-AA6</f>
        <v>308.09553000000005</v>
      </c>
      <c r="AD6" s="46">
        <f>569+494</f>
        <v>1063</v>
      </c>
      <c r="AE6" s="29">
        <v>400</v>
      </c>
      <c r="AF6" s="57">
        <f>AD6+AE6</f>
        <v>1463</v>
      </c>
      <c r="AG6" s="57">
        <f>AF6/$G6*100</f>
        <v>143.15068493150685</v>
      </c>
      <c r="AH6" s="490">
        <f>569+494</f>
        <v>1063</v>
      </c>
      <c r="AI6" s="392">
        <f>AH6/G6</f>
        <v>1.0401174168297456</v>
      </c>
      <c r="AJ6" s="57" t="s">
        <v>492</v>
      </c>
      <c r="AK6" s="200"/>
      <c r="AL6" s="469">
        <f>L6-AK6</f>
        <v>1205.335</v>
      </c>
      <c r="AM6" s="341" t="s">
        <v>69</v>
      </c>
      <c r="AN6" s="328" t="s">
        <v>121</v>
      </c>
    </row>
    <row r="7" spans="1:41" x14ac:dyDescent="0.2">
      <c r="A7" s="142"/>
      <c r="B7" s="29">
        <v>1031</v>
      </c>
      <c r="C7" s="29"/>
      <c r="D7" s="220" t="s">
        <v>431</v>
      </c>
      <c r="E7" s="46"/>
      <c r="F7" s="29"/>
      <c r="G7" s="57"/>
      <c r="H7" s="199"/>
      <c r="I7" s="200"/>
      <c r="J7" s="46"/>
      <c r="K7" s="29"/>
      <c r="L7" s="57"/>
      <c r="M7" s="46"/>
      <c r="N7" s="29"/>
      <c r="O7" s="57"/>
      <c r="P7" s="57"/>
      <c r="Q7" s="46"/>
      <c r="R7" s="29"/>
      <c r="S7" s="57"/>
      <c r="T7" s="57"/>
      <c r="U7" s="46"/>
      <c r="V7" s="29"/>
      <c r="W7" s="57"/>
      <c r="X7" s="57"/>
      <c r="Y7" s="46"/>
      <c r="Z7" s="29"/>
      <c r="AA7" s="57"/>
      <c r="AB7" s="57"/>
      <c r="AC7" s="431">
        <f t="shared" ref="AC7:AC9" si="8">L7-AA7</f>
        <v>0</v>
      </c>
      <c r="AD7" s="46"/>
      <c r="AE7" s="29">
        <v>140</v>
      </c>
      <c r="AF7" s="57">
        <f>AD7+AE7</f>
        <v>140</v>
      </c>
      <c r="AG7" s="57"/>
      <c r="AH7" s="29">
        <v>685</v>
      </c>
      <c r="AI7" s="392"/>
      <c r="AJ7" s="57" t="s">
        <v>381</v>
      </c>
      <c r="AK7" s="200"/>
      <c r="AL7" s="469"/>
      <c r="AM7" s="341" t="s">
        <v>385</v>
      </c>
      <c r="AN7" s="328" t="s">
        <v>121</v>
      </c>
    </row>
    <row r="8" spans="1:41" x14ac:dyDescent="0.2">
      <c r="A8" s="142"/>
      <c r="B8" s="29">
        <v>1037</v>
      </c>
      <c r="C8" s="29">
        <v>202</v>
      </c>
      <c r="D8" s="220" t="s">
        <v>384</v>
      </c>
      <c r="E8" s="46">
        <v>250</v>
      </c>
      <c r="F8" s="29"/>
      <c r="G8" s="57">
        <f>E8+F8</f>
        <v>250</v>
      </c>
      <c r="H8" s="199"/>
      <c r="I8" s="200"/>
      <c r="J8" s="46">
        <f t="shared" si="7"/>
        <v>250</v>
      </c>
      <c r="K8" s="29">
        <f t="shared" si="7"/>
        <v>0</v>
      </c>
      <c r="L8" s="57">
        <f>SUM(J8:K8)</f>
        <v>250</v>
      </c>
      <c r="M8" s="46"/>
      <c r="N8" s="29"/>
      <c r="O8" s="57">
        <f t="shared" ref="O8:O9" si="9">M8+N8</f>
        <v>0</v>
      </c>
      <c r="P8" s="57">
        <f t="shared" ref="P8" si="10">O8/$L8*100</f>
        <v>0</v>
      </c>
      <c r="Q8" s="46">
        <v>0</v>
      </c>
      <c r="R8" s="29"/>
      <c r="S8" s="57">
        <f t="shared" ref="S8:S9" si="11">Q8+R8</f>
        <v>0</v>
      </c>
      <c r="T8" s="57">
        <f t="shared" ref="T8" si="12">S8/$L8*100</f>
        <v>0</v>
      </c>
      <c r="U8" s="46"/>
      <c r="V8" s="29"/>
      <c r="W8" s="57">
        <f t="shared" ref="W8:W9" si="13">U8+V8</f>
        <v>0</v>
      </c>
      <c r="X8" s="57">
        <f t="shared" ref="X8" si="14">W8/$L8*100</f>
        <v>0</v>
      </c>
      <c r="Y8" s="46"/>
      <c r="Z8" s="29"/>
      <c r="AA8" s="57">
        <f t="shared" ref="AA8:AA9" si="15">Y8+Z8</f>
        <v>0</v>
      </c>
      <c r="AB8" s="57">
        <f t="shared" ref="AB8" si="16">AA8/$L8*100</f>
        <v>0</v>
      </c>
      <c r="AC8" s="431">
        <f t="shared" si="8"/>
        <v>250</v>
      </c>
      <c r="AD8" s="46">
        <v>250</v>
      </c>
      <c r="AE8" s="29"/>
      <c r="AF8" s="57">
        <f t="shared" ref="AF8" si="17">AD8+AE8</f>
        <v>250</v>
      </c>
      <c r="AG8" s="57"/>
      <c r="AH8" s="29"/>
      <c r="AI8" s="392"/>
      <c r="AJ8" s="57" t="s">
        <v>479</v>
      </c>
      <c r="AK8" s="200"/>
      <c r="AL8" s="469"/>
      <c r="AM8" s="341" t="s">
        <v>385</v>
      </c>
      <c r="AN8" s="328" t="s">
        <v>121</v>
      </c>
    </row>
    <row r="9" spans="1:41" ht="13.5" customHeight="1" x14ac:dyDescent="0.2">
      <c r="A9" s="142"/>
      <c r="B9" s="29">
        <v>1036</v>
      </c>
      <c r="C9" s="29">
        <v>109</v>
      </c>
      <c r="D9" s="220" t="s">
        <v>162</v>
      </c>
      <c r="E9" s="46"/>
      <c r="F9" s="16"/>
      <c r="G9" s="57">
        <f>E9+F9</f>
        <v>0</v>
      </c>
      <c r="H9" s="205">
        <f>142.43+139.203+140.75+5.25+59.276</f>
        <v>486.90900000000005</v>
      </c>
      <c r="I9" s="200"/>
      <c r="J9" s="46">
        <f t="shared" si="7"/>
        <v>486.90900000000005</v>
      </c>
      <c r="K9" s="16">
        <f t="shared" si="7"/>
        <v>0</v>
      </c>
      <c r="L9" s="57">
        <f>SUM(J9:K9)</f>
        <v>486.90900000000005</v>
      </c>
      <c r="M9" s="46">
        <v>142.43</v>
      </c>
      <c r="N9" s="16"/>
      <c r="O9" s="57">
        <f t="shared" si="9"/>
        <v>142.43</v>
      </c>
      <c r="P9" s="57"/>
      <c r="Q9" s="46">
        <v>142.43</v>
      </c>
      <c r="R9" s="16"/>
      <c r="S9" s="57">
        <f t="shared" si="11"/>
        <v>142.43</v>
      </c>
      <c r="T9" s="57"/>
      <c r="U9" s="46">
        <v>422.38299999999998</v>
      </c>
      <c r="V9" s="16"/>
      <c r="W9" s="57">
        <f t="shared" si="13"/>
        <v>422.38299999999998</v>
      </c>
      <c r="X9" s="57"/>
      <c r="Y9" s="46">
        <v>486.90899999999999</v>
      </c>
      <c r="Z9" s="16"/>
      <c r="AA9" s="57">
        <f t="shared" si="15"/>
        <v>486.90899999999999</v>
      </c>
      <c r="AB9" s="57"/>
      <c r="AC9" s="431">
        <f t="shared" si="8"/>
        <v>0</v>
      </c>
      <c r="AD9" s="46"/>
      <c r="AE9" s="16"/>
      <c r="AF9" s="57">
        <f t="shared" ref="AF9" si="18">AD9+AE9</f>
        <v>0</v>
      </c>
      <c r="AG9" s="57"/>
      <c r="AH9" s="16"/>
      <c r="AI9" s="392"/>
      <c r="AJ9" s="57" t="s">
        <v>148</v>
      </c>
      <c r="AK9" s="200"/>
      <c r="AL9" s="469">
        <f>L9-AK9</f>
        <v>486.90900000000005</v>
      </c>
      <c r="AM9" s="349" t="s">
        <v>214</v>
      </c>
      <c r="AN9" s="327" t="s">
        <v>265</v>
      </c>
    </row>
    <row r="10" spans="1:41" x14ac:dyDescent="0.2">
      <c r="A10" s="143">
        <v>21</v>
      </c>
      <c r="B10" s="24"/>
      <c r="C10" s="24"/>
      <c r="D10" s="459" t="s">
        <v>277</v>
      </c>
      <c r="E10" s="58">
        <f>SUM(E11:E15)</f>
        <v>871</v>
      </c>
      <c r="F10" s="59">
        <f>SUM(F11:F15)</f>
        <v>770</v>
      </c>
      <c r="G10" s="60">
        <f>SUM(G11:G15)</f>
        <v>1641</v>
      </c>
      <c r="H10" s="203">
        <f t="shared" ref="H10:O10" si="19">SUM(H11:H15)</f>
        <v>20</v>
      </c>
      <c r="I10" s="204">
        <f t="shared" si="19"/>
        <v>0</v>
      </c>
      <c r="J10" s="58">
        <f t="shared" si="19"/>
        <v>891</v>
      </c>
      <c r="K10" s="59">
        <f t="shared" si="19"/>
        <v>770</v>
      </c>
      <c r="L10" s="60">
        <f t="shared" si="19"/>
        <v>1661</v>
      </c>
      <c r="M10" s="58">
        <f t="shared" si="19"/>
        <v>125.733</v>
      </c>
      <c r="N10" s="59">
        <f t="shared" si="19"/>
        <v>144.214</v>
      </c>
      <c r="O10" s="60">
        <f t="shared" si="19"/>
        <v>269.947</v>
      </c>
      <c r="P10" s="60">
        <f t="shared" ref="P10:P16" si="20">O10/$L10*100</f>
        <v>16.252077062010837</v>
      </c>
      <c r="Q10" s="58">
        <f t="shared" ref="Q10:S10" si="21">SUM(Q11:Q15)</f>
        <v>227.98304999999999</v>
      </c>
      <c r="R10" s="59">
        <f t="shared" si="21"/>
        <v>150.26400000000001</v>
      </c>
      <c r="S10" s="60">
        <f t="shared" si="21"/>
        <v>378.24705</v>
      </c>
      <c r="T10" s="60">
        <f t="shared" ref="T10:T61" si="22">S10/$L10*100</f>
        <v>22.772248645394342</v>
      </c>
      <c r="U10" s="58">
        <f t="shared" ref="U10:W10" si="23">SUM(U11:U15)</f>
        <v>300.27004999999997</v>
      </c>
      <c r="V10" s="59">
        <f t="shared" si="23"/>
        <v>150.26400000000001</v>
      </c>
      <c r="W10" s="60">
        <f t="shared" si="23"/>
        <v>450.53404999999998</v>
      </c>
      <c r="X10" s="60">
        <f t="shared" ref="X10:X61" si="24">W10/$L10*100</f>
        <v>27.124265502709211</v>
      </c>
      <c r="Y10" s="58">
        <f t="shared" ref="Y10:AA10" si="25">SUM(Y11:Y15)</f>
        <v>782.41532000000007</v>
      </c>
      <c r="Z10" s="59">
        <f t="shared" si="25"/>
        <v>208.34399999999999</v>
      </c>
      <c r="AA10" s="60">
        <f t="shared" si="25"/>
        <v>990.75931999999989</v>
      </c>
      <c r="AB10" s="60">
        <f t="shared" ref="AB10:AB61" si="26">AA10/$L10*100</f>
        <v>59.648363636363634</v>
      </c>
      <c r="AC10" s="432">
        <f>SUM(AC11:AC15)</f>
        <v>670.24067999999988</v>
      </c>
      <c r="AD10" s="58">
        <f t="shared" ref="AD10:AF10" si="27">SUM(AD11:AD15)</f>
        <v>1229</v>
      </c>
      <c r="AE10" s="59">
        <f t="shared" si="27"/>
        <v>860</v>
      </c>
      <c r="AF10" s="60">
        <f t="shared" si="27"/>
        <v>2089</v>
      </c>
      <c r="AG10" s="60">
        <f t="shared" ref="AG10:AG17" si="28">AF10/$G10*100</f>
        <v>127.30042656916514</v>
      </c>
      <c r="AH10" s="59">
        <f t="shared" ref="AH10" si="29">SUM(AH11:AH15)</f>
        <v>2009</v>
      </c>
      <c r="AI10" s="393">
        <f t="shared" ref="AI10:AI16" si="30">AH10/G10</f>
        <v>1.2242535039609994</v>
      </c>
      <c r="AJ10" s="60"/>
      <c r="AK10" s="204">
        <f t="shared" ref="AK10" si="31">SUM(AK11:AK15)</f>
        <v>0</v>
      </c>
      <c r="AL10" s="470">
        <f>SUM(AL11:AL15)</f>
        <v>1661</v>
      </c>
      <c r="AM10" s="55"/>
      <c r="AN10" s="76"/>
    </row>
    <row r="11" spans="1:41" x14ac:dyDescent="0.2">
      <c r="A11" s="62"/>
      <c r="B11" s="29">
        <v>2121</v>
      </c>
      <c r="C11" s="29">
        <v>20</v>
      </c>
      <c r="D11" s="220" t="s">
        <v>93</v>
      </c>
      <c r="E11" s="46"/>
      <c r="F11" s="16">
        <v>410</v>
      </c>
      <c r="G11" s="57">
        <f>E11+F11</f>
        <v>410</v>
      </c>
      <c r="H11" s="199"/>
      <c r="I11" s="200"/>
      <c r="J11" s="46">
        <f>E11+H11</f>
        <v>0</v>
      </c>
      <c r="K11" s="29">
        <f>F11+I11</f>
        <v>410</v>
      </c>
      <c r="L11" s="57">
        <f>SUM(J11:K11)</f>
        <v>410</v>
      </c>
      <c r="M11" s="46"/>
      <c r="N11" s="16">
        <v>22.25</v>
      </c>
      <c r="O11" s="57">
        <f>M11+N11</f>
        <v>22.25</v>
      </c>
      <c r="P11" s="57">
        <f t="shared" si="20"/>
        <v>5.4268292682926829</v>
      </c>
      <c r="Q11" s="46"/>
      <c r="R11" s="16">
        <v>22.25</v>
      </c>
      <c r="S11" s="57">
        <f>Q11+R11</f>
        <v>22.25</v>
      </c>
      <c r="T11" s="57">
        <f t="shared" si="22"/>
        <v>5.4268292682926829</v>
      </c>
      <c r="U11" s="46"/>
      <c r="V11" s="16">
        <v>22.25</v>
      </c>
      <c r="W11" s="57">
        <f>U11+V11</f>
        <v>22.25</v>
      </c>
      <c r="X11" s="57">
        <f t="shared" si="24"/>
        <v>5.4268292682926829</v>
      </c>
      <c r="Y11" s="46"/>
      <c r="Z11" s="16">
        <v>22.25</v>
      </c>
      <c r="AA11" s="57">
        <f>Y11+Z11</f>
        <v>22.25</v>
      </c>
      <c r="AB11" s="57">
        <f t="shared" si="26"/>
        <v>5.4268292682926829</v>
      </c>
      <c r="AC11" s="431">
        <f t="shared" ref="AC11:AC15" si="32">L11-AA11</f>
        <v>387.75</v>
      </c>
      <c r="AD11" s="46"/>
      <c r="AE11" s="16">
        <v>410</v>
      </c>
      <c r="AF11" s="57">
        <f>AD11+AE11</f>
        <v>410</v>
      </c>
      <c r="AG11" s="57">
        <f t="shared" si="28"/>
        <v>100</v>
      </c>
      <c r="AH11" s="16">
        <v>410</v>
      </c>
      <c r="AI11" s="392">
        <f t="shared" si="30"/>
        <v>1</v>
      </c>
      <c r="AJ11" s="57" t="s">
        <v>470</v>
      </c>
      <c r="AK11" s="200"/>
      <c r="AL11" s="469">
        <f>L11-AK11</f>
        <v>410</v>
      </c>
      <c r="AM11" s="341" t="s">
        <v>69</v>
      </c>
      <c r="AN11" s="328" t="s">
        <v>121</v>
      </c>
    </row>
    <row r="12" spans="1:41" x14ac:dyDescent="0.2">
      <c r="A12" s="62"/>
      <c r="B12" s="29">
        <v>2121</v>
      </c>
      <c r="C12" s="29">
        <v>237</v>
      </c>
      <c r="D12" s="220" t="s">
        <v>181</v>
      </c>
      <c r="E12" s="46">
        <v>371</v>
      </c>
      <c r="F12" s="16"/>
      <c r="G12" s="57">
        <f>E12+F12</f>
        <v>371</v>
      </c>
      <c r="H12" s="199"/>
      <c r="I12" s="200"/>
      <c r="J12" s="46">
        <f>E12+H12</f>
        <v>371</v>
      </c>
      <c r="K12" s="29"/>
      <c r="L12" s="57">
        <f>SUM(J12:K12)</f>
        <v>371</v>
      </c>
      <c r="M12" s="46">
        <v>26.347000000000001</v>
      </c>
      <c r="N12" s="16"/>
      <c r="O12" s="57">
        <f>M12+N12</f>
        <v>26.347000000000001</v>
      </c>
      <c r="P12" s="57">
        <f t="shared" si="20"/>
        <v>7.1016172506738542</v>
      </c>
      <c r="Q12" s="46">
        <v>51.537050000000001</v>
      </c>
      <c r="R12" s="16"/>
      <c r="S12" s="57">
        <f>Q12+R12</f>
        <v>51.537050000000001</v>
      </c>
      <c r="T12" s="57">
        <f t="shared" si="22"/>
        <v>13.891388140161725</v>
      </c>
      <c r="U12" s="46">
        <v>66.469049999999996</v>
      </c>
      <c r="V12" s="16"/>
      <c r="W12" s="57">
        <f>U12+V12</f>
        <v>66.469049999999996</v>
      </c>
      <c r="X12" s="57">
        <f t="shared" si="24"/>
        <v>17.916185983827493</v>
      </c>
      <c r="Y12" s="46">
        <v>233.86632</v>
      </c>
      <c r="Z12" s="16"/>
      <c r="AA12" s="57">
        <f>Y12+Z12</f>
        <v>233.86632</v>
      </c>
      <c r="AB12" s="57">
        <f t="shared" si="26"/>
        <v>63.036743935309971</v>
      </c>
      <c r="AC12" s="431">
        <f t="shared" si="32"/>
        <v>137.13368</v>
      </c>
      <c r="AD12" s="46">
        <f>529-150</f>
        <v>379</v>
      </c>
      <c r="AE12" s="16">
        <v>150</v>
      </c>
      <c r="AF12" s="57">
        <f>AD12+AE12</f>
        <v>529</v>
      </c>
      <c r="AG12" s="57">
        <f t="shared" si="28"/>
        <v>142.58760107816713</v>
      </c>
      <c r="AH12" s="16">
        <v>529</v>
      </c>
      <c r="AI12" s="392">
        <f t="shared" si="30"/>
        <v>1.4258760107816713</v>
      </c>
      <c r="AJ12" s="57"/>
      <c r="AK12" s="200"/>
      <c r="AL12" s="469">
        <f>L12-AK12</f>
        <v>371</v>
      </c>
      <c r="AM12" s="341" t="s">
        <v>69</v>
      </c>
      <c r="AN12" s="328" t="s">
        <v>121</v>
      </c>
    </row>
    <row r="13" spans="1:41" x14ac:dyDescent="0.2">
      <c r="A13" s="62"/>
      <c r="B13" s="29">
        <v>2141</v>
      </c>
      <c r="C13" s="29">
        <v>101</v>
      </c>
      <c r="D13" s="220" t="s">
        <v>300</v>
      </c>
      <c r="E13" s="46">
        <v>50</v>
      </c>
      <c r="F13" s="16"/>
      <c r="G13" s="57">
        <f>E13+F13</f>
        <v>50</v>
      </c>
      <c r="H13" s="199"/>
      <c r="I13" s="200"/>
      <c r="J13" s="46">
        <f>E13+H13</f>
        <v>50</v>
      </c>
      <c r="K13" s="29">
        <f>F13+I13</f>
        <v>0</v>
      </c>
      <c r="L13" s="57">
        <f>SUM(J13:K13)</f>
        <v>50</v>
      </c>
      <c r="M13" s="46"/>
      <c r="N13" s="16"/>
      <c r="O13" s="57">
        <f>M13+N13</f>
        <v>0</v>
      </c>
      <c r="P13" s="57">
        <f t="shared" si="20"/>
        <v>0</v>
      </c>
      <c r="Q13" s="46">
        <v>1.331</v>
      </c>
      <c r="R13" s="16"/>
      <c r="S13" s="57">
        <f>Q13+R13</f>
        <v>1.331</v>
      </c>
      <c r="T13" s="57">
        <f t="shared" si="22"/>
        <v>2.6619999999999999</v>
      </c>
      <c r="U13" s="46">
        <v>1.331</v>
      </c>
      <c r="V13" s="16"/>
      <c r="W13" s="57">
        <f>U13+V13</f>
        <v>1.331</v>
      </c>
      <c r="X13" s="57">
        <f t="shared" si="24"/>
        <v>2.6619999999999999</v>
      </c>
      <c r="Y13" s="46">
        <v>41.920999999999999</v>
      </c>
      <c r="Z13" s="16"/>
      <c r="AA13" s="57">
        <f>Y13+Z13</f>
        <v>41.920999999999999</v>
      </c>
      <c r="AB13" s="57">
        <f t="shared" si="26"/>
        <v>83.841999999999999</v>
      </c>
      <c r="AC13" s="431">
        <f t="shared" si="32"/>
        <v>8.0790000000000006</v>
      </c>
      <c r="AD13" s="46">
        <f>50+80</f>
        <v>130</v>
      </c>
      <c r="AE13" s="16"/>
      <c r="AF13" s="57">
        <f>AD13+AE13</f>
        <v>130</v>
      </c>
      <c r="AG13" s="57">
        <f t="shared" si="28"/>
        <v>260</v>
      </c>
      <c r="AH13" s="16">
        <v>50</v>
      </c>
      <c r="AI13" s="392">
        <f t="shared" si="30"/>
        <v>1</v>
      </c>
      <c r="AJ13" s="57" t="s">
        <v>490</v>
      </c>
      <c r="AK13" s="200"/>
      <c r="AL13" s="469">
        <f>L13-AK13</f>
        <v>50</v>
      </c>
      <c r="AM13" s="341" t="s">
        <v>345</v>
      </c>
      <c r="AN13" s="328" t="s">
        <v>121</v>
      </c>
    </row>
    <row r="14" spans="1:41" x14ac:dyDescent="0.2">
      <c r="A14" s="62"/>
      <c r="B14" s="29">
        <v>2144</v>
      </c>
      <c r="C14" s="29">
        <v>650</v>
      </c>
      <c r="D14" s="220" t="s">
        <v>177</v>
      </c>
      <c r="E14" s="46">
        <v>210</v>
      </c>
      <c r="F14" s="16"/>
      <c r="G14" s="57">
        <f>E14+F14</f>
        <v>210</v>
      </c>
      <c r="H14" s="199">
        <v>20</v>
      </c>
      <c r="I14" s="200"/>
      <c r="J14" s="46">
        <f>E14+H14</f>
        <v>230</v>
      </c>
      <c r="K14" s="29"/>
      <c r="L14" s="57">
        <f>SUM(J14:K14)</f>
        <v>230</v>
      </c>
      <c r="M14" s="46">
        <v>38.646000000000001</v>
      </c>
      <c r="N14" s="16"/>
      <c r="O14" s="57">
        <f>M14+N14</f>
        <v>38.646000000000001</v>
      </c>
      <c r="P14" s="57">
        <f t="shared" si="20"/>
        <v>16.802608695652175</v>
      </c>
      <c r="Q14" s="46">
        <v>76.727000000000004</v>
      </c>
      <c r="R14" s="16"/>
      <c r="S14" s="57">
        <f>Q14+R14</f>
        <v>76.727000000000004</v>
      </c>
      <c r="T14" s="57">
        <f t="shared" si="22"/>
        <v>33.359565217391307</v>
      </c>
      <c r="U14" s="46">
        <v>104.58199999999999</v>
      </c>
      <c r="V14" s="16"/>
      <c r="W14" s="57">
        <f>U14+V14</f>
        <v>104.58199999999999</v>
      </c>
      <c r="X14" s="57">
        <f t="shared" si="24"/>
        <v>45.470434782608692</v>
      </c>
      <c r="Y14" s="46">
        <v>227.1705</v>
      </c>
      <c r="Z14" s="16"/>
      <c r="AA14" s="57">
        <f>Y14+Z14</f>
        <v>227.1705</v>
      </c>
      <c r="AB14" s="57">
        <f t="shared" si="26"/>
        <v>98.76978260869565</v>
      </c>
      <c r="AC14" s="431">
        <f t="shared" si="32"/>
        <v>2.8294999999999959</v>
      </c>
      <c r="AD14" s="46">
        <v>420</v>
      </c>
      <c r="AE14" s="16"/>
      <c r="AF14" s="57">
        <f>AD14+AE14</f>
        <v>420</v>
      </c>
      <c r="AG14" s="57">
        <f t="shared" si="28"/>
        <v>200</v>
      </c>
      <c r="AH14" s="16">
        <v>420</v>
      </c>
      <c r="AI14" s="392">
        <f t="shared" si="30"/>
        <v>2</v>
      </c>
      <c r="AJ14" s="57" t="s">
        <v>309</v>
      </c>
      <c r="AK14" s="200"/>
      <c r="AL14" s="469">
        <f>L14-AK14</f>
        <v>230</v>
      </c>
      <c r="AM14" s="338" t="s">
        <v>173</v>
      </c>
      <c r="AN14" s="329" t="s">
        <v>215</v>
      </c>
    </row>
    <row r="15" spans="1:41" x14ac:dyDescent="0.2">
      <c r="A15" s="62"/>
      <c r="B15" s="29">
        <v>2199</v>
      </c>
      <c r="C15" s="29">
        <v>912</v>
      </c>
      <c r="D15" s="220" t="s">
        <v>98</v>
      </c>
      <c r="E15" s="46">
        <v>240</v>
      </c>
      <c r="F15" s="16">
        <v>360</v>
      </c>
      <c r="G15" s="57">
        <f>E15+F15</f>
        <v>600</v>
      </c>
      <c r="H15" s="199"/>
      <c r="I15" s="200"/>
      <c r="J15" s="46">
        <f>E15+H15</f>
        <v>240</v>
      </c>
      <c r="K15" s="29">
        <f>F15+I15</f>
        <v>360</v>
      </c>
      <c r="L15" s="57">
        <f>SUM(J15:K15)</f>
        <v>600</v>
      </c>
      <c r="M15" s="46">
        <f>182.704-N15</f>
        <v>60.740000000000009</v>
      </c>
      <c r="N15" s="16">
        <v>121.964</v>
      </c>
      <c r="O15" s="57">
        <f>M15+N15</f>
        <v>182.70400000000001</v>
      </c>
      <c r="P15" s="57">
        <f t="shared" si="20"/>
        <v>30.45066666666667</v>
      </c>
      <c r="Q15" s="46">
        <f>226.402-R15</f>
        <v>98.387999999999977</v>
      </c>
      <c r="R15" s="16">
        <v>128.01400000000001</v>
      </c>
      <c r="S15" s="57">
        <f>Q15+R15</f>
        <v>226.40199999999999</v>
      </c>
      <c r="T15" s="57">
        <f t="shared" si="22"/>
        <v>37.733666666666664</v>
      </c>
      <c r="U15" s="46">
        <v>127.88800000000001</v>
      </c>
      <c r="V15" s="16">
        <v>128.01400000000001</v>
      </c>
      <c r="W15" s="57">
        <f>U15+V15</f>
        <v>255.90200000000002</v>
      </c>
      <c r="X15" s="57">
        <f t="shared" si="24"/>
        <v>42.650333333333336</v>
      </c>
      <c r="Y15" s="46">
        <v>279.45749999999998</v>
      </c>
      <c r="Z15" s="16">
        <v>186.09399999999999</v>
      </c>
      <c r="AA15" s="57">
        <f>Y15+Z15</f>
        <v>465.55149999999998</v>
      </c>
      <c r="AB15" s="57">
        <f t="shared" si="26"/>
        <v>77.591916666666663</v>
      </c>
      <c r="AC15" s="431">
        <f t="shared" si="32"/>
        <v>134.44850000000002</v>
      </c>
      <c r="AD15" s="46">
        <v>300</v>
      </c>
      <c r="AE15" s="16">
        <v>300</v>
      </c>
      <c r="AF15" s="57">
        <f>AD15+AE15</f>
        <v>600</v>
      </c>
      <c r="AG15" s="57">
        <f t="shared" si="28"/>
        <v>100</v>
      </c>
      <c r="AH15" s="16">
        <v>600</v>
      </c>
      <c r="AI15" s="392">
        <f t="shared" si="30"/>
        <v>1</v>
      </c>
      <c r="AJ15" s="57"/>
      <c r="AK15" s="200"/>
      <c r="AL15" s="469">
        <f>L15-AK15</f>
        <v>600</v>
      </c>
      <c r="AM15" s="339" t="s">
        <v>168</v>
      </c>
      <c r="AN15" s="330" t="s">
        <v>345</v>
      </c>
    </row>
    <row r="16" spans="1:41" x14ac:dyDescent="0.2">
      <c r="A16" s="143">
        <v>22</v>
      </c>
      <c r="B16" s="24"/>
      <c r="C16" s="24"/>
      <c r="D16" s="459" t="s">
        <v>70</v>
      </c>
      <c r="E16" s="58">
        <f t="shared" ref="E16:O16" si="33">SUM(E17:E29)</f>
        <v>5322</v>
      </c>
      <c r="F16" s="59">
        <f t="shared" si="33"/>
        <v>11805</v>
      </c>
      <c r="G16" s="60">
        <f t="shared" si="33"/>
        <v>17127</v>
      </c>
      <c r="H16" s="203">
        <f t="shared" si="33"/>
        <v>800</v>
      </c>
      <c r="I16" s="204">
        <f t="shared" si="33"/>
        <v>5929.1239999999998</v>
      </c>
      <c r="J16" s="58">
        <f t="shared" si="33"/>
        <v>6122</v>
      </c>
      <c r="K16" s="59">
        <f t="shared" si="33"/>
        <v>17734.124</v>
      </c>
      <c r="L16" s="60">
        <f t="shared" si="33"/>
        <v>23856.124</v>
      </c>
      <c r="M16" s="58">
        <f t="shared" si="33"/>
        <v>2625.4045000000001</v>
      </c>
      <c r="N16" s="59">
        <f t="shared" si="33"/>
        <v>29.8612</v>
      </c>
      <c r="O16" s="60">
        <f t="shared" si="33"/>
        <v>2655.2656999999999</v>
      </c>
      <c r="P16" s="60">
        <f t="shared" si="20"/>
        <v>11.13033156601634</v>
      </c>
      <c r="Q16" s="58">
        <f>SUM(Q17:Q29)</f>
        <v>3499.6459300000001</v>
      </c>
      <c r="R16" s="59">
        <f>SUM(R17:R29)</f>
        <v>615.67420000000004</v>
      </c>
      <c r="S16" s="60">
        <f>SUM(S17:S29)</f>
        <v>4115.3201299999992</v>
      </c>
      <c r="T16" s="60">
        <f t="shared" si="22"/>
        <v>17.250581569747034</v>
      </c>
      <c r="U16" s="58">
        <f>SUM(U17:U29)</f>
        <v>5222.5518700000002</v>
      </c>
      <c r="V16" s="59">
        <f>SUM(V17:V29)</f>
        <v>4754.0531999999994</v>
      </c>
      <c r="W16" s="60">
        <f>SUM(W17:W29)</f>
        <v>9976.6050699999996</v>
      </c>
      <c r="X16" s="60">
        <f t="shared" si="24"/>
        <v>41.819891068641326</v>
      </c>
      <c r="Y16" s="58">
        <f>SUM(Y17:Y29)</f>
        <v>5700.2055800000007</v>
      </c>
      <c r="Z16" s="59">
        <f>SUM(Z17:Z29)</f>
        <v>5250.6748199999993</v>
      </c>
      <c r="AA16" s="60">
        <f>SUM(AA17:AA29)</f>
        <v>10950.8804</v>
      </c>
      <c r="AB16" s="60">
        <f t="shared" si="26"/>
        <v>45.903854289154431</v>
      </c>
      <c r="AC16" s="432">
        <f>SUM(AC17:AC29)</f>
        <v>12905.243600000002</v>
      </c>
      <c r="AD16" s="58">
        <f>SUM(AD17:AD29)</f>
        <v>4241</v>
      </c>
      <c r="AE16" s="59">
        <f>SUM(AE17:AE29)</f>
        <v>19507</v>
      </c>
      <c r="AF16" s="60">
        <f>SUM(AF17:AF29)</f>
        <v>23748</v>
      </c>
      <c r="AG16" s="60">
        <f t="shared" si="28"/>
        <v>138.65825888947276</v>
      </c>
      <c r="AH16" s="59">
        <f>SUM(AH17:AH29)</f>
        <v>19628</v>
      </c>
      <c r="AI16" s="393">
        <f t="shared" si="30"/>
        <v>1.1460267414024639</v>
      </c>
      <c r="AJ16" s="60"/>
      <c r="AK16" s="204">
        <f>SUM(AK17:AK29)</f>
        <v>0</v>
      </c>
      <c r="AL16" s="470">
        <f>SUM(AL17:AL29)</f>
        <v>21806.124</v>
      </c>
      <c r="AM16" s="55"/>
      <c r="AN16" s="76"/>
    </row>
    <row r="17" spans="1:41" x14ac:dyDescent="0.2">
      <c r="A17" s="142"/>
      <c r="B17" s="29">
        <v>2212</v>
      </c>
      <c r="C17" s="29">
        <v>203</v>
      </c>
      <c r="D17" s="530" t="s">
        <v>255</v>
      </c>
      <c r="E17" s="46"/>
      <c r="F17" s="16">
        <f>29835-25000</f>
        <v>4835</v>
      </c>
      <c r="G17" s="57">
        <f t="shared" ref="G17:G24" si="34">E17+F17</f>
        <v>4835</v>
      </c>
      <c r="H17" s="199"/>
      <c r="I17" s="508">
        <f>51.182+7114-266.058</f>
        <v>6899.1239999999998</v>
      </c>
      <c r="J17" s="46">
        <f t="shared" ref="J17:K24" si="35">E17+H17</f>
        <v>0</v>
      </c>
      <c r="K17" s="29">
        <f t="shared" si="35"/>
        <v>11734.124</v>
      </c>
      <c r="L17" s="57">
        <f t="shared" ref="L17:L24" si="36">SUM(J17:K17)</f>
        <v>11734.124</v>
      </c>
      <c r="M17" s="46">
        <v>1.21</v>
      </c>
      <c r="N17" s="16"/>
      <c r="O17" s="57">
        <f t="shared" ref="O17:O24" si="37">M17+N17</f>
        <v>1.21</v>
      </c>
      <c r="P17" s="57">
        <f t="shared" ref="P17:P24" si="38">O17/$L17*100</f>
        <v>1.0311805124950103E-2</v>
      </c>
      <c r="Q17" s="46">
        <v>1.21</v>
      </c>
      <c r="R17" s="16"/>
      <c r="S17" s="57">
        <f t="shared" ref="S17:S24" si="39">Q17+R17</f>
        <v>1.21</v>
      </c>
      <c r="T17" s="57">
        <f t="shared" ref="T17:T24" si="40">S17/$L17*100</f>
        <v>1.0311805124950103E-2</v>
      </c>
      <c r="U17" s="46">
        <v>1.21</v>
      </c>
      <c r="V17" s="16"/>
      <c r="W17" s="57">
        <f t="shared" ref="W17:W24" si="41">U17+V17</f>
        <v>1.21</v>
      </c>
      <c r="X17" s="57">
        <f t="shared" ref="X17:X24" si="42">W17/$L17*100</f>
        <v>1.0311805124950103E-2</v>
      </c>
      <c r="Y17" s="46">
        <v>1.21</v>
      </c>
      <c r="Z17" s="16"/>
      <c r="AA17" s="57">
        <f t="shared" ref="AA17:AA24" si="43">Y17+Z17</f>
        <v>1.21</v>
      </c>
      <c r="AB17" s="57">
        <f t="shared" ref="AB17:AB24" si="44">AA17/$L17*100</f>
        <v>1.0311805124950103E-2</v>
      </c>
      <c r="AC17" s="431">
        <f t="shared" ref="AC17:AC29" si="45">L17-AA17</f>
        <v>11732.914000000001</v>
      </c>
      <c r="AD17" s="46">
        <v>170</v>
      </c>
      <c r="AE17" s="16">
        <f>27950-23100+1500</f>
        <v>6350</v>
      </c>
      <c r="AF17" s="57">
        <f t="shared" ref="AF17" si="46">AD17+AE17</f>
        <v>6520</v>
      </c>
      <c r="AG17" s="57">
        <f t="shared" si="28"/>
        <v>134.85005170630816</v>
      </c>
      <c r="AH17" s="16">
        <v>5200</v>
      </c>
      <c r="AI17" s="392">
        <f>AH17/G17</f>
        <v>1.0754912099276113</v>
      </c>
      <c r="AJ17" s="57" t="s">
        <v>579</v>
      </c>
      <c r="AK17" s="200"/>
      <c r="AL17" s="469">
        <f>L17-AK17</f>
        <v>11734.124</v>
      </c>
      <c r="AM17" s="341" t="s">
        <v>345</v>
      </c>
      <c r="AN17" s="328" t="s">
        <v>121</v>
      </c>
    </row>
    <row r="18" spans="1:41" x14ac:dyDescent="0.2">
      <c r="A18" s="142"/>
      <c r="B18" s="29">
        <v>2212</v>
      </c>
      <c r="C18" s="29">
        <v>204</v>
      </c>
      <c r="D18" s="220" t="s">
        <v>128</v>
      </c>
      <c r="E18" s="46">
        <v>3027</v>
      </c>
      <c r="G18" s="57">
        <f t="shared" si="34"/>
        <v>3027</v>
      </c>
      <c r="H18" s="199">
        <v>800</v>
      </c>
      <c r="I18" s="200"/>
      <c r="J18" s="46">
        <f t="shared" si="35"/>
        <v>3827</v>
      </c>
      <c r="K18" s="29">
        <f t="shared" si="35"/>
        <v>0</v>
      </c>
      <c r="L18" s="57">
        <f t="shared" si="36"/>
        <v>3827</v>
      </c>
      <c r="M18" s="46">
        <v>2500.107</v>
      </c>
      <c r="N18" s="16"/>
      <c r="O18" s="57">
        <f t="shared" si="37"/>
        <v>2500.107</v>
      </c>
      <c r="P18" s="57">
        <f t="shared" si="38"/>
        <v>65.328116017768494</v>
      </c>
      <c r="Q18" s="46">
        <v>3167.57593</v>
      </c>
      <c r="R18" s="16"/>
      <c r="S18" s="57">
        <f t="shared" si="39"/>
        <v>3167.57593</v>
      </c>
      <c r="T18" s="57">
        <f t="shared" si="40"/>
        <v>82.769164619806631</v>
      </c>
      <c r="U18" s="46">
        <v>3296.5313700000002</v>
      </c>
      <c r="V18" s="16"/>
      <c r="W18" s="57">
        <f t="shared" si="41"/>
        <v>3296.5313700000002</v>
      </c>
      <c r="X18" s="57">
        <f t="shared" si="42"/>
        <v>86.138786778155222</v>
      </c>
      <c r="Y18" s="46">
        <v>3435.7305799999999</v>
      </c>
      <c r="Z18" s="16"/>
      <c r="AA18" s="57">
        <f t="shared" si="43"/>
        <v>3435.7305799999999</v>
      </c>
      <c r="AB18" s="57">
        <f t="shared" si="44"/>
        <v>89.776079958191787</v>
      </c>
      <c r="AC18" s="431">
        <f t="shared" si="45"/>
        <v>391.26942000000008</v>
      </c>
      <c r="AD18" s="46">
        <f>3177+300</f>
        <v>3477</v>
      </c>
      <c r="AE18" s="16"/>
      <c r="AF18" s="57">
        <f t="shared" ref="AF18:AF25" si="47">AD18+AE18</f>
        <v>3477</v>
      </c>
      <c r="AG18" s="57">
        <f t="shared" ref="AG18:AG24" si="48">AF18/$G18*100</f>
        <v>114.86620416253717</v>
      </c>
      <c r="AH18" s="16">
        <v>3177</v>
      </c>
      <c r="AI18" s="392">
        <f>AH18/G18</f>
        <v>1.0495540138751238</v>
      </c>
      <c r="AJ18" s="57"/>
      <c r="AK18" s="200"/>
      <c r="AL18" s="469">
        <f>L18-AK18</f>
        <v>3827</v>
      </c>
      <c r="AM18" s="341" t="s">
        <v>212</v>
      </c>
      <c r="AN18" s="328" t="s">
        <v>121</v>
      </c>
    </row>
    <row r="19" spans="1:41" x14ac:dyDescent="0.2">
      <c r="A19" s="142"/>
      <c r="B19" s="29">
        <v>2212</v>
      </c>
      <c r="C19" s="29">
        <v>206</v>
      </c>
      <c r="D19" s="220" t="s">
        <v>368</v>
      </c>
      <c r="E19" s="46"/>
      <c r="F19" s="16">
        <v>700</v>
      </c>
      <c r="G19" s="57">
        <f t="shared" si="34"/>
        <v>700</v>
      </c>
      <c r="H19" s="199"/>
      <c r="I19" s="200">
        <v>-600</v>
      </c>
      <c r="J19" s="46">
        <f t="shared" si="35"/>
        <v>0</v>
      </c>
      <c r="K19" s="29">
        <f t="shared" si="35"/>
        <v>100</v>
      </c>
      <c r="L19" s="57">
        <f t="shared" si="36"/>
        <v>100</v>
      </c>
      <c r="M19" s="46"/>
      <c r="N19" s="16"/>
      <c r="O19" s="57">
        <f t="shared" si="37"/>
        <v>0</v>
      </c>
      <c r="P19" s="57">
        <f t="shared" si="38"/>
        <v>0</v>
      </c>
      <c r="Q19" s="46"/>
      <c r="R19" s="16"/>
      <c r="S19" s="57">
        <f t="shared" si="39"/>
        <v>0</v>
      </c>
      <c r="T19" s="57">
        <f t="shared" si="40"/>
        <v>0</v>
      </c>
      <c r="U19" s="46"/>
      <c r="V19" s="16">
        <v>0</v>
      </c>
      <c r="W19" s="57">
        <f t="shared" si="41"/>
        <v>0</v>
      </c>
      <c r="X19" s="57">
        <f t="shared" si="42"/>
        <v>0</v>
      </c>
      <c r="Y19" s="46"/>
      <c r="Z19" s="16">
        <v>0</v>
      </c>
      <c r="AA19" s="57">
        <f t="shared" si="43"/>
        <v>0</v>
      </c>
      <c r="AB19" s="57">
        <f t="shared" si="44"/>
        <v>0</v>
      </c>
      <c r="AC19" s="431">
        <f t="shared" si="45"/>
        <v>100</v>
      </c>
      <c r="AD19" s="46"/>
      <c r="AE19" s="16">
        <v>500</v>
      </c>
      <c r="AF19" s="57">
        <f t="shared" si="47"/>
        <v>500</v>
      </c>
      <c r="AG19" s="57">
        <f t="shared" si="48"/>
        <v>71.428571428571431</v>
      </c>
      <c r="AH19" s="16">
        <v>500</v>
      </c>
      <c r="AI19" s="392">
        <f>AH19/G19</f>
        <v>0.7142857142857143</v>
      </c>
      <c r="AJ19" s="57" t="s">
        <v>451</v>
      </c>
      <c r="AK19" s="200"/>
      <c r="AL19" s="469"/>
      <c r="AM19" s="341" t="s">
        <v>345</v>
      </c>
      <c r="AN19" s="328" t="s">
        <v>121</v>
      </c>
    </row>
    <row r="20" spans="1:41" x14ac:dyDescent="0.2">
      <c r="A20" s="142"/>
      <c r="B20" s="29">
        <v>2212</v>
      </c>
      <c r="C20" s="29">
        <v>208</v>
      </c>
      <c r="D20" s="220" t="s">
        <v>323</v>
      </c>
      <c r="E20" s="46"/>
      <c r="F20" s="16">
        <f>3000+200</f>
        <v>3200</v>
      </c>
      <c r="G20" s="57">
        <f t="shared" si="34"/>
        <v>3200</v>
      </c>
      <c r="H20" s="199"/>
      <c r="I20" s="200"/>
      <c r="J20" s="46">
        <f t="shared" si="35"/>
        <v>0</v>
      </c>
      <c r="K20" s="29">
        <f t="shared" si="35"/>
        <v>3200</v>
      </c>
      <c r="L20" s="57">
        <f t="shared" si="36"/>
        <v>3200</v>
      </c>
      <c r="M20" s="46"/>
      <c r="N20" s="16">
        <v>6</v>
      </c>
      <c r="O20" s="57">
        <f t="shared" si="37"/>
        <v>6</v>
      </c>
      <c r="P20" s="57">
        <f t="shared" si="38"/>
        <v>0.1875</v>
      </c>
      <c r="Q20" s="46"/>
      <c r="R20" s="16">
        <v>31</v>
      </c>
      <c r="S20" s="57">
        <f t="shared" si="39"/>
        <v>31</v>
      </c>
      <c r="T20" s="57">
        <f t="shared" si="40"/>
        <v>0.96875</v>
      </c>
      <c r="U20" s="46"/>
      <c r="V20" s="16">
        <v>3111.5859999999998</v>
      </c>
      <c r="W20" s="57">
        <f t="shared" si="41"/>
        <v>3111.5859999999998</v>
      </c>
      <c r="X20" s="57">
        <f t="shared" si="42"/>
        <v>97.237062499999993</v>
      </c>
      <c r="Y20" s="46"/>
      <c r="Z20" s="16">
        <f>3000+115.386</f>
        <v>3115.386</v>
      </c>
      <c r="AA20" s="57">
        <f t="shared" si="43"/>
        <v>3115.386</v>
      </c>
      <c r="AB20" s="57">
        <f t="shared" si="44"/>
        <v>97.355812499999999</v>
      </c>
      <c r="AC20" s="431">
        <f t="shared" si="45"/>
        <v>84.614000000000033</v>
      </c>
      <c r="AD20" s="46"/>
      <c r="AE20" s="16">
        <f>1687+350+120</f>
        <v>2157</v>
      </c>
      <c r="AF20" s="57">
        <f t="shared" si="47"/>
        <v>2157</v>
      </c>
      <c r="AG20" s="57">
        <f t="shared" si="48"/>
        <v>67.40625</v>
      </c>
      <c r="AH20" s="16">
        <f>1687+220</f>
        <v>1907</v>
      </c>
      <c r="AI20" s="392">
        <f>AH20/G20</f>
        <v>0.59593750000000001</v>
      </c>
      <c r="AJ20" s="57" t="s">
        <v>583</v>
      </c>
      <c r="AK20" s="200"/>
      <c r="AL20" s="469">
        <f>L20-AK20</f>
        <v>3200</v>
      </c>
      <c r="AM20" s="341" t="s">
        <v>168</v>
      </c>
      <c r="AN20" s="328" t="s">
        <v>121</v>
      </c>
    </row>
    <row r="21" spans="1:41" x14ac:dyDescent="0.2">
      <c r="A21" s="142"/>
      <c r="B21" s="29">
        <v>2212</v>
      </c>
      <c r="C21" s="29">
        <v>211</v>
      </c>
      <c r="D21" s="220" t="s">
        <v>369</v>
      </c>
      <c r="E21" s="46"/>
      <c r="F21" s="16">
        <v>270</v>
      </c>
      <c r="G21" s="57">
        <f t="shared" si="34"/>
        <v>270</v>
      </c>
      <c r="H21" s="199"/>
      <c r="I21" s="200">
        <v>100</v>
      </c>
      <c r="J21" s="46">
        <f t="shared" si="35"/>
        <v>0</v>
      </c>
      <c r="K21" s="29">
        <f t="shared" si="35"/>
        <v>370</v>
      </c>
      <c r="L21" s="57">
        <f t="shared" si="36"/>
        <v>370</v>
      </c>
      <c r="M21" s="46"/>
      <c r="N21" s="16"/>
      <c r="O21" s="57">
        <f t="shared" si="37"/>
        <v>0</v>
      </c>
      <c r="P21" s="57">
        <f t="shared" si="38"/>
        <v>0</v>
      </c>
      <c r="Q21" s="46"/>
      <c r="R21" s="16">
        <v>48.642000000000003</v>
      </c>
      <c r="S21" s="57">
        <f t="shared" si="39"/>
        <v>48.642000000000003</v>
      </c>
      <c r="T21" s="57">
        <f t="shared" si="40"/>
        <v>13.146486486486486</v>
      </c>
      <c r="U21" s="46"/>
      <c r="V21" s="16">
        <v>48.642000000000003</v>
      </c>
      <c r="W21" s="57">
        <f t="shared" si="41"/>
        <v>48.642000000000003</v>
      </c>
      <c r="X21" s="57">
        <f t="shared" si="42"/>
        <v>13.146486486486486</v>
      </c>
      <c r="Y21" s="46"/>
      <c r="Z21" s="16">
        <v>369.57600000000002</v>
      </c>
      <c r="AA21" s="57">
        <f t="shared" si="43"/>
        <v>369.57600000000002</v>
      </c>
      <c r="AB21" s="57">
        <f t="shared" si="44"/>
        <v>99.885405405405407</v>
      </c>
      <c r="AC21" s="431">
        <f t="shared" si="45"/>
        <v>0.42399999999997817</v>
      </c>
      <c r="AD21" s="46"/>
      <c r="AE21" s="16">
        <v>400</v>
      </c>
      <c r="AF21" s="57">
        <f t="shared" si="47"/>
        <v>400</v>
      </c>
      <c r="AG21" s="57">
        <f t="shared" si="48"/>
        <v>148.14814814814815</v>
      </c>
      <c r="AH21" s="16">
        <v>400</v>
      </c>
      <c r="AI21" s="392"/>
      <c r="AJ21" s="57"/>
      <c r="AK21" s="200"/>
      <c r="AL21" s="469"/>
      <c r="AM21" s="341" t="s">
        <v>168</v>
      </c>
      <c r="AN21" s="328" t="s">
        <v>345</v>
      </c>
    </row>
    <row r="22" spans="1:41" x14ac:dyDescent="0.2">
      <c r="A22" s="142"/>
      <c r="B22" s="29">
        <v>2212</v>
      </c>
      <c r="C22" s="29"/>
      <c r="D22" s="220" t="s">
        <v>572</v>
      </c>
      <c r="E22" s="46"/>
      <c r="F22" s="16"/>
      <c r="G22" s="57"/>
      <c r="H22" s="199"/>
      <c r="I22" s="200"/>
      <c r="J22" s="46"/>
      <c r="K22" s="29"/>
      <c r="L22" s="57"/>
      <c r="M22" s="46"/>
      <c r="N22" s="16"/>
      <c r="O22" s="57"/>
      <c r="P22" s="57"/>
      <c r="Q22" s="46"/>
      <c r="R22" s="16"/>
      <c r="S22" s="57"/>
      <c r="T22" s="57"/>
      <c r="U22" s="46"/>
      <c r="V22" s="16"/>
      <c r="W22" s="57"/>
      <c r="X22" s="57"/>
      <c r="Y22" s="46"/>
      <c r="Z22" s="16"/>
      <c r="AA22" s="57"/>
      <c r="AB22" s="57"/>
      <c r="AC22" s="431"/>
      <c r="AD22" s="46"/>
      <c r="AE22" s="16">
        <v>752</v>
      </c>
      <c r="AF22" s="57">
        <f t="shared" si="47"/>
        <v>752</v>
      </c>
      <c r="AG22" s="57"/>
      <c r="AH22" s="16"/>
      <c r="AI22" s="392"/>
      <c r="AJ22" s="57" t="s">
        <v>573</v>
      </c>
      <c r="AK22" s="200"/>
      <c r="AL22" s="469"/>
      <c r="AM22" s="341"/>
      <c r="AN22" s="328"/>
    </row>
    <row r="23" spans="1:41" x14ac:dyDescent="0.2">
      <c r="A23" s="142"/>
      <c r="B23" s="29">
        <v>2212</v>
      </c>
      <c r="C23" s="29">
        <v>214</v>
      </c>
      <c r="D23" s="220" t="s">
        <v>383</v>
      </c>
      <c r="E23" s="46"/>
      <c r="F23" s="16">
        <v>1900</v>
      </c>
      <c r="G23" s="57">
        <f t="shared" si="34"/>
        <v>1900</v>
      </c>
      <c r="H23" s="199"/>
      <c r="I23" s="200">
        <v>-320</v>
      </c>
      <c r="J23" s="46">
        <f t="shared" si="35"/>
        <v>0</v>
      </c>
      <c r="K23" s="29">
        <f t="shared" si="35"/>
        <v>1580</v>
      </c>
      <c r="L23" s="57">
        <f t="shared" si="36"/>
        <v>1580</v>
      </c>
      <c r="M23" s="46"/>
      <c r="N23" s="16"/>
      <c r="O23" s="57">
        <f t="shared" si="37"/>
        <v>0</v>
      </c>
      <c r="P23" s="57">
        <f t="shared" si="38"/>
        <v>0</v>
      </c>
      <c r="Q23" s="46"/>
      <c r="R23" s="16">
        <v>505.19400000000002</v>
      </c>
      <c r="S23" s="57">
        <f t="shared" si="39"/>
        <v>505.19400000000002</v>
      </c>
      <c r="T23" s="57">
        <f t="shared" si="40"/>
        <v>31.974303797468355</v>
      </c>
      <c r="U23" s="46"/>
      <c r="V23" s="16">
        <v>1447.2950000000001</v>
      </c>
      <c r="W23" s="57">
        <f t="shared" si="41"/>
        <v>1447.2950000000001</v>
      </c>
      <c r="X23" s="57">
        <f t="shared" si="42"/>
        <v>91.600949367088617</v>
      </c>
      <c r="Y23" s="46"/>
      <c r="Z23" s="16">
        <v>1537.9966199999999</v>
      </c>
      <c r="AA23" s="57">
        <f t="shared" si="43"/>
        <v>1537.9966199999999</v>
      </c>
      <c r="AB23" s="57">
        <f t="shared" si="44"/>
        <v>97.341558227848097</v>
      </c>
      <c r="AC23" s="431">
        <f t="shared" si="45"/>
        <v>42.003380000000107</v>
      </c>
      <c r="AD23" s="46"/>
      <c r="AE23" s="16"/>
      <c r="AF23" s="57">
        <f t="shared" si="47"/>
        <v>0</v>
      </c>
      <c r="AG23" s="57">
        <f t="shared" si="48"/>
        <v>0</v>
      </c>
      <c r="AH23" s="16"/>
      <c r="AI23" s="392"/>
      <c r="AJ23" s="57" t="s">
        <v>432</v>
      </c>
      <c r="AK23" s="200"/>
      <c r="AL23" s="469"/>
      <c r="AM23" s="341" t="s">
        <v>168</v>
      </c>
      <c r="AN23" s="328" t="s">
        <v>345</v>
      </c>
    </row>
    <row r="24" spans="1:41" x14ac:dyDescent="0.2">
      <c r="A24" s="142"/>
      <c r="B24" s="29">
        <v>2212</v>
      </c>
      <c r="C24" s="29">
        <v>221</v>
      </c>
      <c r="D24" s="220" t="s">
        <v>367</v>
      </c>
      <c r="E24" s="46">
        <v>1700</v>
      </c>
      <c r="F24" s="16">
        <v>500</v>
      </c>
      <c r="G24" s="57">
        <f t="shared" si="34"/>
        <v>2200</v>
      </c>
      <c r="H24" s="199"/>
      <c r="I24" s="200">
        <v>-150</v>
      </c>
      <c r="J24" s="46">
        <f t="shared" si="35"/>
        <v>1700</v>
      </c>
      <c r="K24" s="29">
        <f t="shared" si="35"/>
        <v>350</v>
      </c>
      <c r="L24" s="57">
        <f t="shared" si="36"/>
        <v>2050</v>
      </c>
      <c r="M24" s="46"/>
      <c r="N24" s="16">
        <v>23.8612</v>
      </c>
      <c r="O24" s="57">
        <f t="shared" si="37"/>
        <v>23.8612</v>
      </c>
      <c r="P24" s="57">
        <f t="shared" si="38"/>
        <v>1.1639609756097562</v>
      </c>
      <c r="Q24" s="46">
        <v>3</v>
      </c>
      <c r="R24" s="16">
        <v>26.3612</v>
      </c>
      <c r="S24" s="57">
        <f t="shared" si="39"/>
        <v>29.3612</v>
      </c>
      <c r="T24" s="57">
        <f t="shared" si="40"/>
        <v>1.4322536585365853</v>
      </c>
      <c r="U24" s="46">
        <f>1604.6002-V24</f>
        <v>1467.0240000000001</v>
      </c>
      <c r="V24" s="16">
        <v>137.5762</v>
      </c>
      <c r="W24" s="57">
        <f t="shared" si="41"/>
        <v>1604.6002000000001</v>
      </c>
      <c r="X24" s="57">
        <f t="shared" si="42"/>
        <v>78.273180487804879</v>
      </c>
      <c r="Y24" s="46">
        <f>69.845+1601.902</f>
        <v>1671.7470000000001</v>
      </c>
      <c r="Z24" s="16">
        <v>218.76220000000001</v>
      </c>
      <c r="AA24" s="57">
        <f t="shared" si="43"/>
        <v>1890.5092</v>
      </c>
      <c r="AB24" s="57">
        <f t="shared" si="44"/>
        <v>92.219960975609752</v>
      </c>
      <c r="AC24" s="431">
        <f t="shared" si="45"/>
        <v>159.49080000000004</v>
      </c>
      <c r="AD24" s="46"/>
      <c r="AE24" s="16"/>
      <c r="AF24" s="57">
        <f t="shared" si="47"/>
        <v>0</v>
      </c>
      <c r="AG24" s="57">
        <f t="shared" si="48"/>
        <v>0</v>
      </c>
      <c r="AH24" s="16"/>
      <c r="AI24" s="392">
        <f>AH24/G24</f>
        <v>0</v>
      </c>
      <c r="AJ24" s="57" t="s">
        <v>432</v>
      </c>
      <c r="AK24" s="200"/>
      <c r="AL24" s="469">
        <f>L24-AK24</f>
        <v>2050</v>
      </c>
      <c r="AM24" s="341" t="s">
        <v>168</v>
      </c>
      <c r="AN24" s="328" t="s">
        <v>345</v>
      </c>
    </row>
    <row r="25" spans="1:41" x14ac:dyDescent="0.2">
      <c r="A25" s="142"/>
      <c r="B25" s="29">
        <v>2219</v>
      </c>
      <c r="C25" s="29"/>
      <c r="D25" s="220" t="s">
        <v>450</v>
      </c>
      <c r="E25" s="46"/>
      <c r="F25" s="16"/>
      <c r="G25" s="57"/>
      <c r="H25" s="199"/>
      <c r="I25" s="200"/>
      <c r="J25" s="46"/>
      <c r="K25" s="29"/>
      <c r="L25" s="57"/>
      <c r="M25" s="46"/>
      <c r="N25" s="16"/>
      <c r="O25" s="57"/>
      <c r="P25" s="57"/>
      <c r="Q25" s="46"/>
      <c r="R25" s="16"/>
      <c r="S25" s="57"/>
      <c r="T25" s="57"/>
      <c r="U25" s="46"/>
      <c r="V25" s="16"/>
      <c r="W25" s="57"/>
      <c r="X25" s="57"/>
      <c r="Y25" s="46"/>
      <c r="Z25" s="16"/>
      <c r="AA25" s="57"/>
      <c r="AB25" s="57"/>
      <c r="AC25" s="431">
        <f t="shared" si="45"/>
        <v>0</v>
      </c>
      <c r="AD25" s="46"/>
      <c r="AE25" s="16">
        <f>3450+2250-752</f>
        <v>4948</v>
      </c>
      <c r="AF25" s="57">
        <f t="shared" si="47"/>
        <v>4948</v>
      </c>
      <c r="AG25" s="57"/>
      <c r="AH25" s="16">
        <v>3450</v>
      </c>
      <c r="AI25" s="392"/>
      <c r="AJ25" s="57" t="s">
        <v>491</v>
      </c>
      <c r="AK25" s="200"/>
      <c r="AL25" s="469"/>
      <c r="AM25" s="341" t="s">
        <v>168</v>
      </c>
      <c r="AN25" s="328" t="s">
        <v>345</v>
      </c>
    </row>
    <row r="26" spans="1:41" x14ac:dyDescent="0.2">
      <c r="A26" s="142"/>
      <c r="B26" s="29">
        <v>2219</v>
      </c>
      <c r="C26" s="29">
        <v>43</v>
      </c>
      <c r="D26" s="220" t="s">
        <v>125</v>
      </c>
      <c r="E26" s="46">
        <v>35</v>
      </c>
      <c r="F26" s="16"/>
      <c r="G26" s="57">
        <f t="shared" ref="G26:G29" si="49">E26+F26</f>
        <v>35</v>
      </c>
      <c r="H26" s="199"/>
      <c r="I26" s="200"/>
      <c r="J26" s="46">
        <f t="shared" ref="J26" si="50">E26+H26</f>
        <v>35</v>
      </c>
      <c r="K26" s="29">
        <f t="shared" ref="K26" si="51">F26+I26</f>
        <v>0</v>
      </c>
      <c r="L26" s="57">
        <f t="shared" ref="L26" si="52">SUM(J26:K26)</f>
        <v>35</v>
      </c>
      <c r="M26" s="46"/>
      <c r="N26" s="16"/>
      <c r="O26" s="57">
        <f t="shared" ref="O26:O29" si="53">M26+N26</f>
        <v>0</v>
      </c>
      <c r="P26" s="57">
        <f t="shared" ref="P26:P30" si="54">O26/$L26*100</f>
        <v>0</v>
      </c>
      <c r="Q26" s="46">
        <v>17.268999999999998</v>
      </c>
      <c r="R26" s="16"/>
      <c r="S26" s="57">
        <f t="shared" ref="S26:S29" si="55">Q26+R26</f>
        <v>17.268999999999998</v>
      </c>
      <c r="T26" s="57">
        <f t="shared" si="22"/>
        <v>49.339999999999996</v>
      </c>
      <c r="U26" s="46">
        <v>23.108000000000001</v>
      </c>
      <c r="V26" s="16"/>
      <c r="W26" s="57">
        <f t="shared" ref="W26:W29" si="56">U26+V26</f>
        <v>23.108000000000001</v>
      </c>
      <c r="X26" s="57">
        <f t="shared" si="24"/>
        <v>66.022857142857148</v>
      </c>
      <c r="Y26" s="46">
        <v>32.752000000000002</v>
      </c>
      <c r="Z26" s="16"/>
      <c r="AA26" s="57">
        <f t="shared" ref="AA26:AA29" si="57">Y26+Z26</f>
        <v>32.752000000000002</v>
      </c>
      <c r="AB26" s="57">
        <f t="shared" si="26"/>
        <v>93.57714285714286</v>
      </c>
      <c r="AC26" s="431">
        <f t="shared" si="45"/>
        <v>2.2479999999999976</v>
      </c>
      <c r="AD26" s="46">
        <v>35</v>
      </c>
      <c r="AE26" s="16"/>
      <c r="AF26" s="57">
        <f t="shared" ref="AF26:AF29" si="58">AD26+AE26</f>
        <v>35</v>
      </c>
      <c r="AG26" s="57">
        <f t="shared" ref="AG26:AG27" si="59">AF26/$G26*100</f>
        <v>100</v>
      </c>
      <c r="AH26" s="16">
        <v>35</v>
      </c>
      <c r="AI26" s="392">
        <f>AH26/G26</f>
        <v>1</v>
      </c>
      <c r="AJ26" s="57"/>
      <c r="AK26" s="200"/>
      <c r="AL26" s="469">
        <f>L26-AK26</f>
        <v>35</v>
      </c>
      <c r="AM26" s="346" t="s">
        <v>167</v>
      </c>
      <c r="AN26" s="329" t="s">
        <v>318</v>
      </c>
    </row>
    <row r="27" spans="1:41" x14ac:dyDescent="0.2">
      <c r="A27" s="142"/>
      <c r="B27" s="29">
        <v>2219</v>
      </c>
      <c r="C27" s="29">
        <v>46</v>
      </c>
      <c r="D27" s="220" t="s">
        <v>340</v>
      </c>
      <c r="E27" s="46"/>
      <c r="F27" s="16">
        <v>400</v>
      </c>
      <c r="G27" s="57">
        <f t="shared" si="49"/>
        <v>400</v>
      </c>
      <c r="H27" s="199"/>
      <c r="I27" s="200"/>
      <c r="J27" s="46">
        <f t="shared" ref="J27:J29" si="60">E27+H27</f>
        <v>0</v>
      </c>
      <c r="K27" s="29">
        <f t="shared" ref="K27:K29" si="61">F27+I27</f>
        <v>400</v>
      </c>
      <c r="L27" s="57">
        <f t="shared" ref="L27:L29" si="62">SUM(J27:K27)</f>
        <v>400</v>
      </c>
      <c r="M27" s="46"/>
      <c r="N27" s="16"/>
      <c r="O27" s="57">
        <f t="shared" si="53"/>
        <v>0</v>
      </c>
      <c r="P27" s="57">
        <f t="shared" si="54"/>
        <v>0</v>
      </c>
      <c r="Q27" s="46"/>
      <c r="R27" s="16">
        <v>4.4770000000000003</v>
      </c>
      <c r="S27" s="57">
        <f t="shared" si="55"/>
        <v>4.4770000000000003</v>
      </c>
      <c r="T27" s="57">
        <f t="shared" si="22"/>
        <v>1.1192500000000001</v>
      </c>
      <c r="U27" s="46"/>
      <c r="V27" s="16">
        <v>8.9540000000000006</v>
      </c>
      <c r="W27" s="57">
        <f t="shared" si="56"/>
        <v>8.9540000000000006</v>
      </c>
      <c r="X27" s="57">
        <f t="shared" si="24"/>
        <v>2.2385000000000002</v>
      </c>
      <c r="Y27" s="46"/>
      <c r="Z27" s="16">
        <v>8.9540000000000006</v>
      </c>
      <c r="AA27" s="57">
        <f t="shared" si="57"/>
        <v>8.9540000000000006</v>
      </c>
      <c r="AB27" s="57">
        <f t="shared" si="26"/>
        <v>2.2385000000000002</v>
      </c>
      <c r="AC27" s="431">
        <f t="shared" si="45"/>
        <v>391.04599999999999</v>
      </c>
      <c r="AD27" s="46"/>
      <c r="AE27" s="16">
        <v>400</v>
      </c>
      <c r="AF27" s="57">
        <f t="shared" si="58"/>
        <v>400</v>
      </c>
      <c r="AG27" s="57">
        <f t="shared" si="59"/>
        <v>100</v>
      </c>
      <c r="AH27" s="16">
        <v>400</v>
      </c>
      <c r="AI27" s="392"/>
      <c r="AJ27" s="57" t="s">
        <v>457</v>
      </c>
      <c r="AK27" s="200"/>
      <c r="AL27" s="469">
        <f>L27-AK27</f>
        <v>400</v>
      </c>
      <c r="AM27" s="341" t="s">
        <v>345</v>
      </c>
      <c r="AN27" s="328" t="s">
        <v>121</v>
      </c>
    </row>
    <row r="28" spans="1:41" x14ac:dyDescent="0.2">
      <c r="A28" s="142"/>
      <c r="B28" s="29">
        <v>2292</v>
      </c>
      <c r="C28" s="29">
        <v>204</v>
      </c>
      <c r="D28" s="220" t="s">
        <v>122</v>
      </c>
      <c r="E28" s="46">
        <v>497</v>
      </c>
      <c r="F28" s="16"/>
      <c r="G28" s="57">
        <f t="shared" si="49"/>
        <v>497</v>
      </c>
      <c r="H28" s="199"/>
      <c r="I28" s="200"/>
      <c r="J28" s="46">
        <f t="shared" si="60"/>
        <v>497</v>
      </c>
      <c r="K28" s="29">
        <f t="shared" si="61"/>
        <v>0</v>
      </c>
      <c r="L28" s="57">
        <f t="shared" si="62"/>
        <v>497</v>
      </c>
      <c r="M28" s="46">
        <v>124.08750000000001</v>
      </c>
      <c r="N28" s="16"/>
      <c r="O28" s="57">
        <f t="shared" si="53"/>
        <v>124.08750000000001</v>
      </c>
      <c r="P28" s="57">
        <f t="shared" si="54"/>
        <v>24.967303822937627</v>
      </c>
      <c r="Q28" s="46">
        <v>248.17500000000001</v>
      </c>
      <c r="R28" s="16"/>
      <c r="S28" s="57">
        <f t="shared" si="55"/>
        <v>248.17500000000001</v>
      </c>
      <c r="T28" s="57">
        <f t="shared" si="22"/>
        <v>49.934607645875253</v>
      </c>
      <c r="U28" s="46">
        <v>372.26249999999999</v>
      </c>
      <c r="V28" s="16"/>
      <c r="W28" s="57">
        <f t="shared" si="56"/>
        <v>372.26249999999999</v>
      </c>
      <c r="X28" s="57">
        <f t="shared" si="24"/>
        <v>74.90191146881287</v>
      </c>
      <c r="Y28" s="46">
        <v>496.35</v>
      </c>
      <c r="Z28" s="16"/>
      <c r="AA28" s="57">
        <f t="shared" si="57"/>
        <v>496.35</v>
      </c>
      <c r="AB28" s="57">
        <f t="shared" si="26"/>
        <v>99.869215291750507</v>
      </c>
      <c r="AC28" s="431">
        <f t="shared" si="45"/>
        <v>0.64999999999997726</v>
      </c>
      <c r="AD28" s="46">
        <v>497</v>
      </c>
      <c r="AE28" s="16"/>
      <c r="AF28" s="57">
        <f t="shared" si="58"/>
        <v>497</v>
      </c>
      <c r="AG28" s="57">
        <f t="shared" ref="AG28:AG35" si="63">AF28/$G28*100</f>
        <v>100</v>
      </c>
      <c r="AH28" s="16">
        <v>497</v>
      </c>
      <c r="AI28" s="392">
        <f t="shared" ref="AI28:AI48" si="64">AH28/G28</f>
        <v>1</v>
      </c>
      <c r="AJ28" s="57" t="s">
        <v>459</v>
      </c>
      <c r="AK28" s="200"/>
      <c r="AL28" s="469">
        <f>L28-AK28</f>
        <v>497</v>
      </c>
      <c r="AM28" s="477" t="s">
        <v>213</v>
      </c>
      <c r="AN28" s="326" t="s">
        <v>71</v>
      </c>
    </row>
    <row r="29" spans="1:41" s="526" customFormat="1" ht="12" x14ac:dyDescent="0.2">
      <c r="A29" s="515"/>
      <c r="B29" s="516">
        <v>2321</v>
      </c>
      <c r="C29" s="516">
        <v>5103</v>
      </c>
      <c r="D29" s="460" t="s">
        <v>363</v>
      </c>
      <c r="E29" s="517">
        <v>63</v>
      </c>
      <c r="F29" s="518"/>
      <c r="G29" s="519">
        <f t="shared" si="49"/>
        <v>63</v>
      </c>
      <c r="H29" s="520"/>
      <c r="I29" s="521"/>
      <c r="J29" s="517">
        <f t="shared" si="60"/>
        <v>63</v>
      </c>
      <c r="K29" s="516">
        <f t="shared" si="61"/>
        <v>0</v>
      </c>
      <c r="L29" s="519">
        <f t="shared" si="62"/>
        <v>63</v>
      </c>
      <c r="M29" s="517"/>
      <c r="N29" s="518"/>
      <c r="O29" s="519">
        <f t="shared" si="53"/>
        <v>0</v>
      </c>
      <c r="P29" s="519">
        <f t="shared" si="54"/>
        <v>0</v>
      </c>
      <c r="Q29" s="517">
        <v>62.415999999999997</v>
      </c>
      <c r="R29" s="518"/>
      <c r="S29" s="519">
        <f t="shared" si="55"/>
        <v>62.415999999999997</v>
      </c>
      <c r="T29" s="519">
        <f t="shared" si="22"/>
        <v>99.073015873015862</v>
      </c>
      <c r="U29" s="517">
        <v>62.415999999999997</v>
      </c>
      <c r="V29" s="518"/>
      <c r="W29" s="519">
        <f t="shared" si="56"/>
        <v>62.415999999999997</v>
      </c>
      <c r="X29" s="519">
        <f t="shared" si="24"/>
        <v>99.073015873015862</v>
      </c>
      <c r="Y29" s="61">
        <v>62.415999999999997</v>
      </c>
      <c r="Z29" s="518"/>
      <c r="AA29" s="63">
        <f t="shared" si="57"/>
        <v>62.415999999999997</v>
      </c>
      <c r="AB29" s="519">
        <f t="shared" si="26"/>
        <v>99.073015873015862</v>
      </c>
      <c r="AC29" s="431">
        <f t="shared" si="45"/>
        <v>0.58400000000000318</v>
      </c>
      <c r="AD29" s="61">
        <v>62</v>
      </c>
      <c r="AE29" s="64">
        <v>4000</v>
      </c>
      <c r="AF29" s="63">
        <f t="shared" si="58"/>
        <v>4062</v>
      </c>
      <c r="AG29" s="63">
        <f t="shared" si="63"/>
        <v>6447.6190476190477</v>
      </c>
      <c r="AH29" s="64">
        <f>62+4000</f>
        <v>4062</v>
      </c>
      <c r="AI29" s="394">
        <f t="shared" si="64"/>
        <v>64.476190476190482</v>
      </c>
      <c r="AJ29" s="63" t="s">
        <v>440</v>
      </c>
      <c r="AK29" s="521"/>
      <c r="AL29" s="522">
        <f>L29-AK29</f>
        <v>63</v>
      </c>
      <c r="AM29" s="523" t="s">
        <v>439</v>
      </c>
      <c r="AN29" s="524" t="s">
        <v>71</v>
      </c>
      <c r="AO29" s="525"/>
    </row>
    <row r="30" spans="1:41" x14ac:dyDescent="0.2">
      <c r="A30" s="92">
        <v>31</v>
      </c>
      <c r="B30" s="32">
        <v>3100</v>
      </c>
      <c r="C30" s="32"/>
      <c r="D30" s="451" t="s">
        <v>72</v>
      </c>
      <c r="E30" s="55">
        <f>SUM(E31:E43)</f>
        <v>13262</v>
      </c>
      <c r="F30" s="18">
        <f>SUM(F31:F43)</f>
        <v>0</v>
      </c>
      <c r="G30" s="56">
        <f>SUM(G31:G43)</f>
        <v>13262</v>
      </c>
      <c r="H30" s="208">
        <f t="shared" ref="H30:O30" si="65">SUM(H31:H43)</f>
        <v>1989.5528600000002</v>
      </c>
      <c r="I30" s="209">
        <f t="shared" si="65"/>
        <v>0</v>
      </c>
      <c r="J30" s="55">
        <f t="shared" si="65"/>
        <v>15251.55286</v>
      </c>
      <c r="K30" s="18">
        <f t="shared" si="65"/>
        <v>0</v>
      </c>
      <c r="L30" s="56">
        <f t="shared" si="65"/>
        <v>15251.55286</v>
      </c>
      <c r="M30" s="55">
        <f t="shared" si="65"/>
        <v>1862.2041199999999</v>
      </c>
      <c r="N30" s="18">
        <f t="shared" si="65"/>
        <v>0</v>
      </c>
      <c r="O30" s="56">
        <f t="shared" si="65"/>
        <v>1862.2041199999999</v>
      </c>
      <c r="P30" s="60">
        <f t="shared" si="54"/>
        <v>12.209931258107968</v>
      </c>
      <c r="Q30" s="55">
        <f t="shared" ref="Q30:S30" si="66">SUM(Q31:Q43)</f>
        <v>3173.14534</v>
      </c>
      <c r="R30" s="18">
        <f t="shared" si="66"/>
        <v>0</v>
      </c>
      <c r="S30" s="56">
        <f t="shared" si="66"/>
        <v>3173.14534</v>
      </c>
      <c r="T30" s="60">
        <f t="shared" si="22"/>
        <v>20.805391877978256</v>
      </c>
      <c r="U30" s="55">
        <f t="shared" ref="U30:W30" si="67">SUM(U31:U43)</f>
        <v>9634.5005499999988</v>
      </c>
      <c r="V30" s="18">
        <f t="shared" si="67"/>
        <v>0</v>
      </c>
      <c r="W30" s="56">
        <f t="shared" si="67"/>
        <v>9634.5005499999988</v>
      </c>
      <c r="X30" s="60">
        <f t="shared" si="24"/>
        <v>63.170620319379069</v>
      </c>
      <c r="Y30" s="55">
        <f t="shared" ref="Y30:AA30" si="68">SUM(Y31:Y43)</f>
        <v>14103.37521</v>
      </c>
      <c r="Z30" s="18">
        <f t="shared" si="68"/>
        <v>0</v>
      </c>
      <c r="AA30" s="56">
        <f t="shared" si="68"/>
        <v>14103.37521</v>
      </c>
      <c r="AB30" s="60">
        <f t="shared" si="26"/>
        <v>92.4717328095075</v>
      </c>
      <c r="AC30" s="432">
        <f>SUM(AC31:AC43)</f>
        <v>1148.1776499999999</v>
      </c>
      <c r="AD30" s="55">
        <f t="shared" ref="AD30:AF30" si="69">SUM(AD31:AD43)</f>
        <v>12565</v>
      </c>
      <c r="AE30" s="18">
        <f t="shared" si="69"/>
        <v>6700</v>
      </c>
      <c r="AF30" s="56">
        <f t="shared" si="69"/>
        <v>19265</v>
      </c>
      <c r="AG30" s="56">
        <f t="shared" si="63"/>
        <v>145.26466596290152</v>
      </c>
      <c r="AH30" s="18">
        <f t="shared" ref="AH30" si="70">SUM(AH31:AH43)</f>
        <v>26834</v>
      </c>
      <c r="AI30" s="395">
        <f t="shared" si="64"/>
        <v>2.0233750565525561</v>
      </c>
      <c r="AJ30" s="56"/>
      <c r="AK30" s="209">
        <f t="shared" ref="AK30" si="71">SUM(AK31:AK43)</f>
        <v>0</v>
      </c>
      <c r="AL30" s="472">
        <f>SUM(AL31:AL43)</f>
        <v>15251.55286</v>
      </c>
      <c r="AM30" s="342"/>
      <c r="AN30" s="76"/>
    </row>
    <row r="31" spans="1:41" ht="12" customHeight="1" x14ac:dyDescent="0.2">
      <c r="A31" s="142"/>
      <c r="B31" s="29">
        <v>3111</v>
      </c>
      <c r="C31" s="29">
        <v>301</v>
      </c>
      <c r="D31" s="220" t="s">
        <v>223</v>
      </c>
      <c r="E31" s="46">
        <v>1426</v>
      </c>
      <c r="F31" s="16"/>
      <c r="G31" s="57">
        <f t="shared" ref="G31:G43" si="72">E31+F31</f>
        <v>1426</v>
      </c>
      <c r="H31" s="205">
        <f>391.4496+45.04106</f>
        <v>436.49065999999999</v>
      </c>
      <c r="I31" s="200"/>
      <c r="J31" s="46">
        <f t="shared" ref="J31:J43" si="73">E31+H31</f>
        <v>1862.4906599999999</v>
      </c>
      <c r="K31" s="29"/>
      <c r="L31" s="57">
        <f t="shared" ref="L31:L43" si="74">SUM(J31:K31)</f>
        <v>1862.4906599999999</v>
      </c>
      <c r="M31" s="46">
        <v>356.5</v>
      </c>
      <c r="N31" s="16"/>
      <c r="O31" s="57">
        <f t="shared" ref="O31:O43" si="75">M31+N31</f>
        <v>356.5</v>
      </c>
      <c r="P31" s="57">
        <f t="shared" ref="P31:P36" si="76">O31/$L31*100</f>
        <v>19.141035585112682</v>
      </c>
      <c r="Q31" s="46">
        <v>713</v>
      </c>
      <c r="R31" s="16"/>
      <c r="S31" s="57">
        <f t="shared" ref="S31:S43" si="77">Q31+R31</f>
        <v>713</v>
      </c>
      <c r="T31" s="57">
        <f t="shared" si="22"/>
        <v>38.282071170225365</v>
      </c>
      <c r="U31" s="46">
        <f>1069.5+391.4496</f>
        <v>1460.9495999999999</v>
      </c>
      <c r="V31" s="16"/>
      <c r="W31" s="57">
        <f t="shared" ref="W31:W43" si="78">U31+V31</f>
        <v>1460.9495999999999</v>
      </c>
      <c r="X31" s="57">
        <f t="shared" si="24"/>
        <v>78.440640341251438</v>
      </c>
      <c r="Y31" s="46">
        <f>1426+391.4496+45.04106</f>
        <v>1862.4906599999999</v>
      </c>
      <c r="Z31" s="16"/>
      <c r="AA31" s="57">
        <f t="shared" ref="AA31:AA43" si="79">Y31+Z31</f>
        <v>1862.4906599999999</v>
      </c>
      <c r="AB31" s="57">
        <f t="shared" si="26"/>
        <v>100</v>
      </c>
      <c r="AC31" s="431">
        <f t="shared" ref="AC31:AC43" si="80">L31-AA31</f>
        <v>0</v>
      </c>
      <c r="AD31" s="46">
        <v>1463</v>
      </c>
      <c r="AE31" s="16"/>
      <c r="AF31" s="57">
        <f t="shared" ref="AF31:AF43" si="81">AD31+AE31</f>
        <v>1463</v>
      </c>
      <c r="AG31" s="57">
        <f t="shared" si="63"/>
        <v>102.59467040673212</v>
      </c>
      <c r="AH31" s="16">
        <v>1463</v>
      </c>
      <c r="AI31" s="392">
        <f t="shared" si="64"/>
        <v>1.0259467040673211</v>
      </c>
      <c r="AJ31" s="57"/>
      <c r="AK31" s="200"/>
      <c r="AL31" s="469">
        <f t="shared" ref="AL31:AL43" si="82">L31-AK31</f>
        <v>1862.4906599999999</v>
      </c>
      <c r="AM31" s="340" t="s">
        <v>214</v>
      </c>
      <c r="AN31" s="326" t="s">
        <v>71</v>
      </c>
    </row>
    <row r="32" spans="1:41" ht="12" customHeight="1" x14ac:dyDescent="0.2">
      <c r="A32" s="142"/>
      <c r="B32" s="29">
        <v>3111</v>
      </c>
      <c r="C32" s="29">
        <v>301</v>
      </c>
      <c r="D32" s="220" t="s">
        <v>270</v>
      </c>
      <c r="E32" s="46">
        <v>223</v>
      </c>
      <c r="F32" s="16"/>
      <c r="G32" s="57">
        <f t="shared" si="72"/>
        <v>223</v>
      </c>
      <c r="H32" s="199"/>
      <c r="I32" s="200"/>
      <c r="J32" s="46">
        <f t="shared" si="73"/>
        <v>223</v>
      </c>
      <c r="K32" s="29"/>
      <c r="L32" s="57">
        <f t="shared" si="74"/>
        <v>223</v>
      </c>
      <c r="M32" s="46"/>
      <c r="N32" s="16"/>
      <c r="O32" s="57">
        <f t="shared" si="75"/>
        <v>0</v>
      </c>
      <c r="P32" s="57">
        <f t="shared" si="76"/>
        <v>0</v>
      </c>
      <c r="Q32" s="46">
        <v>0</v>
      </c>
      <c r="R32" s="16"/>
      <c r="S32" s="57">
        <f t="shared" si="77"/>
        <v>0</v>
      </c>
      <c r="T32" s="57">
        <f t="shared" si="22"/>
        <v>0</v>
      </c>
      <c r="U32" s="46">
        <v>222.58099999999999</v>
      </c>
      <c r="V32" s="16"/>
      <c r="W32" s="57">
        <f t="shared" si="78"/>
        <v>222.58099999999999</v>
      </c>
      <c r="X32" s="57">
        <f t="shared" si="24"/>
        <v>99.812107623318383</v>
      </c>
      <c r="Y32" s="46">
        <v>222.58099999999999</v>
      </c>
      <c r="Z32" s="16"/>
      <c r="AA32" s="57">
        <f t="shared" si="79"/>
        <v>222.58099999999999</v>
      </c>
      <c r="AB32" s="57">
        <f t="shared" si="26"/>
        <v>99.812107623318383</v>
      </c>
      <c r="AC32" s="431">
        <f t="shared" si="80"/>
        <v>0.41900000000001114</v>
      </c>
      <c r="AD32" s="46">
        <v>223</v>
      </c>
      <c r="AE32" s="16"/>
      <c r="AF32" s="57">
        <f t="shared" si="81"/>
        <v>223</v>
      </c>
      <c r="AG32" s="57">
        <f t="shared" si="63"/>
        <v>100</v>
      </c>
      <c r="AH32" s="16"/>
      <c r="AI32" s="392">
        <f t="shared" si="64"/>
        <v>0</v>
      </c>
      <c r="AJ32" s="57"/>
      <c r="AK32" s="200"/>
      <c r="AL32" s="469">
        <f t="shared" si="82"/>
        <v>223</v>
      </c>
      <c r="AM32" s="340" t="s">
        <v>214</v>
      </c>
      <c r="AN32" s="326" t="s">
        <v>71</v>
      </c>
    </row>
    <row r="33" spans="1:40" x14ac:dyDescent="0.2">
      <c r="A33" s="142"/>
      <c r="B33" s="29">
        <v>3113</v>
      </c>
      <c r="C33" s="29">
        <v>300</v>
      </c>
      <c r="D33" s="220" t="s">
        <v>216</v>
      </c>
      <c r="E33" s="46">
        <f>5200+1000</f>
        <v>6200</v>
      </c>
      <c r="F33" s="16"/>
      <c r="G33" s="57">
        <f t="shared" si="72"/>
        <v>6200</v>
      </c>
      <c r="H33" s="199">
        <v>-1200</v>
      </c>
      <c r="I33" s="200"/>
      <c r="J33" s="46">
        <f t="shared" si="73"/>
        <v>5000</v>
      </c>
      <c r="K33" s="16"/>
      <c r="L33" s="57">
        <f t="shared" si="74"/>
        <v>5000</v>
      </c>
      <c r="M33" s="46">
        <v>5.8079999999999998</v>
      </c>
      <c r="N33" s="16"/>
      <c r="O33" s="57">
        <f t="shared" si="75"/>
        <v>5.8079999999999998</v>
      </c>
      <c r="P33" s="57">
        <f t="shared" si="76"/>
        <v>0.11616</v>
      </c>
      <c r="Q33" s="46">
        <v>22.501999999999999</v>
      </c>
      <c r="R33" s="16"/>
      <c r="S33" s="57">
        <f t="shared" si="77"/>
        <v>22.501999999999999</v>
      </c>
      <c r="T33" s="57">
        <f t="shared" si="22"/>
        <v>0.45004</v>
      </c>
      <c r="U33" s="46">
        <v>1659.9949999999999</v>
      </c>
      <c r="V33" s="16"/>
      <c r="W33" s="57">
        <f t="shared" si="78"/>
        <v>1659.9949999999999</v>
      </c>
      <c r="X33" s="57">
        <f t="shared" si="24"/>
        <v>33.1999</v>
      </c>
      <c r="Y33" s="46">
        <v>3972.1588000000002</v>
      </c>
      <c r="Z33" s="16"/>
      <c r="AA33" s="57">
        <f t="shared" si="79"/>
        <v>3972.1588000000002</v>
      </c>
      <c r="AB33" s="57">
        <f t="shared" si="26"/>
        <v>79.443176000000008</v>
      </c>
      <c r="AC33" s="431">
        <f t="shared" si="80"/>
        <v>1027.8411999999998</v>
      </c>
      <c r="AD33" s="46">
        <f>3000+1000</f>
        <v>4000</v>
      </c>
      <c r="AE33" s="16"/>
      <c r="AF33" s="57">
        <f t="shared" si="81"/>
        <v>4000</v>
      </c>
      <c r="AG33" s="57">
        <f t="shared" si="63"/>
        <v>64.516129032258064</v>
      </c>
      <c r="AH33" s="16">
        <v>4000</v>
      </c>
      <c r="AI33" s="392">
        <f t="shared" si="64"/>
        <v>0.64516129032258063</v>
      </c>
      <c r="AJ33" s="57" t="s">
        <v>463</v>
      </c>
      <c r="AK33" s="200"/>
      <c r="AL33" s="469">
        <f t="shared" si="82"/>
        <v>5000</v>
      </c>
      <c r="AM33" s="341" t="s">
        <v>168</v>
      </c>
      <c r="AN33" s="328" t="s">
        <v>121</v>
      </c>
    </row>
    <row r="34" spans="1:40" ht="12.75" customHeight="1" x14ac:dyDescent="0.2">
      <c r="A34" s="142"/>
      <c r="B34" s="29">
        <v>3113</v>
      </c>
      <c r="C34" s="29">
        <v>303</v>
      </c>
      <c r="D34" s="220" t="s">
        <v>224</v>
      </c>
      <c r="E34" s="46">
        <v>1513</v>
      </c>
      <c r="F34" s="16"/>
      <c r="G34" s="57">
        <f t="shared" si="72"/>
        <v>1513</v>
      </c>
      <c r="H34" s="205">
        <f>1200+230.52+577.9596</f>
        <v>2008.4796000000001</v>
      </c>
      <c r="I34" s="200"/>
      <c r="J34" s="46">
        <f t="shared" si="73"/>
        <v>3521.4796000000001</v>
      </c>
      <c r="K34" s="16"/>
      <c r="L34" s="57">
        <f t="shared" si="74"/>
        <v>3521.4796000000001</v>
      </c>
      <c r="M34" s="46">
        <v>378.25</v>
      </c>
      <c r="N34" s="16"/>
      <c r="O34" s="57">
        <f t="shared" si="75"/>
        <v>378.25</v>
      </c>
      <c r="P34" s="57">
        <f t="shared" si="76"/>
        <v>10.741223660645371</v>
      </c>
      <c r="Q34" s="46">
        <v>756.5</v>
      </c>
      <c r="R34" s="16"/>
      <c r="S34" s="57">
        <f t="shared" si="77"/>
        <v>756.5</v>
      </c>
      <c r="T34" s="57">
        <f t="shared" si="22"/>
        <v>21.482447321290742</v>
      </c>
      <c r="U34" s="46">
        <v>2507.64</v>
      </c>
      <c r="V34" s="16"/>
      <c r="W34" s="57">
        <f t="shared" si="78"/>
        <v>2507.64</v>
      </c>
      <c r="X34" s="57">
        <f t="shared" si="24"/>
        <v>71.209840318257122</v>
      </c>
      <c r="Y34" s="46">
        <f>1513+1200+230.52+577.9596</f>
        <v>3521.4796000000001</v>
      </c>
      <c r="Z34" s="16"/>
      <c r="AA34" s="57">
        <f t="shared" si="79"/>
        <v>3521.4796000000001</v>
      </c>
      <c r="AB34" s="57">
        <f t="shared" si="26"/>
        <v>100</v>
      </c>
      <c r="AC34" s="431">
        <f t="shared" si="80"/>
        <v>0</v>
      </c>
      <c r="AD34" s="46">
        <v>2331</v>
      </c>
      <c r="AE34" s="16"/>
      <c r="AF34" s="57">
        <f t="shared" si="81"/>
        <v>2331</v>
      </c>
      <c r="AG34" s="57">
        <f t="shared" si="63"/>
        <v>154.0647719762062</v>
      </c>
      <c r="AH34" s="46">
        <f>1771+548</f>
        <v>2319</v>
      </c>
      <c r="AI34" s="392">
        <f t="shared" si="64"/>
        <v>1.5327164573694647</v>
      </c>
      <c r="AJ34" s="57" t="s">
        <v>462</v>
      </c>
      <c r="AK34" s="200"/>
      <c r="AL34" s="469">
        <f t="shared" si="82"/>
        <v>3521.4796000000001</v>
      </c>
      <c r="AM34" s="340" t="s">
        <v>214</v>
      </c>
      <c r="AN34" s="326" t="s">
        <v>71</v>
      </c>
    </row>
    <row r="35" spans="1:40" x14ac:dyDescent="0.2">
      <c r="A35" s="142"/>
      <c r="B35" s="29">
        <v>3113</v>
      </c>
      <c r="C35" s="29">
        <v>303.30399999999997</v>
      </c>
      <c r="D35" s="220" t="s">
        <v>271</v>
      </c>
      <c r="E35" s="46">
        <f>338+363</f>
        <v>701</v>
      </c>
      <c r="F35" s="16"/>
      <c r="G35" s="57">
        <f t="shared" si="72"/>
        <v>701</v>
      </c>
      <c r="H35" s="199">
        <v>74</v>
      </c>
      <c r="I35" s="200"/>
      <c r="J35" s="46">
        <f t="shared" si="73"/>
        <v>775</v>
      </c>
      <c r="K35" s="29"/>
      <c r="L35" s="57">
        <f t="shared" si="74"/>
        <v>775</v>
      </c>
      <c r="M35" s="46"/>
      <c r="N35" s="16"/>
      <c r="O35" s="57">
        <f t="shared" si="75"/>
        <v>0</v>
      </c>
      <c r="P35" s="57">
        <f t="shared" si="76"/>
        <v>0</v>
      </c>
      <c r="Q35" s="46">
        <v>0</v>
      </c>
      <c r="R35" s="16"/>
      <c r="S35" s="57">
        <f t="shared" si="77"/>
        <v>0</v>
      </c>
      <c r="T35" s="57">
        <f t="shared" si="22"/>
        <v>0</v>
      </c>
      <c r="U35" s="46">
        <f>412.119+362.754</f>
        <v>774.87300000000005</v>
      </c>
      <c r="V35" s="16"/>
      <c r="W35" s="57">
        <f t="shared" si="78"/>
        <v>774.87300000000005</v>
      </c>
      <c r="X35" s="57">
        <f t="shared" si="24"/>
        <v>99.983612903225819</v>
      </c>
      <c r="Y35" s="46">
        <f>412.119+362.754</f>
        <v>774.87300000000005</v>
      </c>
      <c r="Z35" s="16"/>
      <c r="AA35" s="57">
        <f t="shared" si="79"/>
        <v>774.87300000000005</v>
      </c>
      <c r="AB35" s="57">
        <f t="shared" si="26"/>
        <v>99.983612903225819</v>
      </c>
      <c r="AC35" s="431">
        <f t="shared" si="80"/>
        <v>0.12699999999995271</v>
      </c>
      <c r="AD35" s="46">
        <f>636+363</f>
        <v>999</v>
      </c>
      <c r="AE35" s="16"/>
      <c r="AF35" s="57">
        <f t="shared" si="81"/>
        <v>999</v>
      </c>
      <c r="AG35" s="57">
        <f t="shared" si="63"/>
        <v>142.51069900142653</v>
      </c>
      <c r="AH35" s="16"/>
      <c r="AI35" s="392">
        <f t="shared" si="64"/>
        <v>0</v>
      </c>
      <c r="AJ35" s="57"/>
      <c r="AK35" s="200"/>
      <c r="AL35" s="469">
        <f t="shared" si="82"/>
        <v>775</v>
      </c>
      <c r="AM35" s="340" t="s">
        <v>214</v>
      </c>
      <c r="AN35" s="326" t="s">
        <v>71</v>
      </c>
    </row>
    <row r="36" spans="1:40" x14ac:dyDescent="0.2">
      <c r="A36" s="142"/>
      <c r="B36" s="29">
        <v>3113</v>
      </c>
      <c r="C36" s="29">
        <v>304</v>
      </c>
      <c r="D36" s="220" t="s">
        <v>225</v>
      </c>
      <c r="E36" s="46">
        <v>1335</v>
      </c>
      <c r="F36" s="16"/>
      <c r="G36" s="57">
        <f t="shared" si="72"/>
        <v>1335</v>
      </c>
      <c r="H36" s="205">
        <f>10+110.16+507.5226</f>
        <v>627.68259999999998</v>
      </c>
      <c r="I36" s="200"/>
      <c r="J36" s="46">
        <f t="shared" si="73"/>
        <v>1962.6826000000001</v>
      </c>
      <c r="K36" s="29"/>
      <c r="L36" s="57">
        <f t="shared" si="74"/>
        <v>1962.6826000000001</v>
      </c>
      <c r="M36" s="46">
        <v>333.75</v>
      </c>
      <c r="N36" s="16"/>
      <c r="O36" s="57">
        <f t="shared" si="75"/>
        <v>333.75</v>
      </c>
      <c r="P36" s="57">
        <f t="shared" si="76"/>
        <v>17.004787223364591</v>
      </c>
      <c r="Q36" s="46">
        <f>667.5+10</f>
        <v>677.5</v>
      </c>
      <c r="R36" s="16"/>
      <c r="S36" s="57">
        <f t="shared" si="77"/>
        <v>677.5</v>
      </c>
      <c r="T36" s="57">
        <f t="shared" si="22"/>
        <v>34.519081180013515</v>
      </c>
      <c r="U36" s="46">
        <f>10+1083.87+507.5226</f>
        <v>1601.3925999999999</v>
      </c>
      <c r="V36" s="16"/>
      <c r="W36" s="57">
        <f t="shared" si="78"/>
        <v>1601.3925999999999</v>
      </c>
      <c r="X36" s="57">
        <f t="shared" si="24"/>
        <v>81.592031233170346</v>
      </c>
      <c r="Y36" s="46">
        <f>1335+10+110.16+507.5226</f>
        <v>1962.6826000000001</v>
      </c>
      <c r="Z36" s="16"/>
      <c r="AA36" s="57">
        <f t="shared" si="79"/>
        <v>1962.6826000000001</v>
      </c>
      <c r="AB36" s="57">
        <f t="shared" si="26"/>
        <v>100</v>
      </c>
      <c r="AC36" s="431">
        <f t="shared" si="80"/>
        <v>0</v>
      </c>
      <c r="AD36" s="46">
        <v>1561</v>
      </c>
      <c r="AE36" s="16">
        <v>1100</v>
      </c>
      <c r="AF36" s="57">
        <f t="shared" si="81"/>
        <v>2661</v>
      </c>
      <c r="AG36" s="57">
        <f t="shared" ref="AG36:AG52" si="83">AF36/$G36*100</f>
        <v>199.32584269662919</v>
      </c>
      <c r="AH36" s="16">
        <v>1561</v>
      </c>
      <c r="AI36" s="392">
        <f t="shared" si="64"/>
        <v>1.1692883895131085</v>
      </c>
      <c r="AJ36" s="57" t="s">
        <v>493</v>
      </c>
      <c r="AK36" s="200"/>
      <c r="AL36" s="469">
        <f t="shared" si="82"/>
        <v>1962.6826000000001</v>
      </c>
      <c r="AM36" s="340" t="s">
        <v>214</v>
      </c>
      <c r="AN36" s="326" t="s">
        <v>71</v>
      </c>
    </row>
    <row r="37" spans="1:40" x14ac:dyDescent="0.2">
      <c r="A37" s="142"/>
      <c r="B37" s="29">
        <v>3113</v>
      </c>
      <c r="C37" s="29">
        <v>4169</v>
      </c>
      <c r="D37" s="530" t="s">
        <v>465</v>
      </c>
      <c r="E37" s="46"/>
      <c r="F37" s="16"/>
      <c r="G37" s="57"/>
      <c r="H37" s="205"/>
      <c r="I37" s="200"/>
      <c r="J37" s="46"/>
      <c r="K37" s="29"/>
      <c r="L37" s="57"/>
      <c r="M37" s="46"/>
      <c r="N37" s="16"/>
      <c r="O37" s="57"/>
      <c r="P37" s="57"/>
      <c r="Q37" s="46"/>
      <c r="R37" s="16"/>
      <c r="S37" s="57"/>
      <c r="T37" s="57"/>
      <c r="U37" s="46"/>
      <c r="V37" s="16"/>
      <c r="W37" s="57"/>
      <c r="X37" s="57"/>
      <c r="Y37" s="46"/>
      <c r="Z37" s="16"/>
      <c r="AA37" s="57"/>
      <c r="AB37" s="57"/>
      <c r="AC37" s="431">
        <f t="shared" si="80"/>
        <v>0</v>
      </c>
      <c r="AD37" s="46"/>
      <c r="AE37" s="16">
        <v>100</v>
      </c>
      <c r="AF37" s="57">
        <f t="shared" si="81"/>
        <v>100</v>
      </c>
      <c r="AG37" s="57"/>
      <c r="AH37" s="527">
        <v>10000</v>
      </c>
      <c r="AI37" s="392"/>
      <c r="AJ37" s="57"/>
      <c r="AK37" s="200"/>
      <c r="AL37" s="469"/>
      <c r="AM37" s="341" t="s">
        <v>345</v>
      </c>
      <c r="AN37" s="328" t="s">
        <v>121</v>
      </c>
    </row>
    <row r="38" spans="1:40" x14ac:dyDescent="0.2">
      <c r="A38" s="142"/>
      <c r="B38" s="29">
        <v>3114</v>
      </c>
      <c r="C38" s="29">
        <v>311</v>
      </c>
      <c r="D38" s="220" t="s">
        <v>263</v>
      </c>
      <c r="E38" s="46">
        <f>69+7</f>
        <v>76</v>
      </c>
      <c r="F38" s="16"/>
      <c r="G38" s="57">
        <f t="shared" si="72"/>
        <v>76</v>
      </c>
      <c r="H38" s="199">
        <v>42.9</v>
      </c>
      <c r="I38" s="200"/>
      <c r="J38" s="46">
        <f t="shared" si="73"/>
        <v>118.9</v>
      </c>
      <c r="K38" s="29"/>
      <c r="L38" s="57">
        <f t="shared" si="74"/>
        <v>118.9</v>
      </c>
      <c r="M38" s="46">
        <v>19</v>
      </c>
      <c r="N38" s="16"/>
      <c r="O38" s="57">
        <f t="shared" si="75"/>
        <v>19</v>
      </c>
      <c r="P38" s="57">
        <f t="shared" ref="P38:P53" si="84">O38/$L38*100</f>
        <v>15.979814970563497</v>
      </c>
      <c r="Q38" s="46">
        <v>38</v>
      </c>
      <c r="R38" s="16"/>
      <c r="S38" s="57">
        <f t="shared" si="77"/>
        <v>38</v>
      </c>
      <c r="T38" s="57">
        <f t="shared" si="22"/>
        <v>31.959629941126995</v>
      </c>
      <c r="U38" s="46">
        <v>57</v>
      </c>
      <c r="V38" s="16"/>
      <c r="W38" s="57">
        <f t="shared" si="78"/>
        <v>57</v>
      </c>
      <c r="X38" s="57">
        <f t="shared" si="24"/>
        <v>47.939444911690494</v>
      </c>
      <c r="Y38" s="46">
        <f>76+42.9</f>
        <v>118.9</v>
      </c>
      <c r="Z38" s="16"/>
      <c r="AA38" s="57">
        <f t="shared" si="79"/>
        <v>118.9</v>
      </c>
      <c r="AB38" s="57">
        <f t="shared" si="26"/>
        <v>100</v>
      </c>
      <c r="AC38" s="431">
        <f t="shared" si="80"/>
        <v>0</v>
      </c>
      <c r="AD38" s="46">
        <v>140</v>
      </c>
      <c r="AE38" s="16"/>
      <c r="AF38" s="57">
        <f t="shared" si="81"/>
        <v>140</v>
      </c>
      <c r="AG38" s="57">
        <f t="shared" si="83"/>
        <v>184.21052631578948</v>
      </c>
      <c r="AH38" s="16">
        <v>145</v>
      </c>
      <c r="AI38" s="392">
        <f t="shared" si="64"/>
        <v>1.9078947368421053</v>
      </c>
      <c r="AJ38" s="57"/>
      <c r="AK38" s="200"/>
      <c r="AL38" s="469">
        <f t="shared" si="82"/>
        <v>118.9</v>
      </c>
      <c r="AM38" s="340" t="s">
        <v>214</v>
      </c>
      <c r="AN38" s="326" t="s">
        <v>71</v>
      </c>
    </row>
    <row r="39" spans="1:40" x14ac:dyDescent="0.2">
      <c r="A39" s="142"/>
      <c r="B39" s="29">
        <v>3119</v>
      </c>
      <c r="C39" s="29">
        <v>1112</v>
      </c>
      <c r="D39" s="220" t="s">
        <v>284</v>
      </c>
      <c r="E39" s="46">
        <v>100</v>
      </c>
      <c r="F39" s="16"/>
      <c r="G39" s="57">
        <f t="shared" si="72"/>
        <v>100</v>
      </c>
      <c r="H39" s="199"/>
      <c r="I39" s="200"/>
      <c r="J39" s="46">
        <f t="shared" si="73"/>
        <v>100</v>
      </c>
      <c r="K39" s="29"/>
      <c r="L39" s="57">
        <f>SUM(J39:K39)</f>
        <v>100</v>
      </c>
      <c r="M39" s="46">
        <v>50</v>
      </c>
      <c r="N39" s="16"/>
      <c r="O39" s="57">
        <f t="shared" si="75"/>
        <v>50</v>
      </c>
      <c r="P39" s="57">
        <f t="shared" si="84"/>
        <v>50</v>
      </c>
      <c r="Q39" s="46">
        <v>50</v>
      </c>
      <c r="R39" s="16"/>
      <c r="S39" s="57">
        <f t="shared" si="77"/>
        <v>50</v>
      </c>
      <c r="T39" s="57">
        <f t="shared" si="22"/>
        <v>50</v>
      </c>
      <c r="U39" s="46">
        <v>100</v>
      </c>
      <c r="V39" s="16"/>
      <c r="W39" s="57">
        <f t="shared" si="78"/>
        <v>100</v>
      </c>
      <c r="X39" s="57">
        <f t="shared" si="24"/>
        <v>100</v>
      </c>
      <c r="Y39" s="46">
        <v>100</v>
      </c>
      <c r="Z39" s="16"/>
      <c r="AA39" s="57">
        <f t="shared" si="79"/>
        <v>100</v>
      </c>
      <c r="AB39" s="57">
        <f t="shared" si="26"/>
        <v>100</v>
      </c>
      <c r="AC39" s="431">
        <f t="shared" si="80"/>
        <v>0</v>
      </c>
      <c r="AD39" s="46">
        <v>160</v>
      </c>
      <c r="AE39" s="16"/>
      <c r="AF39" s="57">
        <f t="shared" si="81"/>
        <v>160</v>
      </c>
      <c r="AG39" s="57">
        <f t="shared" si="83"/>
        <v>160</v>
      </c>
      <c r="AH39" s="16">
        <v>160</v>
      </c>
      <c r="AI39" s="392">
        <f t="shared" si="64"/>
        <v>1.6</v>
      </c>
      <c r="AJ39" s="57" t="s">
        <v>329</v>
      </c>
      <c r="AK39" s="200"/>
      <c r="AL39" s="469">
        <f t="shared" si="82"/>
        <v>100</v>
      </c>
      <c r="AM39" s="340" t="s">
        <v>214</v>
      </c>
      <c r="AN39" s="326" t="s">
        <v>71</v>
      </c>
    </row>
    <row r="40" spans="1:40" x14ac:dyDescent="0.2">
      <c r="A40" s="142"/>
      <c r="B40" s="29">
        <v>3141</v>
      </c>
      <c r="C40" s="29">
        <v>309</v>
      </c>
      <c r="D40" s="220" t="s">
        <v>293</v>
      </c>
      <c r="E40" s="46">
        <v>1480</v>
      </c>
      <c r="F40" s="16"/>
      <c r="G40" s="57">
        <f t="shared" si="72"/>
        <v>1480</v>
      </c>
      <c r="H40" s="199"/>
      <c r="I40" s="200"/>
      <c r="J40" s="46">
        <f t="shared" si="73"/>
        <v>1480</v>
      </c>
      <c r="K40" s="29">
        <f>F40+I40</f>
        <v>0</v>
      </c>
      <c r="L40" s="57">
        <f t="shared" si="74"/>
        <v>1480</v>
      </c>
      <c r="M40" s="46">
        <v>667.39612</v>
      </c>
      <c r="N40" s="16"/>
      <c r="O40" s="57">
        <f t="shared" si="75"/>
        <v>667.39612</v>
      </c>
      <c r="P40" s="57">
        <f t="shared" si="84"/>
        <v>45.094332432432431</v>
      </c>
      <c r="Q40" s="46">
        <v>812.64333999999997</v>
      </c>
      <c r="R40" s="16"/>
      <c r="S40" s="57">
        <f t="shared" si="77"/>
        <v>812.64333999999997</v>
      </c>
      <c r="T40" s="57">
        <f t="shared" si="22"/>
        <v>54.908333783783782</v>
      </c>
      <c r="U40" s="46">
        <v>1093.08735</v>
      </c>
      <c r="V40" s="16"/>
      <c r="W40" s="57">
        <f t="shared" si="78"/>
        <v>1093.08735</v>
      </c>
      <c r="X40" s="57">
        <f t="shared" si="24"/>
        <v>73.857253378378388</v>
      </c>
      <c r="Y40" s="46">
        <v>1359.7275500000001</v>
      </c>
      <c r="Z40" s="16"/>
      <c r="AA40" s="57">
        <f t="shared" si="79"/>
        <v>1359.7275500000001</v>
      </c>
      <c r="AB40" s="57">
        <f t="shared" si="26"/>
        <v>91.873483108108118</v>
      </c>
      <c r="AC40" s="431">
        <f t="shared" si="80"/>
        <v>120.27244999999994</v>
      </c>
      <c r="AD40" s="46">
        <v>1480</v>
      </c>
      <c r="AE40" s="16"/>
      <c r="AF40" s="57">
        <f t="shared" si="81"/>
        <v>1480</v>
      </c>
      <c r="AG40" s="57">
        <f t="shared" si="83"/>
        <v>100</v>
      </c>
      <c r="AH40" s="16">
        <v>1480</v>
      </c>
      <c r="AI40" s="392">
        <f t="shared" si="64"/>
        <v>1</v>
      </c>
      <c r="AJ40" s="57"/>
      <c r="AK40" s="200"/>
      <c r="AL40" s="469">
        <f t="shared" si="82"/>
        <v>1480</v>
      </c>
      <c r="AM40" s="340" t="s">
        <v>214</v>
      </c>
      <c r="AN40" s="332" t="s">
        <v>333</v>
      </c>
    </row>
    <row r="41" spans="1:40" x14ac:dyDescent="0.2">
      <c r="A41" s="142"/>
      <c r="B41" s="29">
        <v>3231</v>
      </c>
      <c r="C41" s="29">
        <v>310</v>
      </c>
      <c r="D41" s="220" t="s">
        <v>456</v>
      </c>
      <c r="E41" s="46">
        <v>206</v>
      </c>
      <c r="F41" s="16"/>
      <c r="G41" s="57">
        <f t="shared" si="72"/>
        <v>206</v>
      </c>
      <c r="H41" s="199"/>
      <c r="I41" s="200"/>
      <c r="J41" s="46">
        <f t="shared" si="73"/>
        <v>206</v>
      </c>
      <c r="K41" s="29"/>
      <c r="L41" s="57">
        <f t="shared" si="74"/>
        <v>206</v>
      </c>
      <c r="M41" s="46">
        <v>51.5</v>
      </c>
      <c r="N41" s="16"/>
      <c r="O41" s="57">
        <f t="shared" si="75"/>
        <v>51.5</v>
      </c>
      <c r="P41" s="57">
        <f t="shared" si="84"/>
        <v>25</v>
      </c>
      <c r="Q41" s="46">
        <v>103</v>
      </c>
      <c r="R41" s="16"/>
      <c r="S41" s="57">
        <f t="shared" si="77"/>
        <v>103</v>
      </c>
      <c r="T41" s="57">
        <f t="shared" si="22"/>
        <v>50</v>
      </c>
      <c r="U41" s="46">
        <v>154.5</v>
      </c>
      <c r="V41" s="16"/>
      <c r="W41" s="57">
        <f t="shared" si="78"/>
        <v>154.5</v>
      </c>
      <c r="X41" s="57">
        <f t="shared" si="24"/>
        <v>75</v>
      </c>
      <c r="Y41" s="46">
        <v>206</v>
      </c>
      <c r="Z41" s="16"/>
      <c r="AA41" s="57">
        <f t="shared" si="79"/>
        <v>206</v>
      </c>
      <c r="AB41" s="57">
        <f t="shared" si="26"/>
        <v>100</v>
      </c>
      <c r="AC41" s="431">
        <f t="shared" si="80"/>
        <v>0</v>
      </c>
      <c r="AD41" s="46">
        <v>206</v>
      </c>
      <c r="AE41" s="16"/>
      <c r="AF41" s="57">
        <f t="shared" si="81"/>
        <v>206</v>
      </c>
      <c r="AG41" s="57">
        <f t="shared" si="83"/>
        <v>100</v>
      </c>
      <c r="AH41" s="16">
        <f>AF41</f>
        <v>206</v>
      </c>
      <c r="AI41" s="392">
        <f t="shared" si="64"/>
        <v>1</v>
      </c>
      <c r="AJ41" s="57"/>
      <c r="AK41" s="200"/>
      <c r="AL41" s="469">
        <f t="shared" si="82"/>
        <v>206</v>
      </c>
      <c r="AM41" s="340" t="s">
        <v>214</v>
      </c>
      <c r="AN41" s="326" t="s">
        <v>71</v>
      </c>
    </row>
    <row r="42" spans="1:40" x14ac:dyDescent="0.2">
      <c r="A42" s="142"/>
      <c r="B42" s="29">
        <v>3231</v>
      </c>
      <c r="C42" s="29">
        <v>310</v>
      </c>
      <c r="D42" s="220" t="s">
        <v>471</v>
      </c>
      <c r="E42" s="46"/>
      <c r="F42" s="16"/>
      <c r="G42" s="57"/>
      <c r="H42" s="199"/>
      <c r="I42" s="200"/>
      <c r="J42" s="46"/>
      <c r="K42" s="29"/>
      <c r="L42" s="57"/>
      <c r="M42" s="46"/>
      <c r="N42" s="16"/>
      <c r="O42" s="57"/>
      <c r="P42" s="57"/>
      <c r="Q42" s="46"/>
      <c r="R42" s="16"/>
      <c r="S42" s="57"/>
      <c r="T42" s="57"/>
      <c r="U42" s="46"/>
      <c r="V42" s="16"/>
      <c r="W42" s="57"/>
      <c r="X42" s="57"/>
      <c r="Y42" s="46"/>
      <c r="Z42" s="16"/>
      <c r="AA42" s="57"/>
      <c r="AB42" s="57"/>
      <c r="AC42" s="431">
        <f t="shared" si="80"/>
        <v>0</v>
      </c>
      <c r="AD42" s="46"/>
      <c r="AE42" s="16">
        <v>5500</v>
      </c>
      <c r="AF42" s="57">
        <f t="shared" si="81"/>
        <v>5500</v>
      </c>
      <c r="AG42" s="57"/>
      <c r="AH42" s="16">
        <v>5500</v>
      </c>
      <c r="AI42" s="392"/>
      <c r="AJ42" s="57" t="s">
        <v>580</v>
      </c>
      <c r="AK42" s="200"/>
      <c r="AL42" s="469"/>
      <c r="AM42" s="341" t="s">
        <v>168</v>
      </c>
      <c r="AN42" s="328" t="s">
        <v>121</v>
      </c>
    </row>
    <row r="43" spans="1:40" x14ac:dyDescent="0.2">
      <c r="A43" s="144"/>
      <c r="B43" s="35">
        <v>3231</v>
      </c>
      <c r="C43" s="35">
        <v>310</v>
      </c>
      <c r="D43" s="460" t="s">
        <v>272</v>
      </c>
      <c r="E43" s="61">
        <v>2</v>
      </c>
      <c r="F43" s="64"/>
      <c r="G43" s="63">
        <f t="shared" si="72"/>
        <v>2</v>
      </c>
      <c r="H43" s="210"/>
      <c r="I43" s="207"/>
      <c r="J43" s="61">
        <f t="shared" si="73"/>
        <v>2</v>
      </c>
      <c r="K43" s="35"/>
      <c r="L43" s="63">
        <f t="shared" si="74"/>
        <v>2</v>
      </c>
      <c r="M43" s="61"/>
      <c r="N43" s="64"/>
      <c r="O43" s="63">
        <f t="shared" si="75"/>
        <v>0</v>
      </c>
      <c r="P43" s="63">
        <f t="shared" si="84"/>
        <v>0</v>
      </c>
      <c r="Q43" s="61">
        <v>0</v>
      </c>
      <c r="R43" s="64"/>
      <c r="S43" s="63">
        <f t="shared" si="77"/>
        <v>0</v>
      </c>
      <c r="T43" s="63">
        <f t="shared" si="22"/>
        <v>0</v>
      </c>
      <c r="U43" s="61">
        <v>2.4820000000000002</v>
      </c>
      <c r="V43" s="64"/>
      <c r="W43" s="63">
        <f t="shared" si="78"/>
        <v>2.4820000000000002</v>
      </c>
      <c r="X43" s="63">
        <f t="shared" si="24"/>
        <v>124.10000000000001</v>
      </c>
      <c r="Y43" s="61">
        <v>2.4820000000000002</v>
      </c>
      <c r="Z43" s="64"/>
      <c r="AA43" s="63">
        <f t="shared" si="79"/>
        <v>2.4820000000000002</v>
      </c>
      <c r="AB43" s="63">
        <f t="shared" si="26"/>
        <v>124.10000000000001</v>
      </c>
      <c r="AC43" s="431">
        <f t="shared" si="80"/>
        <v>-0.48200000000000021</v>
      </c>
      <c r="AD43" s="61">
        <v>2</v>
      </c>
      <c r="AE43" s="64"/>
      <c r="AF43" s="63">
        <f t="shared" si="81"/>
        <v>2</v>
      </c>
      <c r="AG43" s="63">
        <f t="shared" si="83"/>
        <v>100</v>
      </c>
      <c r="AH43" s="64"/>
      <c r="AI43" s="394">
        <f t="shared" si="64"/>
        <v>0</v>
      </c>
      <c r="AJ43" s="63"/>
      <c r="AK43" s="207"/>
      <c r="AL43" s="471">
        <f t="shared" si="82"/>
        <v>2</v>
      </c>
      <c r="AM43" s="478" t="s">
        <v>214</v>
      </c>
      <c r="AN43" s="331" t="s">
        <v>71</v>
      </c>
    </row>
    <row r="44" spans="1:40" x14ac:dyDescent="0.2">
      <c r="A44" s="92">
        <v>33</v>
      </c>
      <c r="B44" s="32">
        <v>3300</v>
      </c>
      <c r="C44" s="32"/>
      <c r="D44" s="451" t="s">
        <v>73</v>
      </c>
      <c r="E44" s="55">
        <f t="shared" ref="E44:O44" si="85">SUM(E45:E56)</f>
        <v>8849</v>
      </c>
      <c r="F44" s="18">
        <f t="shared" si="85"/>
        <v>0</v>
      </c>
      <c r="G44" s="56">
        <f t="shared" si="85"/>
        <v>8849</v>
      </c>
      <c r="H44" s="208">
        <f t="shared" si="85"/>
        <v>764.96399999999994</v>
      </c>
      <c r="I44" s="209">
        <f t="shared" si="85"/>
        <v>0</v>
      </c>
      <c r="J44" s="55">
        <f t="shared" si="85"/>
        <v>9613.9639999999999</v>
      </c>
      <c r="K44" s="18">
        <f t="shared" si="85"/>
        <v>0</v>
      </c>
      <c r="L44" s="56">
        <f t="shared" si="85"/>
        <v>9613.9639999999999</v>
      </c>
      <c r="M44" s="55">
        <f t="shared" si="85"/>
        <v>1511.5994699999999</v>
      </c>
      <c r="N44" s="18">
        <f t="shared" si="85"/>
        <v>0</v>
      </c>
      <c r="O44" s="56">
        <f t="shared" si="85"/>
        <v>1511.5994699999999</v>
      </c>
      <c r="P44" s="56">
        <f t="shared" si="84"/>
        <v>15.722957460627063</v>
      </c>
      <c r="Q44" s="55">
        <f>SUM(Q45:Q56)</f>
        <v>2860.4553299999998</v>
      </c>
      <c r="R44" s="18">
        <f>SUM(R45:R56)</f>
        <v>0</v>
      </c>
      <c r="S44" s="56">
        <f>SUM(S45:S56)</f>
        <v>2860.4553299999998</v>
      </c>
      <c r="T44" s="56">
        <f t="shared" si="22"/>
        <v>29.753131278627627</v>
      </c>
      <c r="U44" s="55">
        <f>SUM(U45:U56)</f>
        <v>5696.7135400000006</v>
      </c>
      <c r="V44" s="18">
        <f>SUM(V45:V56)</f>
        <v>0</v>
      </c>
      <c r="W44" s="56">
        <f>SUM(W45:W56)</f>
        <v>5696.7135400000006</v>
      </c>
      <c r="X44" s="56">
        <f t="shared" si="24"/>
        <v>59.254575323976674</v>
      </c>
      <c r="Y44" s="55">
        <f>SUM(Y45:Y56)</f>
        <v>8186.9111599999997</v>
      </c>
      <c r="Z44" s="18">
        <f>SUM(Z45:Z56)</f>
        <v>0</v>
      </c>
      <c r="AA44" s="56">
        <f>SUM(AA45:AA56)</f>
        <v>8186.9111599999997</v>
      </c>
      <c r="AB44" s="56">
        <f t="shared" si="26"/>
        <v>85.156457419645008</v>
      </c>
      <c r="AC44" s="432">
        <f>SUM(AC45:AC56)</f>
        <v>1427.0528400000003</v>
      </c>
      <c r="AD44" s="55">
        <f>SUM(AD45:AD56)</f>
        <v>15176</v>
      </c>
      <c r="AE44" s="18">
        <f>SUM(AE45:AE56)</f>
        <v>4400</v>
      </c>
      <c r="AF44" s="56">
        <f>SUM(AF45:AF56)</f>
        <v>19576</v>
      </c>
      <c r="AG44" s="56">
        <f t="shared" si="83"/>
        <v>221.22273703243303</v>
      </c>
      <c r="AH44" s="18">
        <f>SUM(AH45:AH56)</f>
        <v>17927</v>
      </c>
      <c r="AI44" s="395">
        <f t="shared" si="64"/>
        <v>2.0258786303537124</v>
      </c>
      <c r="AJ44" s="56"/>
      <c r="AK44" s="209">
        <f>SUM(AK45:AK56)</f>
        <v>0</v>
      </c>
      <c r="AL44" s="472">
        <f>SUM(AL45:AL56)</f>
        <v>8833.9639999999999</v>
      </c>
      <c r="AM44" s="342"/>
      <c r="AN44" s="76"/>
    </row>
    <row r="45" spans="1:40" x14ac:dyDescent="0.2">
      <c r="A45" s="142"/>
      <c r="B45" s="29">
        <v>3314</v>
      </c>
      <c r="C45" s="29">
        <v>504</v>
      </c>
      <c r="D45" s="220" t="s">
        <v>120</v>
      </c>
      <c r="E45" s="46">
        <f>222+999</f>
        <v>1221</v>
      </c>
      <c r="F45" s="16"/>
      <c r="G45" s="57">
        <f t="shared" ref="G45:G56" si="86">E45+F45</f>
        <v>1221</v>
      </c>
      <c r="H45" s="199"/>
      <c r="I45" s="200"/>
      <c r="J45" s="46">
        <f t="shared" ref="J45:J56" si="87">E45+H45</f>
        <v>1221</v>
      </c>
      <c r="K45" s="16"/>
      <c r="L45" s="57">
        <f t="shared" ref="L45:L56" si="88">SUM(J45:K45)</f>
        <v>1221</v>
      </c>
      <c r="M45" s="46">
        <f>179.79647+69.203</f>
        <v>248.99947</v>
      </c>
      <c r="N45" s="16"/>
      <c r="O45" s="57">
        <f t="shared" ref="O45:O56" si="89">M45+N45</f>
        <v>248.99947</v>
      </c>
      <c r="P45" s="57">
        <f t="shared" si="84"/>
        <v>20.393076986076984</v>
      </c>
      <c r="Q45" s="46">
        <f>403.76103+75.359</f>
        <v>479.12002999999999</v>
      </c>
      <c r="R45" s="16"/>
      <c r="S45" s="57">
        <f t="shared" ref="S45:S56" si="90">Q45+R45</f>
        <v>479.12002999999999</v>
      </c>
      <c r="T45" s="57">
        <f t="shared" si="22"/>
        <v>39.239969696969695</v>
      </c>
      <c r="U45" s="46">
        <f>669.08038+79.358</f>
        <v>748.43838000000005</v>
      </c>
      <c r="V45" s="16"/>
      <c r="W45" s="57">
        <f t="shared" ref="W45:W56" si="91">U45+V45</f>
        <v>748.43838000000005</v>
      </c>
      <c r="X45" s="57">
        <f t="shared" si="24"/>
        <v>61.297164619164626</v>
      </c>
      <c r="Y45" s="46">
        <v>1208.2650000000001</v>
      </c>
      <c r="Z45" s="16"/>
      <c r="AA45" s="57">
        <f t="shared" ref="AA45:AA56" si="92">Y45+Z45</f>
        <v>1208.2650000000001</v>
      </c>
      <c r="AB45" s="57">
        <f t="shared" si="26"/>
        <v>98.95700245700246</v>
      </c>
      <c r="AC45" s="431">
        <f t="shared" ref="AC45:AC56" si="93">L45-AA45</f>
        <v>12.7349999999999</v>
      </c>
      <c r="AD45" s="46">
        <f>205+1205+1000</f>
        <v>2410</v>
      </c>
      <c r="AE45" s="16"/>
      <c r="AF45" s="57">
        <f t="shared" ref="AF45:AF56" si="94">AD45+AE45</f>
        <v>2410</v>
      </c>
      <c r="AG45" s="57">
        <f t="shared" si="83"/>
        <v>197.37919737919739</v>
      </c>
      <c r="AH45" s="490">
        <f>205+1205</f>
        <v>1410</v>
      </c>
      <c r="AI45" s="392">
        <f t="shared" si="64"/>
        <v>1.1547911547911547</v>
      </c>
      <c r="AJ45" s="57" t="s">
        <v>494</v>
      </c>
      <c r="AK45" s="200"/>
      <c r="AL45" s="469">
        <f>L45-AK45</f>
        <v>1221</v>
      </c>
      <c r="AM45" s="62" t="s">
        <v>298</v>
      </c>
      <c r="AN45" s="57" t="s">
        <v>133</v>
      </c>
    </row>
    <row r="46" spans="1:40" x14ac:dyDescent="0.2">
      <c r="A46" s="142"/>
      <c r="B46" s="29">
        <v>3315</v>
      </c>
      <c r="C46" s="29">
        <v>505</v>
      </c>
      <c r="D46" s="220" t="s">
        <v>282</v>
      </c>
      <c r="E46" s="46">
        <v>1200</v>
      </c>
      <c r="F46" s="16"/>
      <c r="G46" s="57">
        <f t="shared" si="86"/>
        <v>1200</v>
      </c>
      <c r="H46" s="199"/>
      <c r="I46" s="200"/>
      <c r="J46" s="46">
        <f t="shared" si="87"/>
        <v>1200</v>
      </c>
      <c r="K46" s="16"/>
      <c r="L46" s="57">
        <f t="shared" si="88"/>
        <v>1200</v>
      </c>
      <c r="M46" s="46">
        <v>400</v>
      </c>
      <c r="N46" s="16"/>
      <c r="O46" s="57">
        <f t="shared" si="89"/>
        <v>400</v>
      </c>
      <c r="P46" s="57">
        <f t="shared" si="84"/>
        <v>33.333333333333329</v>
      </c>
      <c r="Q46" s="46">
        <v>400</v>
      </c>
      <c r="R46" s="16"/>
      <c r="S46" s="57">
        <f t="shared" si="90"/>
        <v>400</v>
      </c>
      <c r="T46" s="57">
        <f t="shared" si="22"/>
        <v>33.333333333333329</v>
      </c>
      <c r="U46" s="46">
        <v>1200</v>
      </c>
      <c r="V46" s="16"/>
      <c r="W46" s="57">
        <f t="shared" si="91"/>
        <v>1200</v>
      </c>
      <c r="X46" s="57">
        <f t="shared" si="24"/>
        <v>100</v>
      </c>
      <c r="Y46" s="46">
        <v>1200</v>
      </c>
      <c r="Z46" s="16"/>
      <c r="AA46" s="57">
        <f t="shared" si="92"/>
        <v>1200</v>
      </c>
      <c r="AB46" s="57">
        <f t="shared" si="26"/>
        <v>100</v>
      </c>
      <c r="AC46" s="431">
        <f t="shared" si="93"/>
        <v>0</v>
      </c>
      <c r="AD46" s="46">
        <v>1200</v>
      </c>
      <c r="AE46" s="16"/>
      <c r="AF46" s="57">
        <f t="shared" si="94"/>
        <v>1200</v>
      </c>
      <c r="AG46" s="57">
        <f t="shared" si="83"/>
        <v>100</v>
      </c>
      <c r="AH46" s="16">
        <v>1200</v>
      </c>
      <c r="AI46" s="392">
        <f t="shared" si="64"/>
        <v>1</v>
      </c>
      <c r="AJ46" s="57"/>
      <c r="AK46" s="200"/>
      <c r="AL46" s="469">
        <f>L46-AK46</f>
        <v>1200</v>
      </c>
      <c r="AM46" s="340" t="s">
        <v>214</v>
      </c>
      <c r="AN46" s="326" t="s">
        <v>71</v>
      </c>
    </row>
    <row r="47" spans="1:40" ht="12.75" customHeight="1" x14ac:dyDescent="0.2">
      <c r="A47" s="142"/>
      <c r="B47" s="29">
        <v>3322.3326000000002</v>
      </c>
      <c r="C47" s="29" t="s">
        <v>276</v>
      </c>
      <c r="D47" s="220" t="s">
        <v>150</v>
      </c>
      <c r="E47" s="46">
        <v>1508</v>
      </c>
      <c r="F47" s="16"/>
      <c r="G47" s="57">
        <f t="shared" si="86"/>
        <v>1508</v>
      </c>
      <c r="H47" s="199">
        <f>640+44.964</f>
        <v>684.96399999999994</v>
      </c>
      <c r="I47" s="200"/>
      <c r="J47" s="46">
        <f t="shared" si="87"/>
        <v>2192.9639999999999</v>
      </c>
      <c r="K47" s="16"/>
      <c r="L47" s="57">
        <f t="shared" si="88"/>
        <v>2192.9639999999999</v>
      </c>
      <c r="M47" s="46"/>
      <c r="N47" s="16"/>
      <c r="O47" s="57">
        <f t="shared" si="89"/>
        <v>0</v>
      </c>
      <c r="P47" s="57">
        <f t="shared" si="84"/>
        <v>0</v>
      </c>
      <c r="Q47" s="46">
        <v>178.82599999999999</v>
      </c>
      <c r="R47" s="16"/>
      <c r="S47" s="57">
        <f t="shared" si="90"/>
        <v>178.82599999999999</v>
      </c>
      <c r="T47" s="57">
        <f t="shared" si="22"/>
        <v>8.1545342285600668</v>
      </c>
      <c r="U47" s="46">
        <v>257.19</v>
      </c>
      <c r="V47" s="16"/>
      <c r="W47" s="57">
        <f t="shared" si="91"/>
        <v>257.19</v>
      </c>
      <c r="X47" s="57">
        <f t="shared" si="24"/>
        <v>11.727962702534105</v>
      </c>
      <c r="Y47" s="46">
        <v>1302.8499999999999</v>
      </c>
      <c r="Z47" s="16"/>
      <c r="AA47" s="57">
        <f t="shared" si="92"/>
        <v>1302.8499999999999</v>
      </c>
      <c r="AB47" s="57">
        <f t="shared" si="26"/>
        <v>59.410459998431342</v>
      </c>
      <c r="AC47" s="431">
        <f t="shared" si="93"/>
        <v>890.11400000000003</v>
      </c>
      <c r="AD47" s="46">
        <f>508+300</f>
        <v>808</v>
      </c>
      <c r="AE47" s="16"/>
      <c r="AF47" s="57">
        <f t="shared" si="94"/>
        <v>808</v>
      </c>
      <c r="AG47" s="57">
        <f t="shared" si="83"/>
        <v>53.58090185676393</v>
      </c>
      <c r="AH47" s="16">
        <f>508+300</f>
        <v>808</v>
      </c>
      <c r="AI47" s="392">
        <f t="shared" si="64"/>
        <v>0.53580901856763929</v>
      </c>
      <c r="AJ47" s="57" t="s">
        <v>454</v>
      </c>
      <c r="AK47" s="200"/>
      <c r="AL47" s="469">
        <f>L47-AK47</f>
        <v>2192.9639999999999</v>
      </c>
      <c r="AM47" s="343" t="s">
        <v>474</v>
      </c>
      <c r="AN47" s="328" t="s">
        <v>121</v>
      </c>
    </row>
    <row r="48" spans="1:40" ht="12.75" customHeight="1" x14ac:dyDescent="0.2">
      <c r="A48" s="142"/>
      <c r="B48" s="29">
        <v>3322.3326000000002</v>
      </c>
      <c r="C48" s="29">
        <v>102</v>
      </c>
      <c r="D48" s="220" t="s">
        <v>361</v>
      </c>
      <c r="E48" s="46">
        <v>750</v>
      </c>
      <c r="F48" s="16"/>
      <c r="G48" s="57">
        <f t="shared" si="86"/>
        <v>750</v>
      </c>
      <c r="H48" s="199"/>
      <c r="I48" s="200"/>
      <c r="J48" s="46">
        <f t="shared" ref="J48" si="95">E48+H48</f>
        <v>750</v>
      </c>
      <c r="K48" s="16"/>
      <c r="L48" s="57">
        <f t="shared" ref="L48" si="96">SUM(J48:K48)</f>
        <v>750</v>
      </c>
      <c r="M48" s="46"/>
      <c r="N48" s="16"/>
      <c r="O48" s="57">
        <f t="shared" si="89"/>
        <v>0</v>
      </c>
      <c r="P48" s="57">
        <f t="shared" si="84"/>
        <v>0</v>
      </c>
      <c r="Q48" s="46">
        <v>46.321300000000001</v>
      </c>
      <c r="R48" s="16"/>
      <c r="S48" s="57">
        <f t="shared" si="90"/>
        <v>46.321300000000001</v>
      </c>
      <c r="T48" s="57">
        <f t="shared" si="22"/>
        <v>6.1761733333333328</v>
      </c>
      <c r="U48" s="46">
        <v>248.34316000000001</v>
      </c>
      <c r="V48" s="16"/>
      <c r="W48" s="57">
        <f t="shared" si="91"/>
        <v>248.34316000000001</v>
      </c>
      <c r="X48" s="57">
        <f t="shared" si="24"/>
        <v>33.112421333333337</v>
      </c>
      <c r="Y48" s="46">
        <v>298.17916000000002</v>
      </c>
      <c r="Z48" s="16"/>
      <c r="AA48" s="57">
        <f t="shared" si="92"/>
        <v>298.17916000000002</v>
      </c>
      <c r="AB48" s="57">
        <f t="shared" si="26"/>
        <v>39.757221333333334</v>
      </c>
      <c r="AC48" s="431">
        <f t="shared" si="93"/>
        <v>451.82083999999998</v>
      </c>
      <c r="AD48" s="46">
        <v>4000</v>
      </c>
      <c r="AE48" s="16">
        <v>4400</v>
      </c>
      <c r="AF48" s="57">
        <f t="shared" si="94"/>
        <v>8400</v>
      </c>
      <c r="AG48" s="57"/>
      <c r="AH48" s="16">
        <v>8400</v>
      </c>
      <c r="AI48" s="392">
        <f t="shared" si="64"/>
        <v>11.2</v>
      </c>
      <c r="AJ48" s="57"/>
      <c r="AK48" s="200"/>
      <c r="AL48" s="469"/>
      <c r="AM48" s="343" t="s">
        <v>474</v>
      </c>
      <c r="AN48" s="328" t="s">
        <v>121</v>
      </c>
    </row>
    <row r="49" spans="1:203" ht="12.75" customHeight="1" x14ac:dyDescent="0.2">
      <c r="A49" s="142"/>
      <c r="B49" s="29">
        <v>3322</v>
      </c>
      <c r="C49" s="29"/>
      <c r="D49" s="220" t="s">
        <v>441</v>
      </c>
      <c r="E49" s="46"/>
      <c r="F49" s="16"/>
      <c r="G49" s="57"/>
      <c r="H49" s="199"/>
      <c r="I49" s="200"/>
      <c r="J49" s="46"/>
      <c r="K49" s="16"/>
      <c r="L49" s="57"/>
      <c r="M49" s="46"/>
      <c r="N49" s="16"/>
      <c r="O49" s="57"/>
      <c r="P49" s="57"/>
      <c r="Q49" s="46"/>
      <c r="R49" s="16"/>
      <c r="S49" s="57"/>
      <c r="T49" s="57"/>
      <c r="U49" s="46"/>
      <c r="V49" s="16"/>
      <c r="W49" s="57"/>
      <c r="X49" s="57"/>
      <c r="Y49" s="46"/>
      <c r="Z49" s="16"/>
      <c r="AA49" s="57">
        <f t="shared" si="92"/>
        <v>0</v>
      </c>
      <c r="AB49" s="57"/>
      <c r="AC49" s="431">
        <f t="shared" si="93"/>
        <v>0</v>
      </c>
      <c r="AD49" s="46">
        <v>1100</v>
      </c>
      <c r="AE49" s="16"/>
      <c r="AF49" s="57">
        <f t="shared" si="94"/>
        <v>1100</v>
      </c>
      <c r="AG49" s="57"/>
      <c r="AH49" s="16">
        <v>1100</v>
      </c>
      <c r="AI49" s="392"/>
      <c r="AJ49" s="57"/>
      <c r="AK49" s="200"/>
      <c r="AL49" s="469"/>
      <c r="AM49" s="343" t="s">
        <v>474</v>
      </c>
      <c r="AN49" s="328" t="s">
        <v>121</v>
      </c>
    </row>
    <row r="50" spans="1:203" x14ac:dyDescent="0.2">
      <c r="A50" s="142"/>
      <c r="B50" s="29">
        <v>3326</v>
      </c>
      <c r="C50" s="29">
        <v>103</v>
      </c>
      <c r="D50" s="220" t="s">
        <v>257</v>
      </c>
      <c r="E50" s="46">
        <v>100</v>
      </c>
      <c r="F50" s="16"/>
      <c r="G50" s="57">
        <f t="shared" si="86"/>
        <v>100</v>
      </c>
      <c r="H50" s="199"/>
      <c r="I50" s="200"/>
      <c r="J50" s="46">
        <f t="shared" si="87"/>
        <v>100</v>
      </c>
      <c r="K50" s="16"/>
      <c r="L50" s="57">
        <f t="shared" si="88"/>
        <v>100</v>
      </c>
      <c r="M50" s="46"/>
      <c r="N50" s="16"/>
      <c r="O50" s="57">
        <f t="shared" si="89"/>
        <v>0</v>
      </c>
      <c r="P50" s="57">
        <f t="shared" si="84"/>
        <v>0</v>
      </c>
      <c r="Q50" s="46">
        <v>13.914999999999999</v>
      </c>
      <c r="R50" s="16"/>
      <c r="S50" s="57">
        <f t="shared" si="90"/>
        <v>13.914999999999999</v>
      </c>
      <c r="T50" s="57">
        <f t="shared" si="22"/>
        <v>13.914999999999999</v>
      </c>
      <c r="U50" s="46">
        <v>19.109000000000002</v>
      </c>
      <c r="V50" s="16"/>
      <c r="W50" s="57">
        <f t="shared" si="91"/>
        <v>19.109000000000002</v>
      </c>
      <c r="X50" s="57">
        <f t="shared" si="24"/>
        <v>19.109000000000002</v>
      </c>
      <c r="Y50" s="46">
        <v>34.482999999999997</v>
      </c>
      <c r="Z50" s="16"/>
      <c r="AA50" s="57">
        <f t="shared" si="92"/>
        <v>34.482999999999997</v>
      </c>
      <c r="AB50" s="57">
        <f t="shared" si="26"/>
        <v>34.482999999999997</v>
      </c>
      <c r="AC50" s="431">
        <f t="shared" si="93"/>
        <v>65.516999999999996</v>
      </c>
      <c r="AD50" s="46">
        <v>100</v>
      </c>
      <c r="AE50" s="16"/>
      <c r="AF50" s="57">
        <f t="shared" si="94"/>
        <v>100</v>
      </c>
      <c r="AG50" s="57">
        <f t="shared" si="83"/>
        <v>100</v>
      </c>
      <c r="AH50" s="16">
        <v>100</v>
      </c>
      <c r="AI50" s="392">
        <f t="shared" ref="AI50:AI61" si="97">AH50/G50</f>
        <v>1</v>
      </c>
      <c r="AJ50" s="57"/>
      <c r="AK50" s="200"/>
      <c r="AL50" s="469">
        <f>L50-AK50</f>
        <v>100</v>
      </c>
      <c r="AM50" s="343" t="s">
        <v>474</v>
      </c>
      <c r="AN50" s="328" t="s">
        <v>121</v>
      </c>
    </row>
    <row r="51" spans="1:203" x14ac:dyDescent="0.2">
      <c r="A51" s="142"/>
      <c r="B51" s="29">
        <v>3349</v>
      </c>
      <c r="C51" s="29">
        <v>42</v>
      </c>
      <c r="D51" s="220" t="s">
        <v>74</v>
      </c>
      <c r="E51" s="46">
        <v>330</v>
      </c>
      <c r="F51" s="16"/>
      <c r="G51" s="57">
        <f t="shared" si="86"/>
        <v>330</v>
      </c>
      <c r="H51" s="199">
        <v>50</v>
      </c>
      <c r="I51" s="200"/>
      <c r="J51" s="46">
        <f t="shared" si="87"/>
        <v>380</v>
      </c>
      <c r="K51" s="16"/>
      <c r="L51" s="57">
        <f t="shared" si="88"/>
        <v>380</v>
      </c>
      <c r="M51" s="46">
        <f>114.021+0.7</f>
        <v>114.721</v>
      </c>
      <c r="N51" s="16"/>
      <c r="O51" s="57">
        <f t="shared" si="89"/>
        <v>114.721</v>
      </c>
      <c r="P51" s="57">
        <f t="shared" si="84"/>
        <v>30.189736842105262</v>
      </c>
      <c r="Q51" s="46">
        <f>197.676+0.7</f>
        <v>198.37599999999998</v>
      </c>
      <c r="R51" s="16"/>
      <c r="S51" s="57">
        <f t="shared" si="90"/>
        <v>198.37599999999998</v>
      </c>
      <c r="T51" s="57">
        <f t="shared" si="22"/>
        <v>52.204210526315784</v>
      </c>
      <c r="U51" s="46">
        <f>275.786+0.7</f>
        <v>276.48599999999999</v>
      </c>
      <c r="V51" s="16"/>
      <c r="W51" s="57">
        <f t="shared" si="91"/>
        <v>276.48599999999999</v>
      </c>
      <c r="X51" s="57">
        <f t="shared" si="24"/>
        <v>72.759473684210519</v>
      </c>
      <c r="Y51" s="46">
        <v>396.31099999999998</v>
      </c>
      <c r="Z51" s="16"/>
      <c r="AA51" s="57">
        <f t="shared" si="92"/>
        <v>396.31099999999998</v>
      </c>
      <c r="AB51" s="57">
        <f t="shared" si="26"/>
        <v>104.29236842105263</v>
      </c>
      <c r="AC51" s="431">
        <f t="shared" si="93"/>
        <v>-16.310999999999979</v>
      </c>
      <c r="AD51" s="46">
        <f>371+185</f>
        <v>556</v>
      </c>
      <c r="AE51" s="16"/>
      <c r="AF51" s="57">
        <f t="shared" si="94"/>
        <v>556</v>
      </c>
      <c r="AG51" s="57">
        <f t="shared" si="83"/>
        <v>168.48484848484847</v>
      </c>
      <c r="AH51" s="490">
        <f>371+185</f>
        <v>556</v>
      </c>
      <c r="AI51" s="392">
        <f t="shared" si="97"/>
        <v>1.6848484848484848</v>
      </c>
      <c r="AJ51" s="57"/>
      <c r="AK51" s="200"/>
      <c r="AL51" s="469">
        <f>L51-AK51</f>
        <v>380</v>
      </c>
      <c r="AM51" s="454" t="s">
        <v>166</v>
      </c>
      <c r="AN51" s="453" t="s">
        <v>222</v>
      </c>
      <c r="GU51" s="115">
        <f>SUM(Q51:GT51)</f>
        <v>4173.4607496012759</v>
      </c>
    </row>
    <row r="52" spans="1:203" x14ac:dyDescent="0.2">
      <c r="A52" s="142"/>
      <c r="B52" s="29">
        <v>3392</v>
      </c>
      <c r="C52" s="29">
        <v>312</v>
      </c>
      <c r="D52" s="220" t="s">
        <v>281</v>
      </c>
      <c r="E52" s="46">
        <v>2965</v>
      </c>
      <c r="F52" s="16"/>
      <c r="G52" s="57">
        <f t="shared" si="86"/>
        <v>2965</v>
      </c>
      <c r="H52" s="205"/>
      <c r="I52" s="200"/>
      <c r="J52" s="46">
        <f t="shared" si="87"/>
        <v>2965</v>
      </c>
      <c r="K52" s="16"/>
      <c r="L52" s="57">
        <f t="shared" si="88"/>
        <v>2965</v>
      </c>
      <c r="M52" s="46">
        <v>741.25</v>
      </c>
      <c r="N52" s="16"/>
      <c r="O52" s="57">
        <f t="shared" si="89"/>
        <v>741.25</v>
      </c>
      <c r="P52" s="57">
        <f t="shared" si="84"/>
        <v>25</v>
      </c>
      <c r="Q52" s="46">
        <v>1482.5</v>
      </c>
      <c r="R52" s="16"/>
      <c r="S52" s="57">
        <f t="shared" si="90"/>
        <v>1482.5</v>
      </c>
      <c r="T52" s="57">
        <f t="shared" si="22"/>
        <v>50</v>
      </c>
      <c r="U52" s="46">
        <v>2223.75</v>
      </c>
      <c r="V52" s="16"/>
      <c r="W52" s="57">
        <f t="shared" si="91"/>
        <v>2223.75</v>
      </c>
      <c r="X52" s="57">
        <f t="shared" si="24"/>
        <v>75</v>
      </c>
      <c r="Y52" s="46">
        <v>2965</v>
      </c>
      <c r="Z52" s="16"/>
      <c r="AA52" s="57">
        <f t="shared" si="92"/>
        <v>2965</v>
      </c>
      <c r="AB52" s="57">
        <f t="shared" si="26"/>
        <v>100</v>
      </c>
      <c r="AC52" s="431">
        <f t="shared" si="93"/>
        <v>0</v>
      </c>
      <c r="AD52" s="46">
        <v>3528</v>
      </c>
      <c r="AE52" s="16"/>
      <c r="AF52" s="57">
        <f t="shared" si="94"/>
        <v>3528</v>
      </c>
      <c r="AG52" s="57">
        <f t="shared" si="83"/>
        <v>118.98819561551433</v>
      </c>
      <c r="AH52" s="16">
        <v>3528</v>
      </c>
      <c r="AI52" s="392">
        <f t="shared" si="97"/>
        <v>1.1898819561551432</v>
      </c>
      <c r="AJ52" s="57" t="s">
        <v>316</v>
      </c>
      <c r="AK52" s="200"/>
      <c r="AL52" s="469">
        <f>L52-AK52</f>
        <v>2965</v>
      </c>
      <c r="AM52" s="340" t="s">
        <v>214</v>
      </c>
      <c r="AN52" s="326" t="s">
        <v>71</v>
      </c>
    </row>
    <row r="53" spans="1:203" x14ac:dyDescent="0.2">
      <c r="A53" s="142"/>
      <c r="B53" s="29">
        <v>3392</v>
      </c>
      <c r="C53" s="29" t="s">
        <v>275</v>
      </c>
      <c r="D53" s="220" t="s">
        <v>273</v>
      </c>
      <c r="E53" s="46">
        <v>655</v>
      </c>
      <c r="F53" s="16"/>
      <c r="G53" s="57">
        <f t="shared" si="86"/>
        <v>655</v>
      </c>
      <c r="H53" s="201"/>
      <c r="I53" s="202"/>
      <c r="J53" s="46">
        <f t="shared" si="87"/>
        <v>655</v>
      </c>
      <c r="K53" s="16"/>
      <c r="L53" s="57">
        <f t="shared" si="88"/>
        <v>655</v>
      </c>
      <c r="M53" s="46"/>
      <c r="N53" s="16"/>
      <c r="O53" s="57">
        <f t="shared" si="89"/>
        <v>0</v>
      </c>
      <c r="P53" s="57">
        <f t="shared" si="84"/>
        <v>0</v>
      </c>
      <c r="Q53" s="46">
        <v>0</v>
      </c>
      <c r="R53" s="16"/>
      <c r="S53" s="57">
        <f t="shared" si="90"/>
        <v>0</v>
      </c>
      <c r="T53" s="57">
        <f t="shared" si="22"/>
        <v>0</v>
      </c>
      <c r="U53" s="46">
        <v>654.52</v>
      </c>
      <c r="V53" s="16"/>
      <c r="W53" s="57">
        <f t="shared" si="91"/>
        <v>654.52</v>
      </c>
      <c r="X53" s="57">
        <f t="shared" si="24"/>
        <v>99.926717557251905</v>
      </c>
      <c r="Y53" s="46">
        <v>654.52</v>
      </c>
      <c r="Z53" s="16"/>
      <c r="AA53" s="57">
        <f t="shared" si="92"/>
        <v>654.52</v>
      </c>
      <c r="AB53" s="57">
        <f t="shared" si="26"/>
        <v>99.926717557251905</v>
      </c>
      <c r="AC53" s="431">
        <f t="shared" si="93"/>
        <v>0.48000000000001819</v>
      </c>
      <c r="AD53" s="46">
        <v>634</v>
      </c>
      <c r="AE53" s="16"/>
      <c r="AF53" s="57">
        <f t="shared" si="94"/>
        <v>634</v>
      </c>
      <c r="AG53" s="57">
        <f t="shared" ref="AG53:AG61" si="98">AF53/$G53*100</f>
        <v>96.793893129770993</v>
      </c>
      <c r="AH53" s="16"/>
      <c r="AI53" s="392">
        <f t="shared" si="97"/>
        <v>0</v>
      </c>
      <c r="AJ53" s="57"/>
      <c r="AK53" s="202"/>
      <c r="AL53" s="469">
        <f>L53-AK53</f>
        <v>655</v>
      </c>
      <c r="AM53" s="340" t="s">
        <v>214</v>
      </c>
      <c r="AN53" s="326" t="s">
        <v>71</v>
      </c>
    </row>
    <row r="54" spans="1:203" x14ac:dyDescent="0.2">
      <c r="A54" s="142"/>
      <c r="B54" s="29">
        <v>3392</v>
      </c>
      <c r="C54" s="29">
        <v>325</v>
      </c>
      <c r="D54" s="220" t="s">
        <v>445</v>
      </c>
      <c r="E54" s="46"/>
      <c r="F54" s="16"/>
      <c r="G54" s="57"/>
      <c r="H54" s="201"/>
      <c r="I54" s="202"/>
      <c r="J54" s="46"/>
      <c r="K54" s="16"/>
      <c r="L54" s="57"/>
      <c r="M54" s="46"/>
      <c r="N54" s="16"/>
      <c r="O54" s="57"/>
      <c r="P54" s="57"/>
      <c r="Q54" s="46"/>
      <c r="R54" s="16"/>
      <c r="S54" s="57"/>
      <c r="T54" s="57"/>
      <c r="U54" s="46"/>
      <c r="V54" s="16"/>
      <c r="W54" s="57"/>
      <c r="X54" s="57"/>
      <c r="Y54" s="46"/>
      <c r="Z54" s="16"/>
      <c r="AA54" s="57">
        <f t="shared" si="92"/>
        <v>0</v>
      </c>
      <c r="AB54" s="57"/>
      <c r="AC54" s="431">
        <f t="shared" si="93"/>
        <v>0</v>
      </c>
      <c r="AD54" s="46">
        <v>550</v>
      </c>
      <c r="AE54" s="16"/>
      <c r="AF54" s="57">
        <f t="shared" si="94"/>
        <v>550</v>
      </c>
      <c r="AG54" s="57"/>
      <c r="AH54" s="16">
        <v>550</v>
      </c>
      <c r="AI54" s="392"/>
      <c r="AJ54" s="57"/>
      <c r="AK54" s="202"/>
      <c r="AL54" s="469"/>
      <c r="AM54" s="341" t="s">
        <v>168</v>
      </c>
      <c r="AN54" s="328" t="s">
        <v>345</v>
      </c>
    </row>
    <row r="55" spans="1:203" x14ac:dyDescent="0.2">
      <c r="A55" s="142"/>
      <c r="B55" s="29">
        <v>3392</v>
      </c>
      <c r="C55" s="29">
        <v>106</v>
      </c>
      <c r="D55" s="220" t="s">
        <v>473</v>
      </c>
      <c r="E55" s="46"/>
      <c r="F55" s="16"/>
      <c r="G55" s="57"/>
      <c r="H55" s="201">
        <v>30</v>
      </c>
      <c r="I55" s="202"/>
      <c r="J55" s="46">
        <f t="shared" ref="J55" si="99">E55+H55</f>
        <v>30</v>
      </c>
      <c r="K55" s="16"/>
      <c r="L55" s="57">
        <f t="shared" ref="L55" si="100">SUM(J55:K55)</f>
        <v>30</v>
      </c>
      <c r="M55" s="46"/>
      <c r="N55" s="16"/>
      <c r="O55" s="57"/>
      <c r="P55" s="57"/>
      <c r="Q55" s="46">
        <v>30</v>
      </c>
      <c r="R55" s="16"/>
      <c r="S55" s="57">
        <f t="shared" si="90"/>
        <v>30</v>
      </c>
      <c r="T55" s="57">
        <f t="shared" si="22"/>
        <v>100</v>
      </c>
      <c r="U55" s="46">
        <v>30</v>
      </c>
      <c r="V55" s="16"/>
      <c r="W55" s="57">
        <f t="shared" si="91"/>
        <v>30</v>
      </c>
      <c r="X55" s="57">
        <f t="shared" si="24"/>
        <v>100</v>
      </c>
      <c r="Y55" s="46">
        <v>30</v>
      </c>
      <c r="Z55" s="16"/>
      <c r="AA55" s="57">
        <f t="shared" si="92"/>
        <v>30</v>
      </c>
      <c r="AB55" s="57">
        <f t="shared" si="26"/>
        <v>100</v>
      </c>
      <c r="AC55" s="431">
        <f t="shared" si="93"/>
        <v>0</v>
      </c>
      <c r="AD55" s="46">
        <v>140</v>
      </c>
      <c r="AE55" s="16"/>
      <c r="AF55" s="57">
        <f t="shared" si="94"/>
        <v>140</v>
      </c>
      <c r="AG55" s="57"/>
      <c r="AH55" s="16">
        <v>140</v>
      </c>
      <c r="AI55" s="392"/>
      <c r="AJ55" s="57" t="s">
        <v>495</v>
      </c>
      <c r="AK55" s="202"/>
      <c r="AL55" s="469"/>
      <c r="AM55" s="340"/>
      <c r="AN55" s="326"/>
    </row>
    <row r="56" spans="1:203" x14ac:dyDescent="0.2">
      <c r="A56" s="142"/>
      <c r="B56" s="29">
        <v>3399</v>
      </c>
      <c r="C56" s="29">
        <v>313</v>
      </c>
      <c r="D56" s="220" t="s">
        <v>104</v>
      </c>
      <c r="E56" s="46">
        <v>120</v>
      </c>
      <c r="F56" s="16"/>
      <c r="G56" s="57">
        <f t="shared" si="86"/>
        <v>120</v>
      </c>
      <c r="H56" s="199"/>
      <c r="I56" s="200"/>
      <c r="J56" s="46">
        <f t="shared" si="87"/>
        <v>120</v>
      </c>
      <c r="K56" s="16"/>
      <c r="L56" s="57">
        <f t="shared" si="88"/>
        <v>120</v>
      </c>
      <c r="M56" s="46">
        <v>6.6289999999999996</v>
      </c>
      <c r="N56" s="16"/>
      <c r="O56" s="57">
        <f t="shared" si="89"/>
        <v>6.6289999999999996</v>
      </c>
      <c r="P56" s="57">
        <f t="shared" ref="P56:P68" si="101">O56/$L56*100</f>
        <v>5.524166666666666</v>
      </c>
      <c r="Q56" s="46">
        <v>31.396999999999998</v>
      </c>
      <c r="R56" s="16"/>
      <c r="S56" s="57">
        <f t="shared" si="90"/>
        <v>31.396999999999998</v>
      </c>
      <c r="T56" s="57">
        <f t="shared" si="22"/>
        <v>26.164166666666667</v>
      </c>
      <c r="U56" s="46">
        <v>38.877000000000002</v>
      </c>
      <c r="V56" s="16"/>
      <c r="W56" s="57">
        <f t="shared" si="91"/>
        <v>38.877000000000002</v>
      </c>
      <c r="X56" s="57">
        <f t="shared" si="24"/>
        <v>32.397500000000001</v>
      </c>
      <c r="Y56" s="46">
        <v>97.302999999999997</v>
      </c>
      <c r="Z56" s="16"/>
      <c r="AA56" s="57">
        <f t="shared" si="92"/>
        <v>97.302999999999997</v>
      </c>
      <c r="AB56" s="57">
        <f t="shared" si="26"/>
        <v>81.085833333333341</v>
      </c>
      <c r="AC56" s="431">
        <f t="shared" si="93"/>
        <v>22.697000000000003</v>
      </c>
      <c r="AD56" s="46">
        <v>150</v>
      </c>
      <c r="AE56" s="16"/>
      <c r="AF56" s="57">
        <f t="shared" si="94"/>
        <v>150</v>
      </c>
      <c r="AG56" s="57">
        <f t="shared" si="98"/>
        <v>125</v>
      </c>
      <c r="AH56" s="16">
        <v>135</v>
      </c>
      <c r="AI56" s="392">
        <f t="shared" si="97"/>
        <v>1.125</v>
      </c>
      <c r="AJ56" s="57" t="s">
        <v>317</v>
      </c>
      <c r="AK56" s="200"/>
      <c r="AL56" s="469">
        <f>L56-AK56</f>
        <v>120</v>
      </c>
      <c r="AM56" s="454" t="s">
        <v>296</v>
      </c>
      <c r="AN56" s="464" t="s">
        <v>215</v>
      </c>
    </row>
    <row r="57" spans="1:203" x14ac:dyDescent="0.2">
      <c r="A57" s="143">
        <v>34</v>
      </c>
      <c r="B57" s="24">
        <v>3400</v>
      </c>
      <c r="C57" s="24"/>
      <c r="D57" s="459" t="s">
        <v>75</v>
      </c>
      <c r="E57" s="58">
        <f>SUM(E58:E68)</f>
        <v>6121</v>
      </c>
      <c r="F57" s="59">
        <f>SUM(F58:F68)</f>
        <v>61216</v>
      </c>
      <c r="G57" s="60">
        <f>SUM(G58:G68)</f>
        <v>67337</v>
      </c>
      <c r="H57" s="203">
        <f t="shared" ref="H57:O57" si="102">SUM(H58:H68)</f>
        <v>-962.68000000000006</v>
      </c>
      <c r="I57" s="204">
        <f t="shared" si="102"/>
        <v>20000</v>
      </c>
      <c r="J57" s="58">
        <f t="shared" si="102"/>
        <v>5158.32</v>
      </c>
      <c r="K57" s="59">
        <f t="shared" si="102"/>
        <v>81216</v>
      </c>
      <c r="L57" s="60">
        <f t="shared" si="102"/>
        <v>86374.32</v>
      </c>
      <c r="M57" s="58">
        <f t="shared" si="102"/>
        <v>1113.5</v>
      </c>
      <c r="N57" s="59">
        <f t="shared" si="102"/>
        <v>58.08</v>
      </c>
      <c r="O57" s="60">
        <f t="shared" si="102"/>
        <v>1171.58</v>
      </c>
      <c r="P57" s="60">
        <f t="shared" si="101"/>
        <v>1.3563985221533434</v>
      </c>
      <c r="Q57" s="58">
        <f t="shared" ref="Q57:S57" si="103">SUM(Q58:Q68)</f>
        <v>3147</v>
      </c>
      <c r="R57" s="59">
        <f t="shared" si="103"/>
        <v>1215.4080700000002</v>
      </c>
      <c r="S57" s="60">
        <f t="shared" si="103"/>
        <v>4362.4080700000004</v>
      </c>
      <c r="T57" s="60">
        <f t="shared" si="22"/>
        <v>5.0505845603183914</v>
      </c>
      <c r="U57" s="58">
        <f t="shared" ref="U57:W57" si="104">SUM(U58:U68)</f>
        <v>3783.9</v>
      </c>
      <c r="V57" s="59">
        <f t="shared" si="104"/>
        <v>14691.86032</v>
      </c>
      <c r="W57" s="60">
        <f t="shared" si="104"/>
        <v>18475.760320000001</v>
      </c>
      <c r="X57" s="60">
        <f t="shared" si="24"/>
        <v>21.390339536102861</v>
      </c>
      <c r="Y57" s="58">
        <f t="shared" ref="Y57:AA57" si="105">SUM(Y58:Y68)</f>
        <v>5105.2250000000004</v>
      </c>
      <c r="Z57" s="59">
        <f t="shared" si="105"/>
        <v>62253.922709999999</v>
      </c>
      <c r="AA57" s="60">
        <f t="shared" si="105"/>
        <v>67359.147710000005</v>
      </c>
      <c r="AB57" s="60">
        <f t="shared" si="26"/>
        <v>77.985155437403151</v>
      </c>
      <c r="AC57" s="432">
        <f>SUM(AC58:AC68)</f>
        <v>19015.172289999995</v>
      </c>
      <c r="AD57" s="58">
        <f t="shared" ref="AD57:AF57" si="106">SUM(AD58:AD68)</f>
        <v>5110</v>
      </c>
      <c r="AE57" s="59">
        <f t="shared" si="106"/>
        <v>22274</v>
      </c>
      <c r="AF57" s="60">
        <f t="shared" si="106"/>
        <v>27384</v>
      </c>
      <c r="AG57" s="60">
        <f t="shared" si="98"/>
        <v>40.667092386058187</v>
      </c>
      <c r="AH57" s="59">
        <f t="shared" ref="AH57" si="107">SUM(AH58:AH68)</f>
        <v>32245</v>
      </c>
      <c r="AI57" s="393">
        <f t="shared" si="97"/>
        <v>0.47886006207582754</v>
      </c>
      <c r="AJ57" s="60"/>
      <c r="AK57" s="204">
        <f t="shared" ref="AK57" si="108">SUM(AK58:AK68)</f>
        <v>0</v>
      </c>
      <c r="AL57" s="470">
        <f>SUM(AL58:AL68)</f>
        <v>84919.557000000001</v>
      </c>
      <c r="AM57" s="342"/>
      <c r="AN57" s="76"/>
    </row>
    <row r="58" spans="1:203" x14ac:dyDescent="0.2">
      <c r="A58" s="142"/>
      <c r="B58" s="29">
        <v>3412</v>
      </c>
      <c r="C58" s="29">
        <v>205</v>
      </c>
      <c r="D58" s="220" t="s">
        <v>226</v>
      </c>
      <c r="E58" s="46">
        <v>4454</v>
      </c>
      <c r="F58" s="16"/>
      <c r="G58" s="57">
        <f t="shared" ref="G58:G68" si="109">E58+F58</f>
        <v>4454</v>
      </c>
      <c r="H58" s="205">
        <f>-506.237-1454.763</f>
        <v>-1961</v>
      </c>
      <c r="I58" s="200"/>
      <c r="J58" s="46">
        <f t="shared" ref="J58:K65" si="110">E58+H58</f>
        <v>2493</v>
      </c>
      <c r="K58" s="16">
        <f t="shared" si="110"/>
        <v>0</v>
      </c>
      <c r="L58" s="57">
        <f t="shared" ref="L58:L70" si="111">SUM(J58:K58)</f>
        <v>2493</v>
      </c>
      <c r="M58" s="46">
        <v>1113.5</v>
      </c>
      <c r="N58" s="16"/>
      <c r="O58" s="57">
        <f t="shared" ref="O58:O68" si="112">M58+N58</f>
        <v>1113.5</v>
      </c>
      <c r="P58" s="57">
        <f t="shared" si="101"/>
        <v>44.665062174087446</v>
      </c>
      <c r="Q58" s="46">
        <v>2227</v>
      </c>
      <c r="R58" s="16"/>
      <c r="S58" s="57">
        <f t="shared" ref="S58:S68" si="113">Q58+R58</f>
        <v>2227</v>
      </c>
      <c r="T58" s="57">
        <f t="shared" si="22"/>
        <v>89.330124348174891</v>
      </c>
      <c r="U58" s="46">
        <v>2783</v>
      </c>
      <c r="V58" s="16"/>
      <c r="W58" s="57">
        <f t="shared" ref="W58:W70" si="114">U58+V58</f>
        <v>2783</v>
      </c>
      <c r="X58" s="57">
        <f t="shared" si="24"/>
        <v>111.63257119935821</v>
      </c>
      <c r="Y58" s="46">
        <v>2493</v>
      </c>
      <c r="Z58" s="16"/>
      <c r="AA58" s="57">
        <f t="shared" ref="AA58:AA70" si="115">Y58+Z58</f>
        <v>2493</v>
      </c>
      <c r="AB58" s="57">
        <f t="shared" si="26"/>
        <v>100</v>
      </c>
      <c r="AC58" s="431">
        <f t="shared" ref="AC58:AC68" si="116">L58-AA58</f>
        <v>0</v>
      </c>
      <c r="AD58" s="46">
        <v>0</v>
      </c>
      <c r="AE58" s="16"/>
      <c r="AF58" s="57">
        <f t="shared" ref="AF58:AF70" si="117">AD58+AE58</f>
        <v>0</v>
      </c>
      <c r="AG58" s="57">
        <f t="shared" si="98"/>
        <v>0</v>
      </c>
      <c r="AH58" s="16"/>
      <c r="AI58" s="392">
        <f t="shared" si="97"/>
        <v>0</v>
      </c>
      <c r="AJ58" s="57" t="s">
        <v>581</v>
      </c>
      <c r="AK58" s="200"/>
      <c r="AL58" s="469">
        <f>L58-AK58</f>
        <v>2493</v>
      </c>
      <c r="AM58" s="340" t="s">
        <v>214</v>
      </c>
      <c r="AN58" s="326" t="s">
        <v>71</v>
      </c>
    </row>
    <row r="59" spans="1:203" x14ac:dyDescent="0.2">
      <c r="A59" s="142"/>
      <c r="B59" s="29">
        <v>3412</v>
      </c>
      <c r="C59" s="29">
        <v>205</v>
      </c>
      <c r="D59" s="220" t="s">
        <v>408</v>
      </c>
      <c r="E59" s="46"/>
      <c r="F59" s="16">
        <v>2000</v>
      </c>
      <c r="G59" s="57">
        <f t="shared" si="109"/>
        <v>2000</v>
      </c>
      <c r="H59" s="199"/>
      <c r="I59" s="200"/>
      <c r="J59" s="46">
        <f t="shared" si="110"/>
        <v>0</v>
      </c>
      <c r="K59" s="16">
        <f t="shared" si="110"/>
        <v>2000</v>
      </c>
      <c r="L59" s="57">
        <f t="shared" si="111"/>
        <v>2000</v>
      </c>
      <c r="M59" s="46"/>
      <c r="N59" s="16"/>
      <c r="O59" s="57">
        <f t="shared" si="112"/>
        <v>0</v>
      </c>
      <c r="P59" s="57">
        <f t="shared" si="101"/>
        <v>0</v>
      </c>
      <c r="Q59" s="46"/>
      <c r="R59" s="16"/>
      <c r="S59" s="57">
        <f t="shared" si="113"/>
        <v>0</v>
      </c>
      <c r="T59" s="57">
        <f t="shared" si="22"/>
        <v>0</v>
      </c>
      <c r="U59" s="46"/>
      <c r="V59" s="16">
        <v>0</v>
      </c>
      <c r="W59" s="57">
        <f t="shared" si="114"/>
        <v>0</v>
      </c>
      <c r="X59" s="57">
        <f t="shared" si="24"/>
        <v>0</v>
      </c>
      <c r="Y59" s="46"/>
      <c r="Z59" s="16">
        <v>0</v>
      </c>
      <c r="AA59" s="57">
        <f t="shared" si="115"/>
        <v>0</v>
      </c>
      <c r="AB59" s="57">
        <f t="shared" si="26"/>
        <v>0</v>
      </c>
      <c r="AC59" s="431">
        <f t="shared" si="116"/>
        <v>2000</v>
      </c>
      <c r="AD59" s="46">
        <v>0</v>
      </c>
      <c r="AE59" s="16"/>
      <c r="AF59" s="57">
        <f t="shared" si="117"/>
        <v>0</v>
      </c>
      <c r="AG59" s="57">
        <f t="shared" si="98"/>
        <v>0</v>
      </c>
      <c r="AH59" s="16"/>
      <c r="AI59" s="392">
        <f t="shared" si="97"/>
        <v>0</v>
      </c>
      <c r="AJ59" s="57" t="s">
        <v>496</v>
      </c>
      <c r="AK59" s="200"/>
      <c r="AL59" s="469">
        <f>L59-AK59</f>
        <v>2000</v>
      </c>
      <c r="AM59" s="340" t="s">
        <v>214</v>
      </c>
      <c r="AN59" s="326" t="s">
        <v>71</v>
      </c>
    </row>
    <row r="60" spans="1:203" x14ac:dyDescent="0.2">
      <c r="A60" s="142"/>
      <c r="B60" s="29">
        <v>3412</v>
      </c>
      <c r="C60" s="29">
        <v>205</v>
      </c>
      <c r="D60" s="220" t="s">
        <v>274</v>
      </c>
      <c r="E60" s="46">
        <v>622</v>
      </c>
      <c r="F60" s="16"/>
      <c r="G60" s="57">
        <f t="shared" si="109"/>
        <v>622</v>
      </c>
      <c r="H60" s="199">
        <v>-622</v>
      </c>
      <c r="I60" s="200"/>
      <c r="J60" s="46">
        <f t="shared" si="110"/>
        <v>0</v>
      </c>
      <c r="K60" s="16">
        <f t="shared" si="110"/>
        <v>0</v>
      </c>
      <c r="L60" s="57">
        <f t="shared" si="111"/>
        <v>0</v>
      </c>
      <c r="M60" s="46"/>
      <c r="N60" s="16"/>
      <c r="O60" s="57">
        <f t="shared" si="112"/>
        <v>0</v>
      </c>
      <c r="P60" s="57" t="e">
        <f t="shared" si="101"/>
        <v>#DIV/0!</v>
      </c>
      <c r="Q60" s="46"/>
      <c r="R60" s="16"/>
      <c r="S60" s="57">
        <f t="shared" si="113"/>
        <v>0</v>
      </c>
      <c r="T60" s="57" t="e">
        <f t="shared" si="22"/>
        <v>#DIV/0!</v>
      </c>
      <c r="U60" s="46"/>
      <c r="V60" s="16"/>
      <c r="W60" s="57">
        <f t="shared" si="114"/>
        <v>0</v>
      </c>
      <c r="X60" s="57" t="e">
        <f t="shared" si="24"/>
        <v>#DIV/0!</v>
      </c>
      <c r="Y60" s="46"/>
      <c r="Z60" s="16"/>
      <c r="AA60" s="57">
        <f t="shared" si="115"/>
        <v>0</v>
      </c>
      <c r="AB60" s="57">
        <v>0</v>
      </c>
      <c r="AC60" s="431">
        <f t="shared" si="116"/>
        <v>0</v>
      </c>
      <c r="AD60" s="46">
        <v>0</v>
      </c>
      <c r="AE60" s="16"/>
      <c r="AF60" s="57">
        <f t="shared" si="117"/>
        <v>0</v>
      </c>
      <c r="AG60" s="57">
        <f t="shared" si="98"/>
        <v>0</v>
      </c>
      <c r="AH60" s="16"/>
      <c r="AI60" s="392">
        <f t="shared" si="97"/>
        <v>0</v>
      </c>
      <c r="AJ60" s="57"/>
      <c r="AK60" s="200"/>
      <c r="AL60" s="469">
        <f>L60-AK60</f>
        <v>0</v>
      </c>
      <c r="AM60" s="340" t="s">
        <v>214</v>
      </c>
      <c r="AN60" s="326" t="s">
        <v>71</v>
      </c>
    </row>
    <row r="61" spans="1:203" ht="13.5" customHeight="1" x14ac:dyDescent="0.2">
      <c r="A61" s="142"/>
      <c r="B61" s="29">
        <v>3412</v>
      </c>
      <c r="C61" s="29">
        <v>200</v>
      </c>
      <c r="D61" s="220" t="s">
        <v>355</v>
      </c>
      <c r="E61" s="46"/>
      <c r="F61" s="16">
        <f>200+10000</f>
        <v>10200</v>
      </c>
      <c r="G61" s="57">
        <f t="shared" si="109"/>
        <v>10200</v>
      </c>
      <c r="H61" s="201"/>
      <c r="I61" s="200"/>
      <c r="J61" s="46">
        <f t="shared" si="110"/>
        <v>0</v>
      </c>
      <c r="K61" s="16">
        <f t="shared" si="110"/>
        <v>10200</v>
      </c>
      <c r="L61" s="57">
        <f t="shared" si="111"/>
        <v>10200</v>
      </c>
      <c r="M61" s="46"/>
      <c r="N61" s="16">
        <v>58.08</v>
      </c>
      <c r="O61" s="57">
        <f t="shared" si="112"/>
        <v>58.08</v>
      </c>
      <c r="P61" s="57">
        <f t="shared" si="101"/>
        <v>0.56941176470588239</v>
      </c>
      <c r="Q61" s="46"/>
      <c r="R61" s="16">
        <v>176.554</v>
      </c>
      <c r="S61" s="57">
        <f t="shared" si="113"/>
        <v>176.554</v>
      </c>
      <c r="T61" s="57">
        <f t="shared" si="22"/>
        <v>1.7309215686274508</v>
      </c>
      <c r="U61" s="46"/>
      <c r="V61" s="16">
        <v>177.15899999999999</v>
      </c>
      <c r="W61" s="57">
        <f t="shared" si="114"/>
        <v>177.15899999999999</v>
      </c>
      <c r="X61" s="57">
        <f t="shared" si="24"/>
        <v>1.7368529411764706</v>
      </c>
      <c r="Y61" s="46">
        <v>0.60499999999999998</v>
      </c>
      <c r="Z61" s="16">
        <v>176.554</v>
      </c>
      <c r="AA61" s="57">
        <f t="shared" si="115"/>
        <v>177.15899999999999</v>
      </c>
      <c r="AB61" s="57">
        <f t="shared" si="26"/>
        <v>1.7368529411764706</v>
      </c>
      <c r="AC61" s="431">
        <f t="shared" si="116"/>
        <v>10022.841</v>
      </c>
      <c r="AD61" s="46">
        <v>0</v>
      </c>
      <c r="AE61" s="16"/>
      <c r="AF61" s="57">
        <f t="shared" si="117"/>
        <v>0</v>
      </c>
      <c r="AG61" s="57">
        <f t="shared" si="98"/>
        <v>0</v>
      </c>
      <c r="AH61" s="16"/>
      <c r="AI61" s="392">
        <f t="shared" si="97"/>
        <v>0</v>
      </c>
      <c r="AJ61" s="57"/>
      <c r="AK61" s="200"/>
      <c r="AL61" s="469">
        <f>L61-AK61</f>
        <v>10200</v>
      </c>
      <c r="AM61" s="341" t="s">
        <v>168</v>
      </c>
      <c r="AN61" s="328" t="s">
        <v>121</v>
      </c>
      <c r="AO61" s="100" t="s">
        <v>215</v>
      </c>
    </row>
    <row r="62" spans="1:203" ht="13.5" customHeight="1" x14ac:dyDescent="0.2">
      <c r="A62" s="142"/>
      <c r="B62" s="29">
        <v>3412</v>
      </c>
      <c r="C62" s="29">
        <v>506</v>
      </c>
      <c r="D62" s="220" t="s">
        <v>464</v>
      </c>
      <c r="E62" s="46"/>
      <c r="F62" s="16"/>
      <c r="G62" s="57">
        <f t="shared" si="109"/>
        <v>0</v>
      </c>
      <c r="H62" s="201">
        <v>1454.7629999999999</v>
      </c>
      <c r="I62" s="200"/>
      <c r="J62" s="46">
        <f t="shared" si="110"/>
        <v>1454.7629999999999</v>
      </c>
      <c r="K62" s="16">
        <f>F62+I62</f>
        <v>0</v>
      </c>
      <c r="L62" s="57">
        <f>SUM(J62:K62)</f>
        <v>1454.7629999999999</v>
      </c>
      <c r="M62" s="46"/>
      <c r="N62" s="16"/>
      <c r="O62" s="57">
        <f t="shared" ref="O62:O65" si="118">M62+N62</f>
        <v>0</v>
      </c>
      <c r="P62" s="57"/>
      <c r="Q62" s="46"/>
      <c r="R62" s="16"/>
      <c r="S62" s="57">
        <f t="shared" si="113"/>
        <v>0</v>
      </c>
      <c r="T62" s="57"/>
      <c r="U62" s="46"/>
      <c r="V62" s="16"/>
      <c r="W62" s="57">
        <f t="shared" si="114"/>
        <v>0</v>
      </c>
      <c r="X62" s="57"/>
      <c r="Y62" s="46">
        <v>1454.7629999999999</v>
      </c>
      <c r="Z62" s="16"/>
      <c r="AA62" s="57">
        <f t="shared" si="115"/>
        <v>1454.7629999999999</v>
      </c>
      <c r="AB62" s="57"/>
      <c r="AC62" s="431">
        <f t="shared" si="116"/>
        <v>0</v>
      </c>
      <c r="AD62" s="46">
        <v>3450</v>
      </c>
      <c r="AE62" s="16"/>
      <c r="AF62" s="57">
        <f t="shared" si="117"/>
        <v>3450</v>
      </c>
      <c r="AG62" s="57"/>
      <c r="AH62" s="16">
        <f>3450+27750</f>
        <v>31200</v>
      </c>
      <c r="AI62" s="392"/>
      <c r="AJ62" s="57" t="s">
        <v>467</v>
      </c>
      <c r="AK62" s="200"/>
      <c r="AL62" s="469"/>
      <c r="AM62" s="340" t="s">
        <v>214</v>
      </c>
      <c r="AN62" s="326" t="s">
        <v>71</v>
      </c>
      <c r="AO62" s="100"/>
    </row>
    <row r="63" spans="1:203" ht="13.5" customHeight="1" x14ac:dyDescent="0.2">
      <c r="A63" s="142"/>
      <c r="B63" s="29">
        <v>3412</v>
      </c>
      <c r="C63" s="29">
        <v>506</v>
      </c>
      <c r="D63" s="220" t="s">
        <v>584</v>
      </c>
      <c r="E63" s="46"/>
      <c r="F63" s="16"/>
      <c r="G63" s="57"/>
      <c r="H63" s="201"/>
      <c r="I63" s="200"/>
      <c r="J63" s="46"/>
      <c r="K63" s="16"/>
      <c r="L63" s="57"/>
      <c r="M63" s="46"/>
      <c r="N63" s="16"/>
      <c r="O63" s="57"/>
      <c r="P63" s="57"/>
      <c r="Q63" s="46"/>
      <c r="R63" s="16"/>
      <c r="S63" s="57"/>
      <c r="T63" s="57"/>
      <c r="U63" s="46"/>
      <c r="V63" s="16"/>
      <c r="W63" s="57"/>
      <c r="X63" s="57"/>
      <c r="Y63" s="46"/>
      <c r="Z63" s="16"/>
      <c r="AA63" s="57"/>
      <c r="AB63" s="57"/>
      <c r="AC63" s="431"/>
      <c r="AD63" s="46"/>
      <c r="AE63" s="16">
        <v>2800</v>
      </c>
      <c r="AF63" s="57">
        <f t="shared" si="117"/>
        <v>2800</v>
      </c>
      <c r="AG63" s="57"/>
      <c r="AH63" s="16"/>
      <c r="AI63" s="392"/>
      <c r="AJ63" s="57" t="s">
        <v>585</v>
      </c>
      <c r="AK63" s="200"/>
      <c r="AL63" s="469"/>
      <c r="AM63" s="340"/>
      <c r="AN63" s="326"/>
      <c r="AO63" s="100"/>
    </row>
    <row r="64" spans="1:203" ht="13.5" customHeight="1" x14ac:dyDescent="0.2">
      <c r="A64" s="142"/>
      <c r="B64" s="29">
        <v>3412</v>
      </c>
      <c r="C64" s="29">
        <v>506</v>
      </c>
      <c r="D64" s="220" t="s">
        <v>586</v>
      </c>
      <c r="E64" s="46"/>
      <c r="F64" s="16"/>
      <c r="G64" s="57"/>
      <c r="H64" s="201"/>
      <c r="I64" s="200"/>
      <c r="J64" s="46"/>
      <c r="K64" s="16"/>
      <c r="L64" s="57"/>
      <c r="M64" s="46"/>
      <c r="N64" s="16"/>
      <c r="O64" s="57"/>
      <c r="P64" s="57"/>
      <c r="Q64" s="46"/>
      <c r="R64" s="16"/>
      <c r="S64" s="57"/>
      <c r="T64" s="57"/>
      <c r="U64" s="46"/>
      <c r="V64" s="16"/>
      <c r="W64" s="57"/>
      <c r="X64" s="57"/>
      <c r="Y64" s="46"/>
      <c r="Z64" s="16"/>
      <c r="AA64" s="57"/>
      <c r="AB64" s="57"/>
      <c r="AC64" s="431">
        <f t="shared" si="116"/>
        <v>0</v>
      </c>
      <c r="AD64" s="46"/>
      <c r="AE64" s="16">
        <f>400+413+100+2148+5348+591</f>
        <v>9000</v>
      </c>
      <c r="AF64" s="57">
        <f t="shared" si="117"/>
        <v>9000</v>
      </c>
      <c r="AG64" s="57"/>
      <c r="AH64" s="16"/>
      <c r="AI64" s="392"/>
      <c r="AJ64" s="57" t="s">
        <v>587</v>
      </c>
      <c r="AK64" s="200"/>
      <c r="AL64" s="469"/>
      <c r="AM64" s="340" t="s">
        <v>214</v>
      </c>
      <c r="AN64" s="326" t="s">
        <v>71</v>
      </c>
      <c r="AO64" s="100"/>
    </row>
    <row r="65" spans="1:41" ht="13.5" customHeight="1" x14ac:dyDescent="0.2">
      <c r="A65" s="142"/>
      <c r="B65" s="29">
        <v>3412</v>
      </c>
      <c r="C65" s="29">
        <v>216</v>
      </c>
      <c r="D65" s="220" t="s">
        <v>315</v>
      </c>
      <c r="E65" s="46"/>
      <c r="F65" s="16">
        <v>49016</v>
      </c>
      <c r="G65" s="57">
        <f t="shared" si="109"/>
        <v>49016</v>
      </c>
      <c r="H65" s="201"/>
      <c r="I65" s="200">
        <f>20000-20000+20000</f>
        <v>20000</v>
      </c>
      <c r="J65" s="46">
        <f t="shared" si="110"/>
        <v>0</v>
      </c>
      <c r="K65" s="16">
        <f t="shared" si="110"/>
        <v>69016</v>
      </c>
      <c r="L65" s="57">
        <f t="shared" si="111"/>
        <v>69016</v>
      </c>
      <c r="M65" s="46"/>
      <c r="N65" s="16"/>
      <c r="O65" s="57">
        <f t="shared" si="118"/>
        <v>0</v>
      </c>
      <c r="P65" s="57">
        <f t="shared" ref="P65" si="119">O65/$L65*100</f>
        <v>0</v>
      </c>
      <c r="Q65" s="46"/>
      <c r="R65" s="16">
        <v>1038.8540700000001</v>
      </c>
      <c r="S65" s="57">
        <f t="shared" si="113"/>
        <v>1038.8540700000001</v>
      </c>
      <c r="T65" s="57">
        <f t="shared" ref="T65:T68" si="120">S65/$L65*100</f>
        <v>1.5052365683319813</v>
      </c>
      <c r="U65" s="46">
        <v>0.9</v>
      </c>
      <c r="V65" s="16">
        <v>14514.70132</v>
      </c>
      <c r="W65" s="57">
        <f t="shared" si="114"/>
        <v>14515.60132</v>
      </c>
      <c r="X65" s="57">
        <f t="shared" ref="X65:X68" si="121">W65/$L65*100</f>
        <v>21.032226324330587</v>
      </c>
      <c r="Y65" s="46">
        <f>1.8</f>
        <v>1.8</v>
      </c>
      <c r="Z65" s="16">
        <v>62077.368710000002</v>
      </c>
      <c r="AA65" s="57">
        <f t="shared" si="115"/>
        <v>62079.168710000005</v>
      </c>
      <c r="AB65" s="57">
        <f t="shared" ref="AB65:AB70" si="122">AA65/$L65*100</f>
        <v>89.948951996638471</v>
      </c>
      <c r="AC65" s="431">
        <f t="shared" si="116"/>
        <v>6936.8312899999946</v>
      </c>
      <c r="AD65" s="46"/>
      <c r="AE65" s="16">
        <v>10474</v>
      </c>
      <c r="AF65" s="57">
        <f t="shared" si="117"/>
        <v>10474</v>
      </c>
      <c r="AG65" s="57">
        <f t="shared" ref="AG65" si="123">AF65/$G65*100</f>
        <v>21.368532724008489</v>
      </c>
      <c r="AH65" s="16"/>
      <c r="AI65" s="392">
        <f>AH65/G65</f>
        <v>0</v>
      </c>
      <c r="AJ65" s="57" t="s">
        <v>497</v>
      </c>
      <c r="AK65" s="200"/>
      <c r="AL65" s="469">
        <f>L65-AK65</f>
        <v>69016</v>
      </c>
      <c r="AM65" s="341" t="s">
        <v>345</v>
      </c>
      <c r="AN65" s="328" t="s">
        <v>121</v>
      </c>
      <c r="AO65" s="100" t="s">
        <v>354</v>
      </c>
    </row>
    <row r="66" spans="1:41" ht="13.5" customHeight="1" x14ac:dyDescent="0.2">
      <c r="A66" s="142"/>
      <c r="B66" s="29">
        <v>3412</v>
      </c>
      <c r="C66" s="29">
        <v>216</v>
      </c>
      <c r="D66" s="220" t="s">
        <v>482</v>
      </c>
      <c r="E66" s="46"/>
      <c r="F66" s="16"/>
      <c r="G66" s="57"/>
      <c r="H66" s="201"/>
      <c r="I66" s="200"/>
      <c r="J66" s="46"/>
      <c r="K66" s="16"/>
      <c r="L66" s="57"/>
      <c r="M66" s="46"/>
      <c r="N66" s="16"/>
      <c r="O66" s="57"/>
      <c r="P66" s="57"/>
      <c r="Q66" s="46"/>
      <c r="R66" s="16"/>
      <c r="S66" s="57"/>
      <c r="T66" s="57"/>
      <c r="U66" s="46"/>
      <c r="V66" s="16"/>
      <c r="W66" s="57"/>
      <c r="X66" s="57"/>
      <c r="Y66" s="46"/>
      <c r="Z66" s="16"/>
      <c r="AA66" s="57"/>
      <c r="AB66" s="57"/>
      <c r="AC66" s="431"/>
      <c r="AD66" s="46">
        <v>200</v>
      </c>
      <c r="AE66" s="16"/>
      <c r="AF66" s="57">
        <f t="shared" si="117"/>
        <v>200</v>
      </c>
      <c r="AG66" s="57"/>
      <c r="AH66" s="16"/>
      <c r="AI66" s="392"/>
      <c r="AJ66" s="57"/>
      <c r="AK66" s="200"/>
      <c r="AL66" s="469"/>
      <c r="AM66" s="341"/>
      <c r="AN66" s="328"/>
      <c r="AO66" s="100"/>
    </row>
    <row r="67" spans="1:41" ht="13.5" customHeight="1" x14ac:dyDescent="0.2">
      <c r="A67" s="142"/>
      <c r="B67" s="29">
        <v>3419</v>
      </c>
      <c r="C67" s="29">
        <v>105</v>
      </c>
      <c r="D67" s="220" t="s">
        <v>419</v>
      </c>
      <c r="E67" s="46">
        <v>45</v>
      </c>
      <c r="F67" s="16"/>
      <c r="G67" s="57">
        <f t="shared" si="109"/>
        <v>45</v>
      </c>
      <c r="H67" s="205">
        <f>117.417+48.14</f>
        <v>165.55700000000002</v>
      </c>
      <c r="I67" s="200"/>
      <c r="J67" s="46">
        <f>E67+H67</f>
        <v>210.55700000000002</v>
      </c>
      <c r="K67" s="16"/>
      <c r="L67" s="57">
        <f t="shared" si="111"/>
        <v>210.55700000000002</v>
      </c>
      <c r="M67" s="46"/>
      <c r="N67" s="16"/>
      <c r="O67" s="57">
        <f t="shared" si="112"/>
        <v>0</v>
      </c>
      <c r="P67" s="57">
        <f t="shared" si="101"/>
        <v>0</v>
      </c>
      <c r="Q67" s="46"/>
      <c r="R67" s="16"/>
      <c r="S67" s="57">
        <f t="shared" si="113"/>
        <v>0</v>
      </c>
      <c r="T67" s="57">
        <f t="shared" si="120"/>
        <v>0</v>
      </c>
      <c r="U67" s="46"/>
      <c r="V67" s="16"/>
      <c r="W67" s="57">
        <f t="shared" si="114"/>
        <v>0</v>
      </c>
      <c r="X67" s="57">
        <f t="shared" si="121"/>
        <v>0</v>
      </c>
      <c r="Y67" s="46">
        <v>165.55699999999999</v>
      </c>
      <c r="Z67" s="16"/>
      <c r="AA67" s="57">
        <f t="shared" si="115"/>
        <v>165.55699999999999</v>
      </c>
      <c r="AB67" s="57">
        <f t="shared" si="122"/>
        <v>78.628114952245696</v>
      </c>
      <c r="AC67" s="431">
        <f t="shared" si="116"/>
        <v>45.000000000000028</v>
      </c>
      <c r="AD67" s="46">
        <f>45+415</f>
        <v>460</v>
      </c>
      <c r="AE67" s="16"/>
      <c r="AF67" s="57">
        <f t="shared" si="117"/>
        <v>460</v>
      </c>
      <c r="AG67" s="57">
        <f>AF67/$G67*100</f>
        <v>1022.2222222222222</v>
      </c>
      <c r="AH67" s="16">
        <v>45</v>
      </c>
      <c r="AI67" s="392">
        <f>AH67/G67</f>
        <v>1</v>
      </c>
      <c r="AJ67" s="57"/>
      <c r="AK67" s="200"/>
      <c r="AL67" s="469">
        <f>L67-AK67</f>
        <v>210.55700000000002</v>
      </c>
      <c r="AM67" s="340" t="s">
        <v>307</v>
      </c>
      <c r="AN67" s="326" t="s">
        <v>71</v>
      </c>
    </row>
    <row r="68" spans="1:41" ht="12.75" customHeight="1" x14ac:dyDescent="0.2">
      <c r="A68" s="142"/>
      <c r="B68" s="29">
        <v>3421</v>
      </c>
      <c r="C68" s="29">
        <v>105</v>
      </c>
      <c r="D68" s="220" t="s">
        <v>186</v>
      </c>
      <c r="E68" s="46">
        <v>1000</v>
      </c>
      <c r="F68" s="16"/>
      <c r="G68" s="57">
        <f t="shared" si="109"/>
        <v>1000</v>
      </c>
      <c r="H68" s="201"/>
      <c r="I68" s="200"/>
      <c r="J68" s="46">
        <f>E68+H68</f>
        <v>1000</v>
      </c>
      <c r="K68" s="16"/>
      <c r="L68" s="57">
        <f t="shared" si="111"/>
        <v>1000</v>
      </c>
      <c r="M68" s="46"/>
      <c r="N68" s="16"/>
      <c r="O68" s="57">
        <f t="shared" si="112"/>
        <v>0</v>
      </c>
      <c r="P68" s="57">
        <f t="shared" si="101"/>
        <v>0</v>
      </c>
      <c r="Q68" s="46">
        <f>860+60</f>
        <v>920</v>
      </c>
      <c r="R68" s="16"/>
      <c r="S68" s="57">
        <f t="shared" si="113"/>
        <v>920</v>
      </c>
      <c r="T68" s="57">
        <f t="shared" si="120"/>
        <v>92</v>
      </c>
      <c r="U68" s="46">
        <v>1000</v>
      </c>
      <c r="V68" s="16"/>
      <c r="W68" s="57">
        <f t="shared" si="114"/>
        <v>1000</v>
      </c>
      <c r="X68" s="57">
        <f t="shared" si="121"/>
        <v>100</v>
      </c>
      <c r="Y68" s="46">
        <f>929.5+60</f>
        <v>989.5</v>
      </c>
      <c r="Z68" s="16"/>
      <c r="AA68" s="57">
        <f t="shared" si="115"/>
        <v>989.5</v>
      </c>
      <c r="AB68" s="57">
        <f t="shared" si="122"/>
        <v>98.95</v>
      </c>
      <c r="AC68" s="431">
        <f t="shared" si="116"/>
        <v>10.5</v>
      </c>
      <c r="AD68" s="46">
        <v>1000</v>
      </c>
      <c r="AE68" s="16"/>
      <c r="AF68" s="57">
        <f t="shared" si="117"/>
        <v>1000</v>
      </c>
      <c r="AG68" s="57">
        <f>AF68/$G68*100</f>
        <v>100</v>
      </c>
      <c r="AH68" s="16">
        <v>1000</v>
      </c>
      <c r="AI68" s="392">
        <f>AH68/G68</f>
        <v>1</v>
      </c>
      <c r="AJ68" s="57"/>
      <c r="AK68" s="200"/>
      <c r="AL68" s="469">
        <f>L68-AK68</f>
        <v>1000</v>
      </c>
      <c r="AM68" s="340" t="s">
        <v>307</v>
      </c>
      <c r="AN68" s="326" t="s">
        <v>71</v>
      </c>
    </row>
    <row r="69" spans="1:41" x14ac:dyDescent="0.2">
      <c r="A69" s="143">
        <v>35</v>
      </c>
      <c r="B69" s="24">
        <v>3500</v>
      </c>
      <c r="C69" s="24"/>
      <c r="D69" s="459" t="s">
        <v>118</v>
      </c>
      <c r="E69" s="58">
        <f>SUM(E70:E71)</f>
        <v>0</v>
      </c>
      <c r="F69" s="59">
        <f>SUM(F70:F71)</f>
        <v>0</v>
      </c>
      <c r="G69" s="60">
        <f>SUM(G70:G71)</f>
        <v>0</v>
      </c>
      <c r="H69" s="203">
        <f t="shared" ref="H69:L69" si="124">SUM(H70:H71)</f>
        <v>0</v>
      </c>
      <c r="I69" s="204">
        <f t="shared" si="124"/>
        <v>1619.164</v>
      </c>
      <c r="J69" s="58">
        <f t="shared" si="124"/>
        <v>0</v>
      </c>
      <c r="K69" s="59">
        <f t="shared" si="124"/>
        <v>1619.164</v>
      </c>
      <c r="L69" s="60">
        <f t="shared" si="124"/>
        <v>1619.164</v>
      </c>
      <c r="M69" s="58">
        <f>SUM(M71:M71)</f>
        <v>0</v>
      </c>
      <c r="N69" s="59">
        <f>SUM(N71:N71)</f>
        <v>0</v>
      </c>
      <c r="O69" s="60">
        <f>SUM(O71:O71)</f>
        <v>0</v>
      </c>
      <c r="P69" s="60"/>
      <c r="Q69" s="58">
        <f>SUM(Q71:Q71)</f>
        <v>0</v>
      </c>
      <c r="R69" s="59">
        <f>SUM(R71:R71)</f>
        <v>0</v>
      </c>
      <c r="S69" s="60">
        <f>SUM(S71:S71)</f>
        <v>0</v>
      </c>
      <c r="T69" s="60"/>
      <c r="U69" s="58">
        <f t="shared" ref="U69:AA69" si="125">SUM(U70:U71)</f>
        <v>0</v>
      </c>
      <c r="V69" s="59">
        <f t="shared" si="125"/>
        <v>1619.164</v>
      </c>
      <c r="W69" s="60">
        <f t="shared" si="125"/>
        <v>1619.164</v>
      </c>
      <c r="X69" s="60"/>
      <c r="Y69" s="58">
        <f t="shared" si="125"/>
        <v>0</v>
      </c>
      <c r="Z69" s="59">
        <f t="shared" si="125"/>
        <v>1619.164</v>
      </c>
      <c r="AA69" s="60">
        <f t="shared" si="125"/>
        <v>1619.164</v>
      </c>
      <c r="AB69" s="57">
        <f t="shared" si="122"/>
        <v>100</v>
      </c>
      <c r="AC69" s="432">
        <f>SUM(AC70:AC71)</f>
        <v>0</v>
      </c>
      <c r="AD69" s="58">
        <f t="shared" ref="AD69:AH69" si="126">SUM(AD70:AD71)</f>
        <v>0</v>
      </c>
      <c r="AE69" s="59">
        <f t="shared" si="126"/>
        <v>0</v>
      </c>
      <c r="AF69" s="60">
        <f t="shared" si="126"/>
        <v>0</v>
      </c>
      <c r="AG69" s="60"/>
      <c r="AH69" s="58">
        <f t="shared" si="126"/>
        <v>10000</v>
      </c>
      <c r="AI69" s="393"/>
      <c r="AJ69" s="60"/>
      <c r="AK69" s="204">
        <f t="shared" ref="AK69" si="127">SUM(AK70:AK71)</f>
        <v>0</v>
      </c>
      <c r="AL69" s="470">
        <f>SUM(AL71:AL71)</f>
        <v>0</v>
      </c>
      <c r="AM69" s="58"/>
      <c r="AN69" s="333"/>
    </row>
    <row r="70" spans="1:41" x14ac:dyDescent="0.2">
      <c r="A70" s="92"/>
      <c r="B70" s="32">
        <v>3522</v>
      </c>
      <c r="C70" s="32">
        <v>233</v>
      </c>
      <c r="D70" s="415" t="s">
        <v>358</v>
      </c>
      <c r="E70" s="55"/>
      <c r="F70" s="18"/>
      <c r="G70" s="57">
        <f t="shared" ref="G70" si="128">E70+F70</f>
        <v>0</v>
      </c>
      <c r="H70" s="208"/>
      <c r="I70" s="414">
        <v>1619.164</v>
      </c>
      <c r="J70" s="55"/>
      <c r="K70" s="16">
        <f>F70+I70</f>
        <v>1619.164</v>
      </c>
      <c r="L70" s="57">
        <f t="shared" si="111"/>
        <v>1619.164</v>
      </c>
      <c r="M70" s="55"/>
      <c r="N70" s="18"/>
      <c r="O70" s="56"/>
      <c r="P70" s="56"/>
      <c r="Q70" s="55"/>
      <c r="R70" s="18"/>
      <c r="S70" s="56"/>
      <c r="T70" s="56"/>
      <c r="U70" s="214"/>
      <c r="V70" s="16">
        <v>1619.164</v>
      </c>
      <c r="W70" s="512">
        <f t="shared" si="114"/>
        <v>1619.164</v>
      </c>
      <c r="X70" s="56"/>
      <c r="Y70" s="55"/>
      <c r="Z70" s="529">
        <v>1619.164</v>
      </c>
      <c r="AA70" s="57">
        <f t="shared" si="115"/>
        <v>1619.164</v>
      </c>
      <c r="AB70" s="57">
        <f t="shared" si="122"/>
        <v>100</v>
      </c>
      <c r="AC70" s="431">
        <f t="shared" ref="AC70:AC71" si="129">L70-AA70</f>
        <v>0</v>
      </c>
      <c r="AD70" s="55"/>
      <c r="AE70" s="18"/>
      <c r="AF70" s="57">
        <f t="shared" si="117"/>
        <v>0</v>
      </c>
      <c r="AG70" s="56"/>
      <c r="AH70" s="529">
        <v>10000</v>
      </c>
      <c r="AI70" s="392"/>
      <c r="AJ70" s="56"/>
      <c r="AK70" s="414"/>
      <c r="AL70" s="472"/>
      <c r="AM70" s="55"/>
      <c r="AN70" s="76"/>
    </row>
    <row r="71" spans="1:41" x14ac:dyDescent="0.2">
      <c r="A71" s="92"/>
      <c r="B71" s="32">
        <v>3522</v>
      </c>
      <c r="C71" s="32">
        <v>233</v>
      </c>
      <c r="D71" s="415" t="s">
        <v>359</v>
      </c>
      <c r="E71" s="46"/>
      <c r="F71" s="16"/>
      <c r="G71" s="57">
        <f>E71+F71</f>
        <v>0</v>
      </c>
      <c r="H71" s="201"/>
      <c r="I71" s="414"/>
      <c r="J71" s="46">
        <f>E71+H71</f>
        <v>0</v>
      </c>
      <c r="K71" s="16">
        <f>F71+I71</f>
        <v>0</v>
      </c>
      <c r="L71" s="57">
        <f>SUM(J71:K71)</f>
        <v>0</v>
      </c>
      <c r="M71" s="46"/>
      <c r="N71" s="16"/>
      <c r="O71" s="57">
        <f>M71+N71</f>
        <v>0</v>
      </c>
      <c r="P71" s="57">
        <v>0</v>
      </c>
      <c r="Q71" s="46"/>
      <c r="R71" s="16"/>
      <c r="S71" s="57">
        <f>Q71+R71</f>
        <v>0</v>
      </c>
      <c r="T71" s="57">
        <v>0</v>
      </c>
      <c r="U71" s="46"/>
      <c r="V71" s="16"/>
      <c r="W71" s="57">
        <f>U71+V71</f>
        <v>0</v>
      </c>
      <c r="X71" s="57">
        <v>0</v>
      </c>
      <c r="Y71" s="46"/>
      <c r="Z71" s="16"/>
      <c r="AA71" s="57">
        <f>Y71+Z71</f>
        <v>0</v>
      </c>
      <c r="AB71" s="57">
        <v>0</v>
      </c>
      <c r="AC71" s="431">
        <f t="shared" si="129"/>
        <v>0</v>
      </c>
      <c r="AD71" s="46"/>
      <c r="AE71" s="16"/>
      <c r="AF71" s="57">
        <f>AD71+AE71</f>
        <v>0</v>
      </c>
      <c r="AG71" s="56"/>
      <c r="AH71" s="16"/>
      <c r="AI71" s="395"/>
      <c r="AJ71" s="56"/>
      <c r="AK71" s="414"/>
      <c r="AL71" s="472">
        <f>L71-AK71</f>
        <v>0</v>
      </c>
      <c r="AM71" s="340" t="s">
        <v>214</v>
      </c>
      <c r="AN71" s="326" t="s">
        <v>71</v>
      </c>
    </row>
    <row r="72" spans="1:41" x14ac:dyDescent="0.2">
      <c r="A72" s="143">
        <v>36</v>
      </c>
      <c r="B72" s="24">
        <v>3600</v>
      </c>
      <c r="C72" s="24"/>
      <c r="D72" s="459" t="s">
        <v>76</v>
      </c>
      <c r="E72" s="58">
        <f t="shared" ref="E72:O72" si="130">SUM(E73:E91)</f>
        <v>14057</v>
      </c>
      <c r="F72" s="59">
        <f t="shared" si="130"/>
        <v>700</v>
      </c>
      <c r="G72" s="60">
        <f t="shared" si="130"/>
        <v>14757</v>
      </c>
      <c r="H72" s="203">
        <f t="shared" si="130"/>
        <v>-207.16</v>
      </c>
      <c r="I72" s="204">
        <f t="shared" si="130"/>
        <v>266.05799999999999</v>
      </c>
      <c r="J72" s="58">
        <f t="shared" si="130"/>
        <v>13849.84</v>
      </c>
      <c r="K72" s="59">
        <f t="shared" si="130"/>
        <v>966.05799999999999</v>
      </c>
      <c r="L72" s="60">
        <f t="shared" si="130"/>
        <v>14815.898000000001</v>
      </c>
      <c r="M72" s="58">
        <f t="shared" si="130"/>
        <v>2924.4068799999995</v>
      </c>
      <c r="N72" s="59">
        <f t="shared" si="130"/>
        <v>0</v>
      </c>
      <c r="O72" s="60">
        <f t="shared" si="130"/>
        <v>2924.4068799999995</v>
      </c>
      <c r="P72" s="60">
        <f>O72/$L72*100</f>
        <v>19.73830327395612</v>
      </c>
      <c r="Q72" s="58">
        <f>SUM(Q73:Q91)</f>
        <v>5273.5530099999987</v>
      </c>
      <c r="R72" s="59">
        <f>SUM(R73:R91)</f>
        <v>106.964</v>
      </c>
      <c r="S72" s="60">
        <f>SUM(S73:S91)</f>
        <v>5380.5170099999987</v>
      </c>
      <c r="T72" s="60">
        <f>S72/$L72*100</f>
        <v>36.315834585254287</v>
      </c>
      <c r="U72" s="58">
        <f>SUM(U73:U91)</f>
        <v>7459.6982300000018</v>
      </c>
      <c r="V72" s="59">
        <f>SUM(V73:V91)</f>
        <v>439.71300000000002</v>
      </c>
      <c r="W72" s="60">
        <f>SUM(W73:W91)</f>
        <v>7899.4112300000015</v>
      </c>
      <c r="X72" s="60">
        <f>W72/$L72*100</f>
        <v>53.317127520721328</v>
      </c>
      <c r="Y72" s="58">
        <f>SUM(Y73:Y91)</f>
        <v>11049.461450000001</v>
      </c>
      <c r="Z72" s="59">
        <f>SUM(Z73:Z91)</f>
        <v>762.93799999999999</v>
      </c>
      <c r="AA72" s="60">
        <f>SUM(AA73:AA91)</f>
        <v>11812.399449999999</v>
      </c>
      <c r="AB72" s="60">
        <f>AA72/$L72*100</f>
        <v>79.727866984505411</v>
      </c>
      <c r="AC72" s="432">
        <f>SUM(AC73:AC91)</f>
        <v>3003.4985499999993</v>
      </c>
      <c r="AD72" s="58">
        <f>SUM(AD73:AD91)</f>
        <v>16812</v>
      </c>
      <c r="AE72" s="59">
        <f>SUM(AE73:AE91)</f>
        <v>5800</v>
      </c>
      <c r="AF72" s="60">
        <f>SUM(AF73:AF91)</f>
        <v>22612</v>
      </c>
      <c r="AG72" s="60">
        <f>AF72/$G72*100</f>
        <v>153.22897607914888</v>
      </c>
      <c r="AH72" s="59">
        <f>SUM(AH73:AH91)</f>
        <v>23258</v>
      </c>
      <c r="AI72" s="393">
        <f t="shared" ref="AI72:AI98" si="131">AH72/G72</f>
        <v>1.5760655959883445</v>
      </c>
      <c r="AJ72" s="60"/>
      <c r="AK72" s="204">
        <f>SUM(AK73:AK91)</f>
        <v>0</v>
      </c>
      <c r="AL72" s="470">
        <f>SUM(AL73:AL91)</f>
        <v>14815.898000000001</v>
      </c>
      <c r="AM72" s="58"/>
      <c r="AN72" s="333"/>
    </row>
    <row r="73" spans="1:41" ht="12" customHeight="1" x14ac:dyDescent="0.2">
      <c r="A73" s="142"/>
      <c r="B73" s="29">
        <v>3612</v>
      </c>
      <c r="C73" s="29" t="s">
        <v>322</v>
      </c>
      <c r="D73" s="220" t="s">
        <v>129</v>
      </c>
      <c r="E73" s="46">
        <f>1450+848+2550</f>
        <v>4848</v>
      </c>
      <c r="F73" s="16"/>
      <c r="G73" s="57">
        <f>E73+F73</f>
        <v>4848</v>
      </c>
      <c r="H73" s="205"/>
      <c r="I73" s="202"/>
      <c r="J73" s="46">
        <f t="shared" ref="J73:J91" si="132">E73+H73</f>
        <v>4848</v>
      </c>
      <c r="K73" s="16"/>
      <c r="L73" s="57">
        <f t="shared" ref="L73:L91" si="133">SUM(J73:K73)</f>
        <v>4848</v>
      </c>
      <c r="M73" s="46">
        <v>1042.7534800000001</v>
      </c>
      <c r="N73" s="16"/>
      <c r="O73" s="57">
        <f>M73+N73</f>
        <v>1042.7534800000001</v>
      </c>
      <c r="P73" s="57">
        <f>O73/$L73*100</f>
        <v>21.508941419141916</v>
      </c>
      <c r="Q73" s="46">
        <v>1669.3993499999999</v>
      </c>
      <c r="R73" s="16"/>
      <c r="S73" s="57">
        <f>Q73+R73</f>
        <v>1669.3993499999999</v>
      </c>
      <c r="T73" s="57">
        <f>S73/$L73*100</f>
        <v>34.434805074257426</v>
      </c>
      <c r="U73" s="46">
        <v>2183.1092899999999</v>
      </c>
      <c r="V73" s="16"/>
      <c r="W73" s="57">
        <f>U73+V73</f>
        <v>2183.1092899999999</v>
      </c>
      <c r="X73" s="57">
        <f>W73/$L73*100</f>
        <v>45.031132219471942</v>
      </c>
      <c r="Y73" s="46">
        <v>3264.4419899999998</v>
      </c>
      <c r="Z73" s="16"/>
      <c r="AA73" s="57">
        <f>Y73+Z73</f>
        <v>3264.4419899999998</v>
      </c>
      <c r="AB73" s="57">
        <f>AA73/$L73*100</f>
        <v>67.335849628712865</v>
      </c>
      <c r="AC73" s="431">
        <f t="shared" ref="AC73:AC91" si="134">L73-AA73</f>
        <v>1583.5580100000002</v>
      </c>
      <c r="AD73" s="46">
        <v>5598</v>
      </c>
      <c r="AE73" s="16"/>
      <c r="AF73" s="57">
        <f>AD73+AE73</f>
        <v>5598</v>
      </c>
      <c r="AG73" s="57">
        <f>AF73/$G73*100</f>
        <v>115.47029702970298</v>
      </c>
      <c r="AH73" s="16">
        <v>5598</v>
      </c>
      <c r="AI73" s="392">
        <f t="shared" si="131"/>
        <v>1.1547029702970297</v>
      </c>
      <c r="AJ73" s="57" t="s">
        <v>468</v>
      </c>
      <c r="AK73" s="202"/>
      <c r="AL73" s="469">
        <f t="shared" ref="AL73:AL91" si="135">L73-AK73</f>
        <v>4848</v>
      </c>
      <c r="AM73" s="337" t="s">
        <v>476</v>
      </c>
      <c r="AN73" s="334" t="s">
        <v>321</v>
      </c>
    </row>
    <row r="74" spans="1:41" x14ac:dyDescent="0.2">
      <c r="A74" s="142"/>
      <c r="B74" s="29">
        <v>3612</v>
      </c>
      <c r="C74" s="29" t="s">
        <v>322</v>
      </c>
      <c r="D74" s="220" t="s">
        <v>130</v>
      </c>
      <c r="E74" s="46">
        <v>3650</v>
      </c>
      <c r="F74" s="16"/>
      <c r="G74" s="57">
        <f>E74+F74</f>
        <v>3650</v>
      </c>
      <c r="H74" s="199"/>
      <c r="I74" s="200"/>
      <c r="J74" s="46">
        <f t="shared" si="132"/>
        <v>3650</v>
      </c>
      <c r="K74" s="16"/>
      <c r="L74" s="57">
        <f t="shared" si="133"/>
        <v>3650</v>
      </c>
      <c r="M74" s="507">
        <v>1258.09917</v>
      </c>
      <c r="N74" s="16"/>
      <c r="O74" s="57">
        <f>M74+N74</f>
        <v>1258.09917</v>
      </c>
      <c r="P74" s="57">
        <f>O74/$L74*100</f>
        <v>34.468470410958901</v>
      </c>
      <c r="Q74" s="46">
        <v>2035.39769</v>
      </c>
      <c r="R74" s="16"/>
      <c r="S74" s="57">
        <f>Q74+R74</f>
        <v>2035.39769</v>
      </c>
      <c r="T74" s="57">
        <f>S74/$L74*100</f>
        <v>55.764320273972601</v>
      </c>
      <c r="U74" s="46">
        <v>2538.7123299999998</v>
      </c>
      <c r="V74" s="16"/>
      <c r="W74" s="57">
        <f>U74+V74</f>
        <v>2538.7123299999998</v>
      </c>
      <c r="X74" s="57">
        <f>W74/$L74*100</f>
        <v>69.553762465753422</v>
      </c>
      <c r="Y74" s="46">
        <v>3590.0957100000001</v>
      </c>
      <c r="Z74" s="16"/>
      <c r="AA74" s="57">
        <f>Y74+Z74</f>
        <v>3590.0957100000001</v>
      </c>
      <c r="AB74" s="57">
        <f>AA74/$L74*100</f>
        <v>98.358786575342478</v>
      </c>
      <c r="AC74" s="431">
        <f t="shared" si="134"/>
        <v>59.904289999999946</v>
      </c>
      <c r="AD74" s="46">
        <v>3578</v>
      </c>
      <c r="AE74" s="16"/>
      <c r="AF74" s="57">
        <f>AD74+AE74</f>
        <v>3578</v>
      </c>
      <c r="AG74" s="57">
        <f>AF74/$G74*100</f>
        <v>98.027397260273972</v>
      </c>
      <c r="AH74" s="16">
        <v>3578</v>
      </c>
      <c r="AI74" s="392">
        <f t="shared" si="131"/>
        <v>0.98027397260273974</v>
      </c>
      <c r="AJ74" s="57" t="s">
        <v>334</v>
      </c>
      <c r="AK74" s="200"/>
      <c r="AL74" s="469">
        <f t="shared" si="135"/>
        <v>3650</v>
      </c>
      <c r="AM74" s="337" t="s">
        <v>476</v>
      </c>
      <c r="AN74" s="334" t="s">
        <v>321</v>
      </c>
    </row>
    <row r="75" spans="1:41" x14ac:dyDescent="0.2">
      <c r="A75" s="142"/>
      <c r="B75" s="29">
        <v>3612</v>
      </c>
      <c r="C75" s="29">
        <v>218</v>
      </c>
      <c r="D75" s="220" t="s">
        <v>382</v>
      </c>
      <c r="E75" s="46">
        <v>300</v>
      </c>
      <c r="F75" s="16"/>
      <c r="G75" s="57">
        <f>E75+F75</f>
        <v>300</v>
      </c>
      <c r="H75" s="199"/>
      <c r="I75" s="200"/>
      <c r="J75" s="46">
        <f t="shared" si="132"/>
        <v>300</v>
      </c>
      <c r="K75" s="16"/>
      <c r="L75" s="57">
        <f t="shared" si="133"/>
        <v>300</v>
      </c>
      <c r="M75" s="46">
        <v>0</v>
      </c>
      <c r="N75" s="16"/>
      <c r="O75" s="57">
        <f>M75+N75</f>
        <v>0</v>
      </c>
      <c r="P75" s="57">
        <f>O75/$L75*100</f>
        <v>0</v>
      </c>
      <c r="Q75" s="46">
        <v>16</v>
      </c>
      <c r="R75" s="16"/>
      <c r="S75" s="57">
        <f>Q75+R75</f>
        <v>16</v>
      </c>
      <c r="T75" s="57">
        <f>S75/$L75*100</f>
        <v>5.3333333333333339</v>
      </c>
      <c r="U75" s="46">
        <v>137.053</v>
      </c>
      <c r="V75" s="16"/>
      <c r="W75" s="57">
        <f>U75+V75</f>
        <v>137.053</v>
      </c>
      <c r="X75" s="57">
        <f>W75/$L75*100</f>
        <v>45.684333333333335</v>
      </c>
      <c r="Y75" s="46">
        <v>152.29900000000001</v>
      </c>
      <c r="Z75" s="16"/>
      <c r="AA75" s="57">
        <f>Y75+Z75</f>
        <v>152.29900000000001</v>
      </c>
      <c r="AB75" s="57">
        <f>AA75/$L75*100</f>
        <v>50.766333333333336</v>
      </c>
      <c r="AC75" s="431">
        <f t="shared" si="134"/>
        <v>147.70099999999999</v>
      </c>
      <c r="AD75" s="46">
        <v>350</v>
      </c>
      <c r="AE75" s="16"/>
      <c r="AF75" s="57">
        <f>AD75+AE75</f>
        <v>350</v>
      </c>
      <c r="AG75" s="57">
        <f t="shared" ref="AG75:AG81" si="136">AF75/$G75*100</f>
        <v>116.66666666666667</v>
      </c>
      <c r="AH75" s="16">
        <v>350</v>
      </c>
      <c r="AI75" s="392">
        <f t="shared" si="131"/>
        <v>1.1666666666666667</v>
      </c>
      <c r="AJ75" s="57" t="s">
        <v>455</v>
      </c>
      <c r="AK75" s="200"/>
      <c r="AL75" s="469">
        <f t="shared" si="135"/>
        <v>300</v>
      </c>
      <c r="AM75" s="341" t="s">
        <v>345</v>
      </c>
      <c r="AN75" s="328" t="s">
        <v>121</v>
      </c>
    </row>
    <row r="76" spans="1:41" x14ac:dyDescent="0.2">
      <c r="A76" s="142"/>
      <c r="B76" s="29">
        <v>3612</v>
      </c>
      <c r="C76" s="29">
        <v>326</v>
      </c>
      <c r="D76" s="220" t="s">
        <v>294</v>
      </c>
      <c r="E76" s="46"/>
      <c r="F76" s="16">
        <v>500</v>
      </c>
      <c r="G76" s="57">
        <f t="shared" ref="G76:G91" si="137">E76+F76</f>
        <v>500</v>
      </c>
      <c r="H76" s="199"/>
      <c r="I76" s="200"/>
      <c r="J76" s="46">
        <f t="shared" si="132"/>
        <v>0</v>
      </c>
      <c r="K76" s="16">
        <f>F76+I76</f>
        <v>500</v>
      </c>
      <c r="L76" s="57">
        <f t="shared" si="133"/>
        <v>500</v>
      </c>
      <c r="M76" s="46">
        <v>0</v>
      </c>
      <c r="N76" s="16"/>
      <c r="O76" s="57">
        <f t="shared" ref="O76:O91" si="138">M76+N76</f>
        <v>0</v>
      </c>
      <c r="P76" s="57">
        <f t="shared" ref="P76:P91" si="139">O76/$L76*100</f>
        <v>0</v>
      </c>
      <c r="Q76" s="46"/>
      <c r="R76" s="16">
        <v>106.964</v>
      </c>
      <c r="S76" s="57">
        <f t="shared" ref="S76:S91" si="140">Q76+R76</f>
        <v>106.964</v>
      </c>
      <c r="T76" s="57">
        <f t="shared" ref="T76:T94" si="141">S76/$L76*100</f>
        <v>21.392800000000001</v>
      </c>
      <c r="U76" s="46"/>
      <c r="V76" s="16">
        <v>439.71300000000002</v>
      </c>
      <c r="W76" s="57">
        <f t="shared" ref="W76:W91" si="142">U76+V76</f>
        <v>439.71300000000002</v>
      </c>
      <c r="X76" s="57">
        <f t="shared" ref="X76:X94" si="143">W76/$L76*100</f>
        <v>87.942599999999999</v>
      </c>
      <c r="Y76" s="46">
        <v>100</v>
      </c>
      <c r="Z76" s="16">
        <v>452.41800000000001</v>
      </c>
      <c r="AA76" s="57">
        <f t="shared" ref="AA76:AA91" si="144">Y76+Z76</f>
        <v>552.41800000000001</v>
      </c>
      <c r="AB76" s="57">
        <f t="shared" ref="AB76:AB94" si="145">AA76/$L76*100</f>
        <v>110.4836</v>
      </c>
      <c r="AC76" s="431">
        <f t="shared" si="134"/>
        <v>-52.418000000000006</v>
      </c>
      <c r="AD76" s="46"/>
      <c r="AE76" s="16">
        <v>2000</v>
      </c>
      <c r="AF76" s="57">
        <f t="shared" ref="AF76:AF91" si="146">AD76+AE76</f>
        <v>2000</v>
      </c>
      <c r="AG76" s="57">
        <f t="shared" si="136"/>
        <v>400</v>
      </c>
      <c r="AH76" s="16">
        <v>2000</v>
      </c>
      <c r="AI76" s="392">
        <f t="shared" si="131"/>
        <v>4</v>
      </c>
      <c r="AJ76" s="57" t="s">
        <v>341</v>
      </c>
      <c r="AK76" s="200"/>
      <c r="AL76" s="469">
        <f t="shared" si="135"/>
        <v>500</v>
      </c>
      <c r="AM76" s="341" t="s">
        <v>345</v>
      </c>
      <c r="AN76" s="328" t="s">
        <v>121</v>
      </c>
    </row>
    <row r="77" spans="1:41" x14ac:dyDescent="0.2">
      <c r="A77" s="142"/>
      <c r="B77" s="29">
        <v>3613</v>
      </c>
      <c r="C77" s="29">
        <v>104</v>
      </c>
      <c r="D77" s="220" t="s">
        <v>297</v>
      </c>
      <c r="E77" s="46">
        <f>55+300</f>
        <v>355</v>
      </c>
      <c r="F77" s="16"/>
      <c r="G77" s="57">
        <f t="shared" si="137"/>
        <v>355</v>
      </c>
      <c r="H77" s="199"/>
      <c r="I77" s="200"/>
      <c r="J77" s="46">
        <f t="shared" si="132"/>
        <v>355</v>
      </c>
      <c r="K77" s="16"/>
      <c r="L77" s="57">
        <f t="shared" si="133"/>
        <v>355</v>
      </c>
      <c r="M77" s="46"/>
      <c r="N77" s="16"/>
      <c r="O77" s="57">
        <f t="shared" si="138"/>
        <v>0</v>
      </c>
      <c r="P77" s="57">
        <f t="shared" si="139"/>
        <v>0</v>
      </c>
      <c r="Q77" s="46">
        <v>164.3785</v>
      </c>
      <c r="R77" s="16"/>
      <c r="S77" s="57">
        <f>Q77+R77</f>
        <v>164.3785</v>
      </c>
      <c r="T77" s="57">
        <f t="shared" si="141"/>
        <v>46.30380281690141</v>
      </c>
      <c r="U77" s="46">
        <v>252.89</v>
      </c>
      <c r="V77" s="16"/>
      <c r="W77" s="57">
        <f t="shared" si="142"/>
        <v>252.89</v>
      </c>
      <c r="X77" s="57">
        <f t="shared" si="143"/>
        <v>71.236619718309854</v>
      </c>
      <c r="Y77" s="46">
        <v>310.97500000000002</v>
      </c>
      <c r="Z77" s="16"/>
      <c r="AA77" s="57">
        <f t="shared" si="144"/>
        <v>310.97500000000002</v>
      </c>
      <c r="AB77" s="57">
        <f t="shared" si="145"/>
        <v>87.598591549295776</v>
      </c>
      <c r="AC77" s="431">
        <f t="shared" si="134"/>
        <v>44.024999999999977</v>
      </c>
      <c r="AD77" s="46">
        <v>0</v>
      </c>
      <c r="AE77" s="16"/>
      <c r="AF77" s="57">
        <f t="shared" si="146"/>
        <v>0</v>
      </c>
      <c r="AG77" s="57">
        <f t="shared" si="136"/>
        <v>0</v>
      </c>
      <c r="AH77" s="16">
        <v>0</v>
      </c>
      <c r="AI77" s="392">
        <f t="shared" si="131"/>
        <v>0</v>
      </c>
      <c r="AJ77" s="57" t="s">
        <v>432</v>
      </c>
      <c r="AK77" s="200"/>
      <c r="AL77" s="469">
        <f t="shared" si="135"/>
        <v>355</v>
      </c>
      <c r="AM77" s="341" t="s">
        <v>475</v>
      </c>
      <c r="AN77" s="328" t="s">
        <v>69</v>
      </c>
    </row>
    <row r="78" spans="1:41" x14ac:dyDescent="0.2">
      <c r="A78" s="142"/>
      <c r="B78" s="29">
        <v>3613</v>
      </c>
      <c r="C78" s="29">
        <v>316</v>
      </c>
      <c r="D78" s="220" t="s">
        <v>422</v>
      </c>
      <c r="E78" s="46"/>
      <c r="F78" s="16"/>
      <c r="G78" s="57"/>
      <c r="H78" s="199"/>
      <c r="I78" s="200"/>
      <c r="J78" s="46"/>
      <c r="K78" s="16"/>
      <c r="L78" s="57"/>
      <c r="M78" s="46"/>
      <c r="N78" s="16"/>
      <c r="O78" s="57"/>
      <c r="P78" s="57"/>
      <c r="Q78" s="46"/>
      <c r="R78" s="16"/>
      <c r="S78" s="57"/>
      <c r="T78" s="57"/>
      <c r="U78" s="46">
        <v>3</v>
      </c>
      <c r="V78" s="16"/>
      <c r="W78" s="57">
        <f t="shared" si="142"/>
        <v>3</v>
      </c>
      <c r="X78" s="57"/>
      <c r="Y78" s="46">
        <v>107.85</v>
      </c>
      <c r="Z78" s="16"/>
      <c r="AA78" s="57">
        <f t="shared" si="144"/>
        <v>107.85</v>
      </c>
      <c r="AB78" s="57"/>
      <c r="AC78" s="431">
        <f t="shared" si="134"/>
        <v>-107.85</v>
      </c>
      <c r="AD78" s="46">
        <v>422</v>
      </c>
      <c r="AE78" s="16">
        <f>1500+2000</f>
        <v>3500</v>
      </c>
      <c r="AF78" s="57">
        <f t="shared" si="146"/>
        <v>3922</v>
      </c>
      <c r="AG78" s="57"/>
      <c r="AH78" s="16">
        <f>1922+2000</f>
        <v>3922</v>
      </c>
      <c r="AI78" s="392"/>
      <c r="AJ78" s="57" t="s">
        <v>574</v>
      </c>
      <c r="AK78" s="200"/>
      <c r="AL78" s="469"/>
      <c r="AM78" s="341" t="s">
        <v>168</v>
      </c>
      <c r="AN78" s="328" t="s">
        <v>121</v>
      </c>
    </row>
    <row r="79" spans="1:41" x14ac:dyDescent="0.2">
      <c r="A79" s="142"/>
      <c r="B79" s="29">
        <v>3613</v>
      </c>
      <c r="C79" s="29">
        <v>317</v>
      </c>
      <c r="D79" s="220" t="s">
        <v>217</v>
      </c>
      <c r="E79" s="46">
        <v>200</v>
      </c>
      <c r="F79" s="16"/>
      <c r="G79" s="57">
        <f t="shared" si="137"/>
        <v>200</v>
      </c>
      <c r="H79" s="199"/>
      <c r="I79" s="202"/>
      <c r="J79" s="46">
        <f t="shared" si="132"/>
        <v>200</v>
      </c>
      <c r="K79" s="16"/>
      <c r="L79" s="57">
        <f t="shared" si="133"/>
        <v>200</v>
      </c>
      <c r="M79" s="46">
        <v>12.558</v>
      </c>
      <c r="N79" s="16"/>
      <c r="O79" s="57">
        <f t="shared" si="138"/>
        <v>12.558</v>
      </c>
      <c r="P79" s="57">
        <f t="shared" si="139"/>
        <v>6.2789999999999999</v>
      </c>
      <c r="Q79" s="46">
        <v>23.315000000000001</v>
      </c>
      <c r="R79" s="16"/>
      <c r="S79" s="57">
        <f t="shared" si="140"/>
        <v>23.315000000000001</v>
      </c>
      <c r="T79" s="57">
        <f t="shared" si="141"/>
        <v>11.657500000000001</v>
      </c>
      <c r="U79" s="46">
        <v>29.215</v>
      </c>
      <c r="V79" s="16"/>
      <c r="W79" s="57">
        <f t="shared" si="142"/>
        <v>29.215</v>
      </c>
      <c r="X79" s="57">
        <f t="shared" si="143"/>
        <v>14.607500000000002</v>
      </c>
      <c r="Y79" s="46">
        <v>103.02500000000001</v>
      </c>
      <c r="Z79" s="16"/>
      <c r="AA79" s="57">
        <f t="shared" si="144"/>
        <v>103.02500000000001</v>
      </c>
      <c r="AB79" s="57">
        <f t="shared" si="145"/>
        <v>51.512500000000003</v>
      </c>
      <c r="AC79" s="431">
        <f t="shared" si="134"/>
        <v>96.974999999999994</v>
      </c>
      <c r="AD79" s="46">
        <v>150</v>
      </c>
      <c r="AE79" s="16"/>
      <c r="AF79" s="57">
        <f t="shared" si="146"/>
        <v>150</v>
      </c>
      <c r="AG79" s="57">
        <f t="shared" si="136"/>
        <v>75</v>
      </c>
      <c r="AH79" s="16">
        <v>150</v>
      </c>
      <c r="AI79" s="392">
        <f t="shared" si="131"/>
        <v>0.75</v>
      </c>
      <c r="AJ79" s="57"/>
      <c r="AK79" s="202"/>
      <c r="AL79" s="469">
        <f t="shared" si="135"/>
        <v>200</v>
      </c>
      <c r="AM79" s="343" t="s">
        <v>360</v>
      </c>
      <c r="AN79" s="328" t="s">
        <v>69</v>
      </c>
    </row>
    <row r="80" spans="1:41" x14ac:dyDescent="0.2">
      <c r="A80" s="142"/>
      <c r="B80" s="29">
        <v>3613</v>
      </c>
      <c r="C80" s="29">
        <v>703</v>
      </c>
      <c r="D80" s="220" t="s">
        <v>131</v>
      </c>
      <c r="E80" s="46">
        <v>275</v>
      </c>
      <c r="F80" s="16"/>
      <c r="G80" s="57">
        <f t="shared" si="137"/>
        <v>275</v>
      </c>
      <c r="H80" s="199"/>
      <c r="I80" s="200"/>
      <c r="J80" s="46">
        <f t="shared" si="132"/>
        <v>275</v>
      </c>
      <c r="K80" s="16"/>
      <c r="L80" s="57">
        <f t="shared" si="133"/>
        <v>275</v>
      </c>
      <c r="M80" s="46">
        <v>17.705909999999999</v>
      </c>
      <c r="N80" s="16"/>
      <c r="O80" s="57">
        <f t="shared" si="138"/>
        <v>17.705909999999999</v>
      </c>
      <c r="P80" s="57">
        <f t="shared" si="139"/>
        <v>6.4385127272727267</v>
      </c>
      <c r="Q80" s="46">
        <v>50.482959999999999</v>
      </c>
      <c r="R80" s="16"/>
      <c r="S80" s="57">
        <f t="shared" si="140"/>
        <v>50.482959999999999</v>
      </c>
      <c r="T80" s="57">
        <f t="shared" si="141"/>
        <v>18.35744</v>
      </c>
      <c r="U80" s="46">
        <v>61.04542</v>
      </c>
      <c r="V80" s="16"/>
      <c r="W80" s="57">
        <f t="shared" si="142"/>
        <v>61.04542</v>
      </c>
      <c r="X80" s="57">
        <f t="shared" si="143"/>
        <v>22.198334545454546</v>
      </c>
      <c r="Y80" s="46">
        <v>83.553120000000007</v>
      </c>
      <c r="Z80" s="16"/>
      <c r="AA80" s="57">
        <f t="shared" si="144"/>
        <v>83.553120000000007</v>
      </c>
      <c r="AB80" s="57">
        <f t="shared" si="145"/>
        <v>30.382952727272727</v>
      </c>
      <c r="AC80" s="431">
        <f t="shared" si="134"/>
        <v>191.44687999999999</v>
      </c>
      <c r="AD80" s="46">
        <v>300</v>
      </c>
      <c r="AE80" s="16"/>
      <c r="AF80" s="57">
        <f t="shared" si="146"/>
        <v>300</v>
      </c>
      <c r="AG80" s="57">
        <f t="shared" si="136"/>
        <v>109.09090909090908</v>
      </c>
      <c r="AH80" s="16">
        <v>300</v>
      </c>
      <c r="AI80" s="392">
        <f t="shared" si="131"/>
        <v>1.0909090909090908</v>
      </c>
      <c r="AJ80" s="57" t="s">
        <v>469</v>
      </c>
      <c r="AK80" s="200"/>
      <c r="AL80" s="469">
        <f t="shared" si="135"/>
        <v>275</v>
      </c>
      <c r="AM80" s="337" t="s">
        <v>476</v>
      </c>
      <c r="AN80" s="334" t="s">
        <v>321</v>
      </c>
    </row>
    <row r="81" spans="1:40" x14ac:dyDescent="0.2">
      <c r="A81" s="142"/>
      <c r="B81" s="29">
        <v>3613</v>
      </c>
      <c r="C81" s="29">
        <v>703</v>
      </c>
      <c r="D81" s="220" t="s">
        <v>132</v>
      </c>
      <c r="E81" s="46">
        <v>331</v>
      </c>
      <c r="F81" s="16"/>
      <c r="G81" s="57">
        <f t="shared" si="137"/>
        <v>331</v>
      </c>
      <c r="H81" s="199"/>
      <c r="I81" s="200"/>
      <c r="J81" s="46">
        <f t="shared" si="132"/>
        <v>331</v>
      </c>
      <c r="K81" s="16"/>
      <c r="L81" s="57">
        <f t="shared" si="133"/>
        <v>331</v>
      </c>
      <c r="M81" s="46">
        <v>25.602429999999998</v>
      </c>
      <c r="N81" s="16"/>
      <c r="O81" s="57">
        <f t="shared" si="138"/>
        <v>25.602429999999998</v>
      </c>
      <c r="P81" s="57">
        <f t="shared" si="139"/>
        <v>7.7348731117824769</v>
      </c>
      <c r="Q81" s="46">
        <v>45.992429999999999</v>
      </c>
      <c r="R81" s="16"/>
      <c r="S81" s="57">
        <f t="shared" si="140"/>
        <v>45.992429999999999</v>
      </c>
      <c r="T81" s="57">
        <f t="shared" si="141"/>
        <v>13.894993957703928</v>
      </c>
      <c r="U81" s="46">
        <v>68.162430000000001</v>
      </c>
      <c r="V81" s="16"/>
      <c r="W81" s="57">
        <f t="shared" si="142"/>
        <v>68.162430000000001</v>
      </c>
      <c r="X81" s="57">
        <f t="shared" si="143"/>
        <v>20.592879154078549</v>
      </c>
      <c r="Y81" s="46">
        <v>108.71742999999999</v>
      </c>
      <c r="Z81" s="16"/>
      <c r="AA81" s="57">
        <f t="shared" si="144"/>
        <v>108.71742999999999</v>
      </c>
      <c r="AB81" s="57">
        <f t="shared" si="145"/>
        <v>32.845145015105736</v>
      </c>
      <c r="AC81" s="431">
        <f t="shared" si="134"/>
        <v>222.28257000000002</v>
      </c>
      <c r="AD81" s="46">
        <v>331</v>
      </c>
      <c r="AE81" s="16"/>
      <c r="AF81" s="57">
        <f t="shared" si="146"/>
        <v>331</v>
      </c>
      <c r="AG81" s="57">
        <f t="shared" si="136"/>
        <v>100</v>
      </c>
      <c r="AH81" s="16">
        <v>331</v>
      </c>
      <c r="AI81" s="392">
        <f t="shared" si="131"/>
        <v>1</v>
      </c>
      <c r="AJ81" s="57"/>
      <c r="AK81" s="200"/>
      <c r="AL81" s="469">
        <f t="shared" si="135"/>
        <v>331</v>
      </c>
      <c r="AM81" s="337" t="s">
        <v>476</v>
      </c>
      <c r="AN81" s="334" t="s">
        <v>321</v>
      </c>
    </row>
    <row r="82" spans="1:40" x14ac:dyDescent="0.2">
      <c r="A82" s="142"/>
      <c r="B82" s="29"/>
      <c r="C82" s="29"/>
      <c r="D82" s="461" t="s">
        <v>458</v>
      </c>
      <c r="E82" s="46"/>
      <c r="F82" s="16"/>
      <c r="G82" s="57"/>
      <c r="H82" s="199"/>
      <c r="I82" s="200"/>
      <c r="J82" s="46"/>
      <c r="K82" s="16"/>
      <c r="L82" s="57"/>
      <c r="M82" s="46"/>
      <c r="N82" s="16"/>
      <c r="O82" s="57"/>
      <c r="P82" s="57"/>
      <c r="Q82" s="46"/>
      <c r="R82" s="16"/>
      <c r="S82" s="57"/>
      <c r="T82" s="57"/>
      <c r="U82" s="46"/>
      <c r="V82" s="16"/>
      <c r="W82" s="57"/>
      <c r="X82" s="57"/>
      <c r="Y82" s="46"/>
      <c r="Z82" s="16"/>
      <c r="AA82" s="57"/>
      <c r="AB82" s="57"/>
      <c r="AC82" s="431">
        <f t="shared" si="134"/>
        <v>0</v>
      </c>
      <c r="AD82" s="46">
        <f>2797-646</f>
        <v>2151</v>
      </c>
      <c r="AE82" s="16"/>
      <c r="AF82" s="57">
        <f t="shared" si="146"/>
        <v>2151</v>
      </c>
      <c r="AG82" s="57"/>
      <c r="AH82" s="16">
        <v>2797</v>
      </c>
      <c r="AI82" s="392"/>
      <c r="AJ82" s="57" t="s">
        <v>461</v>
      </c>
      <c r="AK82" s="200"/>
      <c r="AL82" s="469"/>
      <c r="AM82" s="341" t="s">
        <v>366</v>
      </c>
      <c r="AN82" s="328" t="s">
        <v>345</v>
      </c>
    </row>
    <row r="83" spans="1:40" x14ac:dyDescent="0.2">
      <c r="A83" s="142"/>
      <c r="B83" s="29">
        <v>3631</v>
      </c>
      <c r="C83" s="29">
        <v>107</v>
      </c>
      <c r="D83" s="220" t="s">
        <v>78</v>
      </c>
      <c r="E83" s="46">
        <v>1620</v>
      </c>
      <c r="F83" s="16"/>
      <c r="G83" s="57">
        <f t="shared" si="137"/>
        <v>1620</v>
      </c>
      <c r="H83" s="199"/>
      <c r="I83" s="200">
        <v>266.05799999999999</v>
      </c>
      <c r="J83" s="46">
        <f t="shared" si="132"/>
        <v>1620</v>
      </c>
      <c r="K83" s="16">
        <f>F83+I83</f>
        <v>266.05799999999999</v>
      </c>
      <c r="L83" s="57">
        <f t="shared" si="133"/>
        <v>1886.058</v>
      </c>
      <c r="M83" s="46">
        <v>322.67700000000002</v>
      </c>
      <c r="N83" s="16"/>
      <c r="O83" s="57">
        <f t="shared" si="138"/>
        <v>322.67700000000002</v>
      </c>
      <c r="P83" s="57">
        <f t="shared" si="139"/>
        <v>17.108540670541416</v>
      </c>
      <c r="Q83" s="46">
        <v>662.12</v>
      </c>
      <c r="R83" s="16"/>
      <c r="S83" s="57">
        <f t="shared" si="140"/>
        <v>662.12</v>
      </c>
      <c r="T83" s="57">
        <f t="shared" si="141"/>
        <v>35.106025371436083</v>
      </c>
      <c r="U83" s="46">
        <v>992.23099999999999</v>
      </c>
      <c r="V83" s="16"/>
      <c r="W83" s="57">
        <f t="shared" si="142"/>
        <v>992.23099999999999</v>
      </c>
      <c r="X83" s="57">
        <f t="shared" si="143"/>
        <v>52.608721470919775</v>
      </c>
      <c r="Y83" s="46">
        <f>1879.32-Z83</f>
        <v>1613.2619999999999</v>
      </c>
      <c r="Z83" s="16">
        <v>266.05799999999999</v>
      </c>
      <c r="AA83" s="57">
        <f t="shared" si="144"/>
        <v>1879.32</v>
      </c>
      <c r="AB83" s="57">
        <f t="shared" si="145"/>
        <v>99.642746935672179</v>
      </c>
      <c r="AC83" s="431">
        <f t="shared" si="134"/>
        <v>6.7380000000000564</v>
      </c>
      <c r="AD83" s="46">
        <v>1620</v>
      </c>
      <c r="AE83" s="16"/>
      <c r="AF83" s="57">
        <f t="shared" si="146"/>
        <v>1620</v>
      </c>
      <c r="AG83" s="57">
        <f t="shared" ref="AG83:AG91" si="147">AF83/$G83*100</f>
        <v>100</v>
      </c>
      <c r="AH83" s="16">
        <v>1620</v>
      </c>
      <c r="AI83" s="392">
        <f t="shared" si="131"/>
        <v>1</v>
      </c>
      <c r="AJ83" s="57"/>
      <c r="AK83" s="200"/>
      <c r="AL83" s="469">
        <f t="shared" si="135"/>
        <v>1886.058</v>
      </c>
      <c r="AM83" s="341" t="s">
        <v>212</v>
      </c>
      <c r="AN83" s="328" t="s">
        <v>121</v>
      </c>
    </row>
    <row r="84" spans="1:40" x14ac:dyDescent="0.2">
      <c r="A84" s="142"/>
      <c r="B84" s="29">
        <v>3632</v>
      </c>
      <c r="C84" s="29">
        <v>238</v>
      </c>
      <c r="D84" s="220" t="s">
        <v>39</v>
      </c>
      <c r="E84" s="46">
        <v>360</v>
      </c>
      <c r="F84" s="16">
        <v>200</v>
      </c>
      <c r="G84" s="57">
        <f t="shared" si="137"/>
        <v>560</v>
      </c>
      <c r="H84" s="199"/>
      <c r="I84" s="200"/>
      <c r="J84" s="46">
        <f t="shared" si="132"/>
        <v>360</v>
      </c>
      <c r="K84" s="16">
        <f>F84+I84</f>
        <v>200</v>
      </c>
      <c r="L84" s="57">
        <f t="shared" si="133"/>
        <v>560</v>
      </c>
      <c r="M84" s="46">
        <v>64.542000000000002</v>
      </c>
      <c r="N84" s="16"/>
      <c r="O84" s="57">
        <f t="shared" si="138"/>
        <v>64.542000000000002</v>
      </c>
      <c r="P84" s="57">
        <f t="shared" si="139"/>
        <v>11.525357142857143</v>
      </c>
      <c r="Q84" s="46">
        <v>134.624</v>
      </c>
      <c r="R84" s="16"/>
      <c r="S84" s="57">
        <f t="shared" si="140"/>
        <v>134.624</v>
      </c>
      <c r="T84" s="57">
        <f t="shared" si="141"/>
        <v>24.04</v>
      </c>
      <c r="U84" s="46">
        <v>235.29400000000001</v>
      </c>
      <c r="V84" s="16"/>
      <c r="W84" s="57">
        <f t="shared" si="142"/>
        <v>235.29400000000001</v>
      </c>
      <c r="X84" s="57">
        <f t="shared" si="143"/>
        <v>42.016785714285717</v>
      </c>
      <c r="Y84" s="46">
        <f>359.903-Z84</f>
        <v>315.44100000000003</v>
      </c>
      <c r="Z84" s="16">
        <v>44.462000000000003</v>
      </c>
      <c r="AA84" s="57">
        <f t="shared" si="144"/>
        <v>359.90300000000002</v>
      </c>
      <c r="AB84" s="57">
        <f t="shared" si="145"/>
        <v>64.268392857142871</v>
      </c>
      <c r="AC84" s="431">
        <f t="shared" si="134"/>
        <v>200.09699999999998</v>
      </c>
      <c r="AD84" s="46">
        <v>360</v>
      </c>
      <c r="AE84" s="16">
        <v>300</v>
      </c>
      <c r="AF84" s="57">
        <f t="shared" si="146"/>
        <v>660</v>
      </c>
      <c r="AG84" s="57">
        <f t="shared" si="147"/>
        <v>117.85714285714286</v>
      </c>
      <c r="AH84" s="16">
        <v>660</v>
      </c>
      <c r="AI84" s="392">
        <f t="shared" si="131"/>
        <v>1.1785714285714286</v>
      </c>
      <c r="AJ84" s="57" t="s">
        <v>433</v>
      </c>
      <c r="AK84" s="200"/>
      <c r="AL84" s="469">
        <f t="shared" si="135"/>
        <v>560</v>
      </c>
      <c r="AM84" s="343" t="s">
        <v>360</v>
      </c>
      <c r="AN84" s="328" t="s">
        <v>69</v>
      </c>
    </row>
    <row r="85" spans="1:40" x14ac:dyDescent="0.2">
      <c r="A85" s="142"/>
      <c r="B85" s="29">
        <v>3635</v>
      </c>
      <c r="C85" s="29">
        <v>248</v>
      </c>
      <c r="D85" s="220" t="s">
        <v>220</v>
      </c>
      <c r="E85" s="46">
        <v>100</v>
      </c>
      <c r="F85" s="16"/>
      <c r="G85" s="57">
        <f t="shared" si="137"/>
        <v>100</v>
      </c>
      <c r="H85" s="199"/>
      <c r="I85" s="200"/>
      <c r="J85" s="46">
        <f t="shared" si="132"/>
        <v>100</v>
      </c>
      <c r="K85" s="16"/>
      <c r="L85" s="57">
        <f t="shared" si="133"/>
        <v>100</v>
      </c>
      <c r="M85" s="46"/>
      <c r="N85" s="16"/>
      <c r="O85" s="57">
        <f t="shared" si="138"/>
        <v>0</v>
      </c>
      <c r="P85" s="57">
        <f t="shared" si="139"/>
        <v>0</v>
      </c>
      <c r="Q85" s="46">
        <v>0</v>
      </c>
      <c r="R85" s="16"/>
      <c r="S85" s="57">
        <f t="shared" si="140"/>
        <v>0</v>
      </c>
      <c r="T85" s="57">
        <f t="shared" si="141"/>
        <v>0</v>
      </c>
      <c r="U85" s="46">
        <v>0</v>
      </c>
      <c r="V85" s="16"/>
      <c r="W85" s="57">
        <f t="shared" si="142"/>
        <v>0</v>
      </c>
      <c r="X85" s="57">
        <f t="shared" si="143"/>
        <v>0</v>
      </c>
      <c r="Y85" s="46">
        <v>26.082999999999998</v>
      </c>
      <c r="Z85" s="16"/>
      <c r="AA85" s="57">
        <f t="shared" si="144"/>
        <v>26.082999999999998</v>
      </c>
      <c r="AB85" s="57">
        <f t="shared" si="145"/>
        <v>26.083000000000002</v>
      </c>
      <c r="AC85" s="431">
        <f t="shared" si="134"/>
        <v>73.917000000000002</v>
      </c>
      <c r="AD85" s="46">
        <v>100</v>
      </c>
      <c r="AE85" s="16"/>
      <c r="AF85" s="57">
        <f t="shared" si="146"/>
        <v>100</v>
      </c>
      <c r="AG85" s="57">
        <f t="shared" si="147"/>
        <v>100</v>
      </c>
      <c r="AH85" s="16">
        <v>100</v>
      </c>
      <c r="AI85" s="392">
        <f t="shared" si="131"/>
        <v>1</v>
      </c>
      <c r="AJ85" s="57"/>
      <c r="AK85" s="200"/>
      <c r="AL85" s="469">
        <f t="shared" si="135"/>
        <v>100</v>
      </c>
      <c r="AM85" s="344" t="s">
        <v>219</v>
      </c>
      <c r="AN85" s="335" t="s">
        <v>218</v>
      </c>
    </row>
    <row r="86" spans="1:40" x14ac:dyDescent="0.2">
      <c r="A86" s="142"/>
      <c r="B86" s="29">
        <v>3636</v>
      </c>
      <c r="C86" s="29">
        <v>249</v>
      </c>
      <c r="D86" s="220" t="s">
        <v>279</v>
      </c>
      <c r="E86" s="46">
        <v>141</v>
      </c>
      <c r="F86" s="16"/>
      <c r="G86" s="57">
        <f t="shared" si="137"/>
        <v>141</v>
      </c>
      <c r="H86" s="205">
        <v>42.84</v>
      </c>
      <c r="I86" s="200"/>
      <c r="J86" s="46">
        <f t="shared" si="132"/>
        <v>183.84</v>
      </c>
      <c r="K86" s="16"/>
      <c r="L86" s="57">
        <f t="shared" si="133"/>
        <v>183.84</v>
      </c>
      <c r="M86" s="46">
        <v>1.877</v>
      </c>
      <c r="N86" s="16"/>
      <c r="O86" s="57">
        <f t="shared" si="138"/>
        <v>1.877</v>
      </c>
      <c r="P86" s="57">
        <f t="shared" si="139"/>
        <v>1.0209965187119234</v>
      </c>
      <c r="Q86" s="46">
        <v>21.908000000000001</v>
      </c>
      <c r="R86" s="16"/>
      <c r="S86" s="57">
        <f t="shared" si="140"/>
        <v>21.908000000000001</v>
      </c>
      <c r="T86" s="57">
        <f t="shared" si="141"/>
        <v>11.916884247171454</v>
      </c>
      <c r="U86" s="46">
        <v>54.866</v>
      </c>
      <c r="V86" s="16"/>
      <c r="W86" s="57">
        <f t="shared" si="142"/>
        <v>54.866</v>
      </c>
      <c r="X86" s="57">
        <f t="shared" si="143"/>
        <v>29.844429939077461</v>
      </c>
      <c r="Y86" s="46">
        <v>125.182</v>
      </c>
      <c r="Z86" s="16"/>
      <c r="AA86" s="57">
        <f t="shared" si="144"/>
        <v>125.182</v>
      </c>
      <c r="AB86" s="57">
        <f t="shared" si="145"/>
        <v>68.092906875543946</v>
      </c>
      <c r="AC86" s="431">
        <f t="shared" si="134"/>
        <v>58.658000000000001</v>
      </c>
      <c r="AD86" s="46">
        <v>141</v>
      </c>
      <c r="AE86" s="16"/>
      <c r="AF86" s="57">
        <f t="shared" si="146"/>
        <v>141</v>
      </c>
      <c r="AG86" s="57">
        <f t="shared" si="147"/>
        <v>100</v>
      </c>
      <c r="AH86" s="16">
        <v>141</v>
      </c>
      <c r="AI86" s="392">
        <f t="shared" si="131"/>
        <v>1</v>
      </c>
      <c r="AJ86" s="16"/>
      <c r="AK86" s="200"/>
      <c r="AL86" s="469">
        <f t="shared" si="135"/>
        <v>183.84</v>
      </c>
      <c r="AM86" s="341" t="s">
        <v>345</v>
      </c>
      <c r="AN86" s="328" t="s">
        <v>121</v>
      </c>
    </row>
    <row r="87" spans="1:40" x14ac:dyDescent="0.2">
      <c r="A87" s="142"/>
      <c r="B87" s="29">
        <v>3639</v>
      </c>
      <c r="C87" s="29">
        <v>108</v>
      </c>
      <c r="D87" s="220" t="s">
        <v>97</v>
      </c>
      <c r="E87" s="46">
        <v>500</v>
      </c>
      <c r="F87" s="16"/>
      <c r="G87" s="57">
        <f t="shared" si="137"/>
        <v>500</v>
      </c>
      <c r="H87" s="201"/>
      <c r="I87" s="200"/>
      <c r="J87" s="46">
        <f t="shared" si="132"/>
        <v>500</v>
      </c>
      <c r="K87" s="16"/>
      <c r="L87" s="57">
        <f t="shared" si="133"/>
        <v>500</v>
      </c>
      <c r="M87" s="46">
        <v>37.090580000000003</v>
      </c>
      <c r="N87" s="16"/>
      <c r="O87" s="57">
        <f t="shared" si="138"/>
        <v>37.090580000000003</v>
      </c>
      <c r="P87" s="57">
        <f t="shared" si="139"/>
        <v>7.4181160000000013</v>
      </c>
      <c r="Q87" s="46">
        <v>108.96053000000001</v>
      </c>
      <c r="R87" s="16"/>
      <c r="S87" s="57">
        <f t="shared" si="140"/>
        <v>108.96053000000001</v>
      </c>
      <c r="T87" s="57">
        <f t="shared" si="141"/>
        <v>21.792106</v>
      </c>
      <c r="U87" s="46">
        <v>137.26114999999999</v>
      </c>
      <c r="V87" s="16"/>
      <c r="W87" s="57">
        <f t="shared" si="142"/>
        <v>137.26114999999999</v>
      </c>
      <c r="X87" s="57">
        <f t="shared" si="143"/>
        <v>27.45223</v>
      </c>
      <c r="Y87" s="46">
        <v>167.99914999999999</v>
      </c>
      <c r="Z87" s="16"/>
      <c r="AA87" s="57">
        <f t="shared" si="144"/>
        <v>167.99914999999999</v>
      </c>
      <c r="AB87" s="57">
        <f t="shared" si="145"/>
        <v>33.599829999999997</v>
      </c>
      <c r="AC87" s="431">
        <f t="shared" si="134"/>
        <v>332.00085000000001</v>
      </c>
      <c r="AD87" s="46">
        <v>500</v>
      </c>
      <c r="AE87" s="16"/>
      <c r="AF87" s="57">
        <f t="shared" si="146"/>
        <v>500</v>
      </c>
      <c r="AG87" s="57">
        <f t="shared" si="147"/>
        <v>100</v>
      </c>
      <c r="AH87" s="16">
        <v>500</v>
      </c>
      <c r="AI87" s="392">
        <f t="shared" si="131"/>
        <v>1</v>
      </c>
      <c r="AJ87" s="57"/>
      <c r="AK87" s="200"/>
      <c r="AL87" s="469">
        <f t="shared" si="135"/>
        <v>500</v>
      </c>
      <c r="AM87" s="341" t="s">
        <v>168</v>
      </c>
      <c r="AN87" s="328" t="s">
        <v>69</v>
      </c>
    </row>
    <row r="88" spans="1:40" x14ac:dyDescent="0.2">
      <c r="A88" s="142"/>
      <c r="B88" s="29">
        <v>3639</v>
      </c>
      <c r="C88" s="29">
        <v>239</v>
      </c>
      <c r="D88" s="220" t="s">
        <v>200</v>
      </c>
      <c r="E88" s="46">
        <f>591+200</f>
        <v>791</v>
      </c>
      <c r="F88" s="16"/>
      <c r="G88" s="57">
        <f t="shared" si="137"/>
        <v>791</v>
      </c>
      <c r="H88" s="199">
        <v>-250</v>
      </c>
      <c r="I88" s="200"/>
      <c r="J88" s="46">
        <f t="shared" si="132"/>
        <v>541</v>
      </c>
      <c r="K88" s="16"/>
      <c r="L88" s="57">
        <f t="shared" si="133"/>
        <v>541</v>
      </c>
      <c r="M88" s="46">
        <v>21.531199999999998</v>
      </c>
      <c r="N88" s="16"/>
      <c r="O88" s="57">
        <f t="shared" si="138"/>
        <v>21.531199999999998</v>
      </c>
      <c r="P88" s="57">
        <f t="shared" si="139"/>
        <v>3.9798890942698701</v>
      </c>
      <c r="Q88" s="46">
        <v>97.070040000000006</v>
      </c>
      <c r="R88" s="16"/>
      <c r="S88" s="57">
        <f t="shared" si="140"/>
        <v>97.070040000000006</v>
      </c>
      <c r="T88" s="57">
        <f t="shared" si="141"/>
        <v>17.942706099815158</v>
      </c>
      <c r="U88" s="46">
        <v>395.91343999999998</v>
      </c>
      <c r="V88" s="16"/>
      <c r="W88" s="57">
        <f t="shared" si="142"/>
        <v>395.91343999999998</v>
      </c>
      <c r="X88" s="57">
        <f t="shared" si="143"/>
        <v>73.181781885397413</v>
      </c>
      <c r="Y88" s="46">
        <v>457.43367999999998</v>
      </c>
      <c r="Z88" s="16"/>
      <c r="AA88" s="57">
        <f t="shared" si="144"/>
        <v>457.43367999999998</v>
      </c>
      <c r="AB88" s="57">
        <f t="shared" si="145"/>
        <v>84.553360443622921</v>
      </c>
      <c r="AC88" s="431">
        <f t="shared" si="134"/>
        <v>83.566320000000019</v>
      </c>
      <c r="AD88" s="46">
        <v>561</v>
      </c>
      <c r="AE88" s="16"/>
      <c r="AF88" s="57">
        <f t="shared" si="146"/>
        <v>561</v>
      </c>
      <c r="AG88" s="57">
        <f t="shared" si="147"/>
        <v>70.922882427307215</v>
      </c>
      <c r="AH88" s="16">
        <v>561</v>
      </c>
      <c r="AI88" s="392">
        <f t="shared" si="131"/>
        <v>0.7092288242730721</v>
      </c>
      <c r="AJ88" s="57"/>
      <c r="AK88" s="200"/>
      <c r="AL88" s="469">
        <f t="shared" si="135"/>
        <v>541</v>
      </c>
      <c r="AM88" s="341" t="s">
        <v>212</v>
      </c>
      <c r="AN88" s="328" t="s">
        <v>121</v>
      </c>
    </row>
    <row r="89" spans="1:40" x14ac:dyDescent="0.2">
      <c r="A89" s="142"/>
      <c r="B89" s="29">
        <v>3639</v>
      </c>
      <c r="C89" s="29">
        <v>243</v>
      </c>
      <c r="D89" s="220" t="s">
        <v>163</v>
      </c>
      <c r="E89" s="46">
        <f>64+223</f>
        <v>287</v>
      </c>
      <c r="F89" s="16"/>
      <c r="G89" s="57">
        <f t="shared" si="137"/>
        <v>287</v>
      </c>
      <c r="H89" s="199"/>
      <c r="I89" s="200"/>
      <c r="J89" s="46">
        <f t="shared" si="132"/>
        <v>287</v>
      </c>
      <c r="K89" s="16"/>
      <c r="L89" s="57">
        <f t="shared" si="133"/>
        <v>287</v>
      </c>
      <c r="M89" s="46">
        <f>40.28511+17.525</f>
        <v>57.810110000000002</v>
      </c>
      <c r="N89" s="16"/>
      <c r="O89" s="57">
        <f t="shared" si="138"/>
        <v>57.810110000000002</v>
      </c>
      <c r="P89" s="57">
        <f t="shared" si="139"/>
        <v>20.142895470383277</v>
      </c>
      <c r="Q89" s="46">
        <f>102.28151+17.303</f>
        <v>119.58450999999999</v>
      </c>
      <c r="R89" s="16"/>
      <c r="S89" s="57">
        <f t="shared" si="140"/>
        <v>119.58450999999999</v>
      </c>
      <c r="T89" s="57">
        <f t="shared" si="141"/>
        <v>41.667076655052263</v>
      </c>
      <c r="U89" s="46">
        <f>166.18717+18.278</f>
        <v>184.46517</v>
      </c>
      <c r="V89" s="16"/>
      <c r="W89" s="57">
        <f t="shared" si="142"/>
        <v>184.46517</v>
      </c>
      <c r="X89" s="57">
        <f t="shared" si="143"/>
        <v>64.273578397212532</v>
      </c>
      <c r="Y89" s="46">
        <v>274.46337</v>
      </c>
      <c r="Z89" s="16"/>
      <c r="AA89" s="57">
        <f t="shared" si="144"/>
        <v>274.46337</v>
      </c>
      <c r="AB89" s="57">
        <f t="shared" si="145"/>
        <v>95.631836236933793</v>
      </c>
      <c r="AC89" s="431">
        <f t="shared" si="134"/>
        <v>12.536630000000002</v>
      </c>
      <c r="AD89" s="46">
        <f>62+271</f>
        <v>333</v>
      </c>
      <c r="AE89" s="16"/>
      <c r="AF89" s="57">
        <f t="shared" si="146"/>
        <v>333</v>
      </c>
      <c r="AG89" s="57">
        <f t="shared" si="147"/>
        <v>116.02787456445994</v>
      </c>
      <c r="AH89" s="490">
        <f>62+271</f>
        <v>333</v>
      </c>
      <c r="AI89" s="392">
        <f t="shared" si="131"/>
        <v>1.1602787456445993</v>
      </c>
      <c r="AJ89" s="57"/>
      <c r="AK89" s="200"/>
      <c r="AL89" s="469">
        <f t="shared" si="135"/>
        <v>287</v>
      </c>
      <c r="AM89" s="343" t="s">
        <v>69</v>
      </c>
      <c r="AN89" s="328" t="s">
        <v>346</v>
      </c>
    </row>
    <row r="90" spans="1:40" x14ac:dyDescent="0.2">
      <c r="A90" s="142"/>
      <c r="B90" s="29">
        <v>3639</v>
      </c>
      <c r="C90" s="29">
        <v>319</v>
      </c>
      <c r="D90" s="220" t="s">
        <v>289</v>
      </c>
      <c r="E90" s="46">
        <v>227</v>
      </c>
      <c r="F90" s="16"/>
      <c r="G90" s="57">
        <f t="shared" si="137"/>
        <v>227</v>
      </c>
      <c r="H90" s="201"/>
      <c r="I90" s="200"/>
      <c r="J90" s="46">
        <f t="shared" si="132"/>
        <v>227</v>
      </c>
      <c r="K90" s="16"/>
      <c r="L90" s="57">
        <f t="shared" si="133"/>
        <v>227</v>
      </c>
      <c r="M90" s="46">
        <v>56.7</v>
      </c>
      <c r="N90" s="16"/>
      <c r="O90" s="57">
        <f t="shared" si="138"/>
        <v>56.7</v>
      </c>
      <c r="P90" s="57">
        <f t="shared" si="139"/>
        <v>24.977973568281939</v>
      </c>
      <c r="Q90" s="46">
        <v>113.4</v>
      </c>
      <c r="R90" s="16"/>
      <c r="S90" s="57">
        <f t="shared" si="140"/>
        <v>113.4</v>
      </c>
      <c r="T90" s="57">
        <f t="shared" si="141"/>
        <v>49.955947136563879</v>
      </c>
      <c r="U90" s="46">
        <v>170.1</v>
      </c>
      <c r="V90" s="16"/>
      <c r="W90" s="57">
        <f t="shared" si="142"/>
        <v>170.1</v>
      </c>
      <c r="X90" s="57">
        <f t="shared" si="143"/>
        <v>74.933920704845818</v>
      </c>
      <c r="Y90" s="46">
        <v>226.8</v>
      </c>
      <c r="Z90" s="16"/>
      <c r="AA90" s="57">
        <f t="shared" si="144"/>
        <v>226.8</v>
      </c>
      <c r="AB90" s="57">
        <f t="shared" si="145"/>
        <v>99.911894273127757</v>
      </c>
      <c r="AC90" s="431">
        <f t="shared" si="134"/>
        <v>0.19999999999998863</v>
      </c>
      <c r="AD90" s="46">
        <v>227</v>
      </c>
      <c r="AE90" s="16"/>
      <c r="AF90" s="57">
        <f t="shared" si="146"/>
        <v>227</v>
      </c>
      <c r="AG90" s="57">
        <f t="shared" si="147"/>
        <v>100</v>
      </c>
      <c r="AH90" s="16">
        <v>227</v>
      </c>
      <c r="AI90" s="392">
        <f t="shared" si="131"/>
        <v>1</v>
      </c>
      <c r="AJ90" s="57" t="s">
        <v>342</v>
      </c>
      <c r="AK90" s="200"/>
      <c r="AL90" s="469">
        <f t="shared" si="135"/>
        <v>227</v>
      </c>
      <c r="AM90" s="343" t="s">
        <v>360</v>
      </c>
      <c r="AN90" s="328" t="s">
        <v>69</v>
      </c>
    </row>
    <row r="91" spans="1:40" x14ac:dyDescent="0.2">
      <c r="A91" s="144"/>
      <c r="B91" s="35">
        <v>3639</v>
      </c>
      <c r="C91" s="35">
        <v>319.20999999999998</v>
      </c>
      <c r="D91" s="460" t="s">
        <v>287</v>
      </c>
      <c r="E91" s="46">
        <f>14+58</f>
        <v>72</v>
      </c>
      <c r="F91" s="16"/>
      <c r="G91" s="57">
        <f t="shared" si="137"/>
        <v>72</v>
      </c>
      <c r="H91" s="446"/>
      <c r="I91" s="207"/>
      <c r="J91" s="61">
        <f t="shared" si="132"/>
        <v>72</v>
      </c>
      <c r="K91" s="64"/>
      <c r="L91" s="63">
        <f t="shared" si="133"/>
        <v>72</v>
      </c>
      <c r="M91" s="46">
        <f>5.46</f>
        <v>5.46</v>
      </c>
      <c r="N91" s="16"/>
      <c r="O91" s="57">
        <f t="shared" si="138"/>
        <v>5.46</v>
      </c>
      <c r="P91" s="63">
        <f t="shared" si="139"/>
        <v>7.5833333333333339</v>
      </c>
      <c r="Q91" s="46">
        <f>10.92</f>
        <v>10.92</v>
      </c>
      <c r="R91" s="16"/>
      <c r="S91" s="57">
        <f t="shared" si="140"/>
        <v>10.92</v>
      </c>
      <c r="T91" s="63">
        <f t="shared" si="141"/>
        <v>15.166666666666668</v>
      </c>
      <c r="U91" s="46">
        <v>16.38</v>
      </c>
      <c r="V91" s="16"/>
      <c r="W91" s="57">
        <f t="shared" si="142"/>
        <v>16.38</v>
      </c>
      <c r="X91" s="63">
        <f t="shared" si="143"/>
        <v>22.749999999999996</v>
      </c>
      <c r="Y91" s="46">
        <f>21.84</f>
        <v>21.84</v>
      </c>
      <c r="Z91" s="16"/>
      <c r="AA91" s="57">
        <f t="shared" si="144"/>
        <v>21.84</v>
      </c>
      <c r="AB91" s="63">
        <f t="shared" si="145"/>
        <v>30.333333333333336</v>
      </c>
      <c r="AC91" s="431">
        <f t="shared" si="134"/>
        <v>50.16</v>
      </c>
      <c r="AD91" s="46">
        <f>21+69</f>
        <v>90</v>
      </c>
      <c r="AE91" s="16"/>
      <c r="AF91" s="57">
        <f t="shared" si="146"/>
        <v>90</v>
      </c>
      <c r="AG91" s="63">
        <f t="shared" si="147"/>
        <v>125</v>
      </c>
      <c r="AH91" s="16">
        <v>90</v>
      </c>
      <c r="AI91" s="394">
        <f t="shared" si="131"/>
        <v>1.25</v>
      </c>
      <c r="AJ91" s="63"/>
      <c r="AK91" s="207"/>
      <c r="AL91" s="469">
        <f t="shared" si="135"/>
        <v>72</v>
      </c>
      <c r="AM91" s="463" t="s">
        <v>360</v>
      </c>
      <c r="AN91" s="330" t="s">
        <v>69</v>
      </c>
    </row>
    <row r="92" spans="1:40" x14ac:dyDescent="0.2">
      <c r="A92" s="143">
        <v>37</v>
      </c>
      <c r="B92" s="24"/>
      <c r="C92" s="24"/>
      <c r="D92" s="459" t="s">
        <v>119</v>
      </c>
      <c r="E92" s="58">
        <f>SUM(E93:E103)</f>
        <v>12392</v>
      </c>
      <c r="F92" s="59">
        <f>SUM(F93:F103)</f>
        <v>0</v>
      </c>
      <c r="G92" s="60">
        <f>SUM(G93:G103)</f>
        <v>12392</v>
      </c>
      <c r="H92" s="203">
        <f t="shared" ref="H92:O92" si="148">SUM(H93:H103)</f>
        <v>-450</v>
      </c>
      <c r="I92" s="204">
        <f t="shared" si="148"/>
        <v>850</v>
      </c>
      <c r="J92" s="58">
        <f t="shared" si="148"/>
        <v>11942</v>
      </c>
      <c r="K92" s="59">
        <f t="shared" si="148"/>
        <v>850</v>
      </c>
      <c r="L92" s="60">
        <f t="shared" si="148"/>
        <v>12792</v>
      </c>
      <c r="M92" s="58">
        <f t="shared" si="148"/>
        <v>1587.1208300000001</v>
      </c>
      <c r="N92" s="59">
        <f t="shared" si="148"/>
        <v>0</v>
      </c>
      <c r="O92" s="60">
        <f t="shared" si="148"/>
        <v>1587.1208300000001</v>
      </c>
      <c r="P92" s="60">
        <f t="shared" ref="P92:P131" si="149">O92/$L92*100</f>
        <v>12.407135944340213</v>
      </c>
      <c r="Q92" s="58">
        <f t="shared" ref="Q92:S92" si="150">SUM(Q93:Q103)</f>
        <v>3871.08142</v>
      </c>
      <c r="R92" s="59">
        <f t="shared" si="150"/>
        <v>0</v>
      </c>
      <c r="S92" s="60">
        <f t="shared" si="150"/>
        <v>3871.08142</v>
      </c>
      <c r="T92" s="60">
        <f t="shared" si="141"/>
        <v>30.261737179487181</v>
      </c>
      <c r="U92" s="58">
        <f t="shared" ref="U92:W92" si="151">SUM(U93:U103)</f>
        <v>6652.6378500000001</v>
      </c>
      <c r="V92" s="59">
        <f t="shared" si="151"/>
        <v>0</v>
      </c>
      <c r="W92" s="60">
        <f t="shared" si="151"/>
        <v>6652.6378500000001</v>
      </c>
      <c r="X92" s="60">
        <f t="shared" si="143"/>
        <v>52.006237101313324</v>
      </c>
      <c r="Y92" s="58">
        <f t="shared" ref="Y92:AA92" si="152">SUM(Y93:Y103)</f>
        <v>10334.20059</v>
      </c>
      <c r="Z92" s="59">
        <f t="shared" si="152"/>
        <v>847.17908</v>
      </c>
      <c r="AA92" s="60">
        <f t="shared" si="152"/>
        <v>11181.37967</v>
      </c>
      <c r="AB92" s="60">
        <f t="shared" si="145"/>
        <v>87.409159396497813</v>
      </c>
      <c r="AC92" s="432">
        <f>SUM(AC93:AC103)</f>
        <v>1610.62033</v>
      </c>
      <c r="AD92" s="58">
        <f t="shared" ref="AD92:AF92" si="153">SUM(AD93:AD103)</f>
        <v>13184</v>
      </c>
      <c r="AE92" s="59">
        <f t="shared" si="153"/>
        <v>855</v>
      </c>
      <c r="AF92" s="60">
        <f t="shared" si="153"/>
        <v>14039</v>
      </c>
      <c r="AG92" s="60">
        <f>AF92/$G92*100</f>
        <v>113.29083279535183</v>
      </c>
      <c r="AH92" s="59">
        <f t="shared" ref="AH92" si="154">SUM(AH93:AH103)</f>
        <v>14039</v>
      </c>
      <c r="AI92" s="393">
        <f t="shared" si="131"/>
        <v>1.1329083279535184</v>
      </c>
      <c r="AJ92" s="60"/>
      <c r="AK92" s="204">
        <f t="shared" ref="AK92" si="155">SUM(AK93:AK103)</f>
        <v>0</v>
      </c>
      <c r="AL92" s="470">
        <f>SUM(AL93:AL103)</f>
        <v>10892</v>
      </c>
      <c r="AM92" s="55"/>
      <c r="AN92" s="76"/>
    </row>
    <row r="93" spans="1:40" x14ac:dyDescent="0.2">
      <c r="A93" s="142"/>
      <c r="B93" s="29">
        <v>3722</v>
      </c>
      <c r="C93" s="29">
        <v>240</v>
      </c>
      <c r="D93" s="220" t="s">
        <v>79</v>
      </c>
      <c r="E93" s="46">
        <v>5500</v>
      </c>
      <c r="F93" s="16"/>
      <c r="G93" s="57">
        <f t="shared" ref="G93:G103" si="156">E93+F93</f>
        <v>5500</v>
      </c>
      <c r="H93" s="199"/>
      <c r="I93" s="200"/>
      <c r="J93" s="46">
        <f t="shared" ref="J93:J103" si="157">E93+H93</f>
        <v>5500</v>
      </c>
      <c r="K93" s="16"/>
      <c r="L93" s="57">
        <f t="shared" ref="L93:L103" si="158">SUM(J93:K93)</f>
        <v>5500</v>
      </c>
      <c r="M93" s="46">
        <v>1245.3768299999999</v>
      </c>
      <c r="N93" s="16"/>
      <c r="O93" s="57">
        <f t="shared" ref="O93:O103" si="159">M93+N93</f>
        <v>1245.3768299999999</v>
      </c>
      <c r="P93" s="57">
        <f t="shared" si="149"/>
        <v>22.643215090909088</v>
      </c>
      <c r="Q93" s="46">
        <v>2647.0016799999999</v>
      </c>
      <c r="R93" s="16"/>
      <c r="S93" s="57">
        <f t="shared" ref="S93:S103" si="160">Q93+R93</f>
        <v>2647.0016799999999</v>
      </c>
      <c r="T93" s="57">
        <f t="shared" si="141"/>
        <v>48.127303272727268</v>
      </c>
      <c r="U93" s="46">
        <v>4110.2984200000001</v>
      </c>
      <c r="V93" s="16"/>
      <c r="W93" s="57">
        <f t="shared" ref="W93:W103" si="161">U93+V93</f>
        <v>4110.2984200000001</v>
      </c>
      <c r="X93" s="57">
        <f t="shared" si="143"/>
        <v>74.732698545454539</v>
      </c>
      <c r="Y93" s="46">
        <v>5630.0169800000003</v>
      </c>
      <c r="Z93" s="16"/>
      <c r="AA93" s="57">
        <f t="shared" ref="AA93:AA103" si="162">Y93+Z93</f>
        <v>5630.0169800000003</v>
      </c>
      <c r="AB93" s="57">
        <f t="shared" si="145"/>
        <v>102.3639450909091</v>
      </c>
      <c r="AC93" s="431">
        <f t="shared" ref="AC93:AC103" si="163">L93-AA93</f>
        <v>-130.01698000000033</v>
      </c>
      <c r="AD93" s="46">
        <v>5973</v>
      </c>
      <c r="AE93" s="16"/>
      <c r="AF93" s="57">
        <f t="shared" ref="AF93:AF103" si="164">AD93+AE93</f>
        <v>5973</v>
      </c>
      <c r="AG93" s="57">
        <f>AF93/$G93*100</f>
        <v>108.60000000000001</v>
      </c>
      <c r="AH93" s="16">
        <v>5973</v>
      </c>
      <c r="AI93" s="392">
        <f t="shared" si="131"/>
        <v>1.0860000000000001</v>
      </c>
      <c r="AJ93" s="57"/>
      <c r="AK93" s="200"/>
      <c r="AL93" s="469">
        <f t="shared" ref="AL93:AL103" si="165">L93-AK93</f>
        <v>5500</v>
      </c>
      <c r="AM93" s="341" t="s">
        <v>366</v>
      </c>
      <c r="AN93" s="328" t="s">
        <v>212</v>
      </c>
    </row>
    <row r="94" spans="1:40" x14ac:dyDescent="0.2">
      <c r="A94" s="142"/>
      <c r="B94" s="29">
        <v>3722</v>
      </c>
      <c r="C94" s="29">
        <v>5110</v>
      </c>
      <c r="D94" s="220" t="s">
        <v>304</v>
      </c>
      <c r="E94" s="46">
        <v>500</v>
      </c>
      <c r="F94" s="16"/>
      <c r="G94" s="57">
        <f t="shared" si="156"/>
        <v>500</v>
      </c>
      <c r="H94" s="205"/>
      <c r="I94" s="200"/>
      <c r="J94" s="46">
        <f t="shared" si="157"/>
        <v>500</v>
      </c>
      <c r="K94" s="16"/>
      <c r="L94" s="57">
        <f t="shared" si="158"/>
        <v>500</v>
      </c>
      <c r="M94" s="46"/>
      <c r="N94" s="16"/>
      <c r="O94" s="57">
        <f t="shared" si="159"/>
        <v>0</v>
      </c>
      <c r="P94" s="57">
        <f t="shared" si="149"/>
        <v>0</v>
      </c>
      <c r="Q94" s="46">
        <v>166.23567</v>
      </c>
      <c r="R94" s="16"/>
      <c r="S94" s="57">
        <f t="shared" si="160"/>
        <v>166.23567</v>
      </c>
      <c r="T94" s="57">
        <f t="shared" si="141"/>
        <v>33.247134000000003</v>
      </c>
      <c r="U94" s="46">
        <v>350.23567000000003</v>
      </c>
      <c r="V94" s="16"/>
      <c r="W94" s="57">
        <f t="shared" si="161"/>
        <v>350.23567000000003</v>
      </c>
      <c r="X94" s="57">
        <f t="shared" si="143"/>
        <v>70.047134000000014</v>
      </c>
      <c r="Y94" s="46">
        <v>350.23567000000003</v>
      </c>
      <c r="Z94" s="16"/>
      <c r="AA94" s="57">
        <f t="shared" si="162"/>
        <v>350.23567000000003</v>
      </c>
      <c r="AB94" s="57">
        <f t="shared" si="145"/>
        <v>70.047134000000014</v>
      </c>
      <c r="AC94" s="431">
        <f t="shared" si="163"/>
        <v>149.76432999999997</v>
      </c>
      <c r="AD94" s="46">
        <f>300+607</f>
        <v>907</v>
      </c>
      <c r="AE94" s="16"/>
      <c r="AF94" s="57">
        <f t="shared" si="164"/>
        <v>907</v>
      </c>
      <c r="AG94" s="57">
        <f>AF94/$G94*100</f>
        <v>181.4</v>
      </c>
      <c r="AH94" s="16">
        <v>1107</v>
      </c>
      <c r="AI94" s="392">
        <f t="shared" si="131"/>
        <v>2.214</v>
      </c>
      <c r="AJ94" s="57" t="s">
        <v>472</v>
      </c>
      <c r="AK94" s="200"/>
      <c r="AL94" s="469">
        <f t="shared" si="165"/>
        <v>500</v>
      </c>
      <c r="AM94" s="341" t="s">
        <v>366</v>
      </c>
      <c r="AN94" s="328" t="s">
        <v>212</v>
      </c>
    </row>
    <row r="95" spans="1:40" x14ac:dyDescent="0.2">
      <c r="A95" s="142"/>
      <c r="B95" s="29">
        <v>3722</v>
      </c>
      <c r="C95" s="29">
        <v>250</v>
      </c>
      <c r="D95" s="461" t="s">
        <v>418</v>
      </c>
      <c r="E95" s="46"/>
      <c r="F95" s="16"/>
      <c r="G95" s="57"/>
      <c r="H95" s="199">
        <f>1200-150</f>
        <v>1050</v>
      </c>
      <c r="I95" s="200">
        <f>700+150</f>
        <v>850</v>
      </c>
      <c r="J95" s="46">
        <f t="shared" si="157"/>
        <v>1050</v>
      </c>
      <c r="K95" s="16">
        <f>F95+I95</f>
        <v>850</v>
      </c>
      <c r="L95" s="57">
        <f t="shared" si="158"/>
        <v>1900</v>
      </c>
      <c r="M95" s="46"/>
      <c r="N95" s="16"/>
      <c r="O95" s="57"/>
      <c r="P95" s="57"/>
      <c r="Q95" s="46"/>
      <c r="R95" s="16"/>
      <c r="S95" s="57"/>
      <c r="T95" s="57"/>
      <c r="U95" s="46"/>
      <c r="V95" s="16"/>
      <c r="W95" s="57"/>
      <c r="X95" s="57"/>
      <c r="Y95" s="46">
        <f>1479.83242-Z95</f>
        <v>632.65333999999996</v>
      </c>
      <c r="Z95" s="16">
        <v>847.17908</v>
      </c>
      <c r="AA95" s="57">
        <f t="shared" ref="AA95" si="166">Y95+Z95</f>
        <v>1479.83242</v>
      </c>
      <c r="AB95" s="57">
        <f t="shared" ref="AB95" si="167">AA95/$L95*100</f>
        <v>77.88591684210526</v>
      </c>
      <c r="AC95" s="431">
        <f t="shared" si="163"/>
        <v>420.16758000000004</v>
      </c>
      <c r="AD95" s="46">
        <v>45</v>
      </c>
      <c r="AE95" s="16">
        <v>55</v>
      </c>
      <c r="AF95" s="57">
        <f t="shared" si="164"/>
        <v>100</v>
      </c>
      <c r="AG95" s="57"/>
      <c r="AH95" s="16">
        <v>100</v>
      </c>
      <c r="AI95" s="392"/>
      <c r="AJ95" s="445" t="s">
        <v>498</v>
      </c>
      <c r="AK95" s="200"/>
      <c r="AL95" s="469"/>
      <c r="AM95" s="341" t="s">
        <v>366</v>
      </c>
      <c r="AN95" s="328" t="s">
        <v>345</v>
      </c>
    </row>
    <row r="96" spans="1:40" x14ac:dyDescent="0.2">
      <c r="A96" s="142"/>
      <c r="B96" s="29">
        <v>3722</v>
      </c>
      <c r="C96" s="29"/>
      <c r="D96" s="220" t="s">
        <v>452</v>
      </c>
      <c r="E96" s="46"/>
      <c r="F96" s="16"/>
      <c r="G96" s="57"/>
      <c r="H96" s="199"/>
      <c r="I96" s="200"/>
      <c r="J96" s="46"/>
      <c r="K96" s="16"/>
      <c r="L96" s="57"/>
      <c r="M96" s="46"/>
      <c r="N96" s="16"/>
      <c r="O96" s="57"/>
      <c r="P96" s="57"/>
      <c r="Q96" s="46"/>
      <c r="R96" s="16"/>
      <c r="S96" s="57"/>
      <c r="T96" s="57"/>
      <c r="U96" s="46"/>
      <c r="V96" s="16"/>
      <c r="W96" s="57"/>
      <c r="X96" s="57"/>
      <c r="Y96" s="46"/>
      <c r="Z96" s="16"/>
      <c r="AA96" s="57"/>
      <c r="AB96" s="57"/>
      <c r="AC96" s="431">
        <f t="shared" si="163"/>
        <v>0</v>
      </c>
      <c r="AD96" s="46">
        <v>230</v>
      </c>
      <c r="AE96" s="16"/>
      <c r="AF96" s="57">
        <f t="shared" si="164"/>
        <v>230</v>
      </c>
      <c r="AG96" s="57"/>
      <c r="AH96" s="17">
        <v>230</v>
      </c>
      <c r="AI96" s="392"/>
      <c r="AJ96" s="57"/>
      <c r="AK96" s="200"/>
      <c r="AL96" s="469"/>
      <c r="AM96" s="341" t="s">
        <v>366</v>
      </c>
      <c r="AN96" s="328" t="s">
        <v>345</v>
      </c>
    </row>
    <row r="97" spans="1:40" x14ac:dyDescent="0.2">
      <c r="A97" s="142"/>
      <c r="B97" s="29">
        <v>3745</v>
      </c>
      <c r="C97" s="29">
        <v>241</v>
      </c>
      <c r="D97" s="220" t="s">
        <v>80</v>
      </c>
      <c r="E97" s="46">
        <f>2026+1516</f>
        <v>3542</v>
      </c>
      <c r="F97" s="16"/>
      <c r="G97" s="57">
        <f t="shared" si="156"/>
        <v>3542</v>
      </c>
      <c r="H97" s="205"/>
      <c r="I97" s="200"/>
      <c r="J97" s="46">
        <f t="shared" si="157"/>
        <v>3542</v>
      </c>
      <c r="K97" s="16"/>
      <c r="L97" s="57">
        <f t="shared" si="158"/>
        <v>3542</v>
      </c>
      <c r="M97" s="46">
        <f>216.889+108.223</f>
        <v>325.11200000000002</v>
      </c>
      <c r="N97" s="16"/>
      <c r="O97" s="57">
        <f t="shared" si="159"/>
        <v>325.11200000000002</v>
      </c>
      <c r="P97" s="57">
        <f>O97/$L97*100</f>
        <v>9.1787690570299265</v>
      </c>
      <c r="Q97" s="46">
        <f>618.842+101.255</f>
        <v>720.09699999999998</v>
      </c>
      <c r="R97" s="16"/>
      <c r="S97" s="57">
        <f t="shared" si="160"/>
        <v>720.09699999999998</v>
      </c>
      <c r="T97" s="57">
        <f>S97/$L97*100</f>
        <v>20.330237154150197</v>
      </c>
      <c r="U97" s="46">
        <f>1600.8381+92.296</f>
        <v>1693.1341</v>
      </c>
      <c r="V97" s="16"/>
      <c r="W97" s="57">
        <f t="shared" si="161"/>
        <v>1693.1341</v>
      </c>
      <c r="X97" s="57">
        <f>W97/$L97*100</f>
        <v>47.801640316205535</v>
      </c>
      <c r="Y97" s="46">
        <v>2801.8031000000001</v>
      </c>
      <c r="Z97" s="16"/>
      <c r="AA97" s="57">
        <f t="shared" si="162"/>
        <v>2801.8031000000001</v>
      </c>
      <c r="AB97" s="57">
        <f>AA97/$L97*100</f>
        <v>79.102289666854887</v>
      </c>
      <c r="AC97" s="431">
        <f t="shared" si="163"/>
        <v>740.19689999999991</v>
      </c>
      <c r="AD97" s="46">
        <f>2026+1653</f>
        <v>3679</v>
      </c>
      <c r="AE97" s="16"/>
      <c r="AF97" s="57">
        <f t="shared" si="164"/>
        <v>3679</v>
      </c>
      <c r="AG97" s="57">
        <f>AF97/$G97*100</f>
        <v>103.8678712591756</v>
      </c>
      <c r="AH97" s="490">
        <f>2026+1653</f>
        <v>3679</v>
      </c>
      <c r="AI97" s="392">
        <f t="shared" si="131"/>
        <v>1.038678712591756</v>
      </c>
      <c r="AJ97" s="57"/>
      <c r="AK97" s="200"/>
      <c r="AL97" s="469">
        <f t="shared" si="165"/>
        <v>3542</v>
      </c>
      <c r="AM97" s="341" t="s">
        <v>310</v>
      </c>
      <c r="AN97" s="328" t="s">
        <v>212</v>
      </c>
    </row>
    <row r="98" spans="1:40" x14ac:dyDescent="0.2">
      <c r="A98" s="142"/>
      <c r="B98" s="29">
        <v>3745</v>
      </c>
      <c r="C98" s="29">
        <v>242</v>
      </c>
      <c r="D98" s="220" t="s">
        <v>262</v>
      </c>
      <c r="E98" s="46">
        <f>450+500</f>
        <v>950</v>
      </c>
      <c r="F98" s="16"/>
      <c r="G98" s="57">
        <f t="shared" si="156"/>
        <v>950</v>
      </c>
      <c r="H98" s="201"/>
      <c r="I98" s="200"/>
      <c r="J98" s="46">
        <f t="shared" si="157"/>
        <v>950</v>
      </c>
      <c r="K98" s="16"/>
      <c r="L98" s="57">
        <f t="shared" si="158"/>
        <v>950</v>
      </c>
      <c r="M98" s="46"/>
      <c r="N98" s="16"/>
      <c r="O98" s="57">
        <f t="shared" si="159"/>
        <v>0</v>
      </c>
      <c r="P98" s="57">
        <f>O98/$L98*100</f>
        <v>0</v>
      </c>
      <c r="Q98" s="46">
        <v>230.00399999999999</v>
      </c>
      <c r="R98" s="16"/>
      <c r="S98" s="57">
        <f t="shared" si="160"/>
        <v>230.00399999999999</v>
      </c>
      <c r="T98" s="57">
        <f>S98/$L98*100</f>
        <v>24.210947368421053</v>
      </c>
      <c r="U98" s="46">
        <v>391.19</v>
      </c>
      <c r="V98" s="16"/>
      <c r="W98" s="57">
        <f t="shared" si="161"/>
        <v>391.19</v>
      </c>
      <c r="X98" s="57">
        <f>W98/$L98*100</f>
        <v>41.177894736842106</v>
      </c>
      <c r="Y98" s="46">
        <v>677.08083999999997</v>
      </c>
      <c r="Z98" s="16"/>
      <c r="AA98" s="57">
        <f t="shared" si="162"/>
        <v>677.08083999999997</v>
      </c>
      <c r="AB98" s="57">
        <f>AA98/$L98*100</f>
        <v>71.271667368421049</v>
      </c>
      <c r="AC98" s="431">
        <f t="shared" si="163"/>
        <v>272.91916000000003</v>
      </c>
      <c r="AD98" s="46">
        <v>460</v>
      </c>
      <c r="AE98" s="16"/>
      <c r="AF98" s="57">
        <f t="shared" si="164"/>
        <v>460</v>
      </c>
      <c r="AG98" s="57">
        <f>AF98/$G98*100</f>
        <v>48.421052631578945</v>
      </c>
      <c r="AH98" s="16">
        <v>460</v>
      </c>
      <c r="AI98" s="392">
        <f t="shared" si="131"/>
        <v>0.48421052631578948</v>
      </c>
      <c r="AJ98" s="57"/>
      <c r="AK98" s="200"/>
      <c r="AL98" s="469">
        <f t="shared" si="165"/>
        <v>950</v>
      </c>
      <c r="AM98" s="341" t="s">
        <v>310</v>
      </c>
      <c r="AN98" s="328" t="s">
        <v>212</v>
      </c>
    </row>
    <row r="99" spans="1:40" x14ac:dyDescent="0.2">
      <c r="A99" s="142"/>
      <c r="B99" s="29">
        <v>3745</v>
      </c>
      <c r="C99" s="29">
        <v>244</v>
      </c>
      <c r="D99" s="461" t="s">
        <v>325</v>
      </c>
      <c r="E99" s="46">
        <v>40</v>
      </c>
      <c r="F99" s="16"/>
      <c r="G99" s="57">
        <f t="shared" si="156"/>
        <v>40</v>
      </c>
      <c r="H99" s="205"/>
      <c r="I99" s="200"/>
      <c r="J99" s="46">
        <f t="shared" si="157"/>
        <v>40</v>
      </c>
      <c r="K99" s="16"/>
      <c r="L99" s="57">
        <f t="shared" si="158"/>
        <v>40</v>
      </c>
      <c r="M99" s="46"/>
      <c r="N99" s="16"/>
      <c r="O99" s="57">
        <f t="shared" si="159"/>
        <v>0</v>
      </c>
      <c r="P99" s="57">
        <f>O99/$L99*100</f>
        <v>0</v>
      </c>
      <c r="Q99" s="46">
        <v>0</v>
      </c>
      <c r="R99" s="16"/>
      <c r="S99" s="57">
        <f t="shared" si="160"/>
        <v>0</v>
      </c>
      <c r="T99" s="57">
        <f>S99/$L99*100</f>
        <v>0</v>
      </c>
      <c r="U99" s="46">
        <v>0</v>
      </c>
      <c r="V99" s="16"/>
      <c r="W99" s="57">
        <f t="shared" si="161"/>
        <v>0</v>
      </c>
      <c r="X99" s="57">
        <f>W99/$L99*100</f>
        <v>0</v>
      </c>
      <c r="Y99" s="46">
        <v>20.225149999999999</v>
      </c>
      <c r="Z99" s="16"/>
      <c r="AA99" s="57">
        <f t="shared" si="162"/>
        <v>20.225149999999999</v>
      </c>
      <c r="AB99" s="57">
        <f>AA99/$L99*100</f>
        <v>50.562874999999998</v>
      </c>
      <c r="AC99" s="431">
        <f t="shared" si="163"/>
        <v>19.774850000000001</v>
      </c>
      <c r="AD99" s="46">
        <v>40</v>
      </c>
      <c r="AE99" s="16"/>
      <c r="AF99" s="57">
        <f t="shared" si="164"/>
        <v>40</v>
      </c>
      <c r="AG99" s="57"/>
      <c r="AH99" s="16">
        <v>40</v>
      </c>
      <c r="AI99" s="392"/>
      <c r="AJ99" s="445" t="s">
        <v>326</v>
      </c>
      <c r="AK99" s="200"/>
      <c r="AL99" s="469">
        <f t="shared" si="165"/>
        <v>40</v>
      </c>
      <c r="AM99" s="341" t="s">
        <v>310</v>
      </c>
      <c r="AN99" s="328" t="s">
        <v>345</v>
      </c>
    </row>
    <row r="100" spans="1:40" x14ac:dyDescent="0.2">
      <c r="A100" s="142"/>
      <c r="B100" s="29">
        <v>3745</v>
      </c>
      <c r="C100" s="29"/>
      <c r="D100" s="461" t="s">
        <v>448</v>
      </c>
      <c r="E100" s="46"/>
      <c r="F100" s="16"/>
      <c r="G100" s="57"/>
      <c r="H100" s="205"/>
      <c r="I100" s="200"/>
      <c r="J100" s="46"/>
      <c r="K100" s="16"/>
      <c r="L100" s="57"/>
      <c r="M100" s="46"/>
      <c r="N100" s="16"/>
      <c r="O100" s="57"/>
      <c r="P100" s="57"/>
      <c r="Q100" s="46"/>
      <c r="R100" s="16"/>
      <c r="S100" s="57"/>
      <c r="T100" s="57"/>
      <c r="U100" s="46"/>
      <c r="V100" s="16"/>
      <c r="W100" s="57"/>
      <c r="X100" s="57"/>
      <c r="Y100" s="46"/>
      <c r="Z100" s="16"/>
      <c r="AA100" s="57"/>
      <c r="AB100" s="57"/>
      <c r="AC100" s="431">
        <f t="shared" si="163"/>
        <v>0</v>
      </c>
      <c r="AD100" s="46">
        <v>650</v>
      </c>
      <c r="AE100" s="16"/>
      <c r="AF100" s="57">
        <f t="shared" si="164"/>
        <v>650</v>
      </c>
      <c r="AG100" s="57"/>
      <c r="AH100" s="16">
        <v>650</v>
      </c>
      <c r="AI100" s="392"/>
      <c r="AJ100" s="445" t="s">
        <v>326</v>
      </c>
      <c r="AK100" s="200"/>
      <c r="AL100" s="469"/>
      <c r="AM100" s="341" t="s">
        <v>310</v>
      </c>
      <c r="AN100" s="328" t="s">
        <v>345</v>
      </c>
    </row>
    <row r="101" spans="1:40" x14ac:dyDescent="0.2">
      <c r="A101" s="142"/>
      <c r="B101" s="29">
        <v>3745</v>
      </c>
      <c r="C101" s="29">
        <v>246</v>
      </c>
      <c r="D101" s="220" t="s">
        <v>306</v>
      </c>
      <c r="E101" s="46">
        <v>1800</v>
      </c>
      <c r="F101" s="16"/>
      <c r="G101" s="57">
        <f t="shared" si="156"/>
        <v>1800</v>
      </c>
      <c r="H101" s="205">
        <f>-386-1114</f>
        <v>-1500</v>
      </c>
      <c r="I101" s="200"/>
      <c r="J101" s="46">
        <f t="shared" si="157"/>
        <v>300</v>
      </c>
      <c r="K101" s="16"/>
      <c r="L101" s="57">
        <f t="shared" si="158"/>
        <v>300</v>
      </c>
      <c r="M101" s="46"/>
      <c r="N101" s="16"/>
      <c r="O101" s="57">
        <f t="shared" si="159"/>
        <v>0</v>
      </c>
      <c r="P101" s="57">
        <f>O101/$L101*100</f>
        <v>0</v>
      </c>
      <c r="Q101" s="46">
        <v>91</v>
      </c>
      <c r="R101" s="16"/>
      <c r="S101" s="57">
        <f t="shared" si="160"/>
        <v>91</v>
      </c>
      <c r="T101" s="57">
        <f>S101/$L101*100</f>
        <v>30.333333333333336</v>
      </c>
      <c r="U101" s="46">
        <v>91</v>
      </c>
      <c r="V101" s="16"/>
      <c r="W101" s="57">
        <f t="shared" si="161"/>
        <v>91</v>
      </c>
      <c r="X101" s="57">
        <f>W101/$L101*100</f>
        <v>30.333333333333336</v>
      </c>
      <c r="Y101" s="46">
        <v>150.166</v>
      </c>
      <c r="Z101" s="16"/>
      <c r="AA101" s="57">
        <f t="shared" si="162"/>
        <v>150.166</v>
      </c>
      <c r="AB101" s="57">
        <f>AA101/$L101*100</f>
        <v>50.05533333333333</v>
      </c>
      <c r="AC101" s="431">
        <f t="shared" si="163"/>
        <v>149.834</v>
      </c>
      <c r="AD101" s="46">
        <v>1200</v>
      </c>
      <c r="AE101" s="16">
        <v>800</v>
      </c>
      <c r="AF101" s="57">
        <f t="shared" si="164"/>
        <v>2000</v>
      </c>
      <c r="AG101" s="57">
        <f>AF101/$G101*100</f>
        <v>111.11111111111111</v>
      </c>
      <c r="AH101" s="16">
        <v>1800</v>
      </c>
      <c r="AI101" s="392">
        <f>AH101/G101</f>
        <v>1</v>
      </c>
      <c r="AJ101" s="57" t="s">
        <v>362</v>
      </c>
      <c r="AK101" s="200"/>
      <c r="AL101" s="469">
        <f t="shared" si="165"/>
        <v>300</v>
      </c>
      <c r="AM101" s="343" t="s">
        <v>474</v>
      </c>
      <c r="AN101" s="328" t="s">
        <v>345</v>
      </c>
    </row>
    <row r="102" spans="1:40" x14ac:dyDescent="0.2">
      <c r="A102" s="142"/>
      <c r="B102" s="29">
        <v>3745</v>
      </c>
      <c r="C102" s="29">
        <v>1544</v>
      </c>
      <c r="D102" s="220" t="s">
        <v>313</v>
      </c>
      <c r="E102" s="46"/>
      <c r="F102" s="16"/>
      <c r="G102" s="57">
        <f t="shared" si="156"/>
        <v>0</v>
      </c>
      <c r="H102" s="199"/>
      <c r="I102" s="200"/>
      <c r="J102" s="46">
        <f t="shared" si="157"/>
        <v>0</v>
      </c>
      <c r="K102" s="16"/>
      <c r="L102" s="57">
        <f t="shared" si="158"/>
        <v>0</v>
      </c>
      <c r="M102" s="46">
        <v>16.632000000000001</v>
      </c>
      <c r="N102" s="16"/>
      <c r="O102" s="57">
        <f t="shared" si="159"/>
        <v>16.632000000000001</v>
      </c>
      <c r="P102" s="57"/>
      <c r="Q102" s="46">
        <v>16.743069999999999</v>
      </c>
      <c r="R102" s="16"/>
      <c r="S102" s="57">
        <f t="shared" si="160"/>
        <v>16.743069999999999</v>
      </c>
      <c r="T102" s="57"/>
      <c r="U102" s="46">
        <v>16.77966</v>
      </c>
      <c r="V102" s="16"/>
      <c r="W102" s="57">
        <f t="shared" si="161"/>
        <v>16.77966</v>
      </c>
      <c r="X102" s="57"/>
      <c r="Y102" s="46">
        <v>16.843509999999998</v>
      </c>
      <c r="Z102" s="16"/>
      <c r="AA102" s="57">
        <f t="shared" si="162"/>
        <v>16.843509999999998</v>
      </c>
      <c r="AB102" s="57"/>
      <c r="AC102" s="431">
        <f t="shared" si="163"/>
        <v>-16.843509999999998</v>
      </c>
      <c r="AD102" s="46"/>
      <c r="AE102" s="16"/>
      <c r="AF102" s="57">
        <f t="shared" si="164"/>
        <v>0</v>
      </c>
      <c r="AG102" s="57"/>
      <c r="AH102" s="16"/>
      <c r="AI102" s="392"/>
      <c r="AJ102" s="57"/>
      <c r="AK102" s="200"/>
      <c r="AL102" s="469">
        <f t="shared" si="165"/>
        <v>0</v>
      </c>
      <c r="AM102" s="62"/>
      <c r="AN102" s="57"/>
    </row>
    <row r="103" spans="1:40" x14ac:dyDescent="0.2">
      <c r="A103" s="144"/>
      <c r="B103" s="35">
        <v>3792</v>
      </c>
      <c r="C103" s="35">
        <v>234</v>
      </c>
      <c r="D103" s="460" t="s">
        <v>299</v>
      </c>
      <c r="E103" s="46">
        <v>60</v>
      </c>
      <c r="F103" s="16"/>
      <c r="G103" s="57">
        <f t="shared" si="156"/>
        <v>60</v>
      </c>
      <c r="H103" s="368"/>
      <c r="I103" s="207"/>
      <c r="J103" s="61">
        <f t="shared" si="157"/>
        <v>60</v>
      </c>
      <c r="K103" s="64"/>
      <c r="L103" s="63">
        <f t="shared" si="158"/>
        <v>60</v>
      </c>
      <c r="M103" s="46"/>
      <c r="N103" s="16"/>
      <c r="O103" s="57">
        <f t="shared" si="159"/>
        <v>0</v>
      </c>
      <c r="P103" s="63">
        <f>O103/$L103*100</f>
        <v>0</v>
      </c>
      <c r="Q103" s="46">
        <v>0</v>
      </c>
      <c r="R103" s="16"/>
      <c r="S103" s="57">
        <f t="shared" si="160"/>
        <v>0</v>
      </c>
      <c r="T103" s="63">
        <f>S103/$L103*100</f>
        <v>0</v>
      </c>
      <c r="U103" s="46">
        <v>0</v>
      </c>
      <c r="V103" s="16"/>
      <c r="W103" s="57">
        <f t="shared" si="161"/>
        <v>0</v>
      </c>
      <c r="X103" s="63">
        <f>W103/$L103*100</f>
        <v>0</v>
      </c>
      <c r="Y103" s="46">
        <v>55.176000000000002</v>
      </c>
      <c r="Z103" s="16"/>
      <c r="AA103" s="57">
        <f t="shared" si="162"/>
        <v>55.176000000000002</v>
      </c>
      <c r="AB103" s="63">
        <f>AA103/$L103*100</f>
        <v>91.960000000000008</v>
      </c>
      <c r="AC103" s="431">
        <f t="shared" si="163"/>
        <v>4.8239999999999981</v>
      </c>
      <c r="AD103" s="46"/>
      <c r="AE103" s="16"/>
      <c r="AF103" s="57">
        <f t="shared" si="164"/>
        <v>0</v>
      </c>
      <c r="AG103" s="63">
        <f t="shared" ref="AG103:AG110" si="168">AF103/$G103*100</f>
        <v>0</v>
      </c>
      <c r="AH103" s="16"/>
      <c r="AI103" s="394">
        <f>AH103/G103</f>
        <v>0</v>
      </c>
      <c r="AJ103" s="63" t="s">
        <v>432</v>
      </c>
      <c r="AK103" s="207"/>
      <c r="AL103" s="471">
        <f t="shared" si="165"/>
        <v>60</v>
      </c>
      <c r="AM103" s="341" t="s">
        <v>366</v>
      </c>
      <c r="AN103" s="328" t="s">
        <v>345</v>
      </c>
    </row>
    <row r="104" spans="1:40" x14ac:dyDescent="0.2">
      <c r="A104" s="143">
        <v>43</v>
      </c>
      <c r="B104" s="24">
        <v>4300</v>
      </c>
      <c r="C104" s="24"/>
      <c r="D104" s="459" t="s">
        <v>81</v>
      </c>
      <c r="E104" s="58">
        <f>SUM(E105:E108)</f>
        <v>5333</v>
      </c>
      <c r="F104" s="59">
        <f>SUM(F105:F108)</f>
        <v>3800</v>
      </c>
      <c r="G104" s="60">
        <f>SUM(G105:G108)</f>
        <v>9133</v>
      </c>
      <c r="H104" s="208">
        <f t="shared" ref="H104:O104" si="169">SUM(H105:H108)</f>
        <v>6938.6270000000004</v>
      </c>
      <c r="I104" s="209">
        <f t="shared" si="169"/>
        <v>-3800</v>
      </c>
      <c r="J104" s="55">
        <f t="shared" si="169"/>
        <v>12271.627</v>
      </c>
      <c r="K104" s="18">
        <f t="shared" si="169"/>
        <v>0</v>
      </c>
      <c r="L104" s="56">
        <f t="shared" si="169"/>
        <v>12271.627</v>
      </c>
      <c r="M104" s="58">
        <f t="shared" si="169"/>
        <v>4063.9493700000003</v>
      </c>
      <c r="N104" s="59">
        <f t="shared" si="169"/>
        <v>0</v>
      </c>
      <c r="O104" s="60">
        <f t="shared" si="169"/>
        <v>4063.9493700000003</v>
      </c>
      <c r="P104" s="56">
        <f t="shared" si="149"/>
        <v>33.116630500584805</v>
      </c>
      <c r="Q104" s="58">
        <f t="shared" ref="Q104:S104" si="170">SUM(Q105:Q108)</f>
        <v>7220.9072999999999</v>
      </c>
      <c r="R104" s="59">
        <f t="shared" si="170"/>
        <v>0</v>
      </c>
      <c r="S104" s="60">
        <f t="shared" si="170"/>
        <v>7220.9072999999999</v>
      </c>
      <c r="T104" s="56">
        <f t="shared" ref="T104" si="171">S104/$L104*100</f>
        <v>58.842297765406329</v>
      </c>
      <c r="U104" s="58">
        <f t="shared" ref="U104:W104" si="172">SUM(U105:U108)</f>
        <v>8964.0112699999991</v>
      </c>
      <c r="V104" s="59">
        <f t="shared" si="172"/>
        <v>0</v>
      </c>
      <c r="W104" s="60">
        <f t="shared" si="172"/>
        <v>8964.0112699999991</v>
      </c>
      <c r="X104" s="56">
        <f t="shared" ref="X104" si="173">W104/$L104*100</f>
        <v>73.046640596230631</v>
      </c>
      <c r="Y104" s="58">
        <f t="shared" ref="Y104:AA104" si="174">SUM(Y105:Y108)</f>
        <v>11682.94253</v>
      </c>
      <c r="Z104" s="59">
        <f t="shared" si="174"/>
        <v>0</v>
      </c>
      <c r="AA104" s="60">
        <f t="shared" si="174"/>
        <v>11682.94253</v>
      </c>
      <c r="AB104" s="56">
        <f t="shared" ref="AB104" si="175">AA104/$L104*100</f>
        <v>95.202881655382782</v>
      </c>
      <c r="AC104" s="432">
        <f>SUM(AC105:AC108)</f>
        <v>588.68447000000037</v>
      </c>
      <c r="AD104" s="58">
        <f t="shared" ref="AD104:AF104" si="176">SUM(AD105:AD108)</f>
        <v>6227</v>
      </c>
      <c r="AE104" s="59">
        <f t="shared" si="176"/>
        <v>1250</v>
      </c>
      <c r="AF104" s="60">
        <f t="shared" si="176"/>
        <v>7477</v>
      </c>
      <c r="AG104" s="56">
        <f t="shared" si="168"/>
        <v>81.867951385087039</v>
      </c>
      <c r="AH104" s="59">
        <f t="shared" ref="AH104" si="177">SUM(AH105:AH108)</f>
        <v>9450</v>
      </c>
      <c r="AI104" s="395">
        <f>AH104/G104</f>
        <v>1.0347092959597066</v>
      </c>
      <c r="AJ104" s="56"/>
      <c r="AK104" s="209">
        <f t="shared" ref="AK104" si="178">SUM(AK105:AK108)</f>
        <v>0</v>
      </c>
      <c r="AL104" s="472">
        <f>SUM(AL105:AL108)</f>
        <v>12171.627</v>
      </c>
      <c r="AM104" s="58"/>
      <c r="AN104" s="333"/>
    </row>
    <row r="105" spans="1:40" x14ac:dyDescent="0.2">
      <c r="A105" s="142"/>
      <c r="B105" s="29">
        <v>4349</v>
      </c>
      <c r="C105" s="29">
        <v>228</v>
      </c>
      <c r="D105" s="220" t="s">
        <v>221</v>
      </c>
      <c r="E105" s="46">
        <v>370</v>
      </c>
      <c r="F105" s="16"/>
      <c r="G105" s="57">
        <f>E105+F105</f>
        <v>370</v>
      </c>
      <c r="H105" s="409"/>
      <c r="I105" s="200"/>
      <c r="J105" s="46">
        <f>E105+H105</f>
        <v>370</v>
      </c>
      <c r="K105" s="16"/>
      <c r="L105" s="57">
        <f>SUM(J105:K105)</f>
        <v>370</v>
      </c>
      <c r="M105" s="46">
        <v>17.98</v>
      </c>
      <c r="N105" s="16"/>
      <c r="O105" s="57">
        <f>M105+N105</f>
        <v>17.98</v>
      </c>
      <c r="P105" s="57">
        <f>O105/$L105*100</f>
        <v>4.8594594594594591</v>
      </c>
      <c r="Q105" s="46">
        <v>148.40649999999999</v>
      </c>
      <c r="R105" s="16"/>
      <c r="S105" s="57">
        <f>Q105+R105</f>
        <v>148.40649999999999</v>
      </c>
      <c r="T105" s="57">
        <f>S105/$L105*100</f>
        <v>40.109864864864861</v>
      </c>
      <c r="U105" s="46">
        <v>150.22149999999999</v>
      </c>
      <c r="V105" s="16"/>
      <c r="W105" s="57">
        <f>U105+V105</f>
        <v>150.22149999999999</v>
      </c>
      <c r="X105" s="57">
        <f>W105/$L105*100</f>
        <v>40.600405405405404</v>
      </c>
      <c r="Y105" s="46">
        <v>169.04349999999999</v>
      </c>
      <c r="Z105" s="16"/>
      <c r="AA105" s="57">
        <f>Y105+Z105</f>
        <v>169.04349999999999</v>
      </c>
      <c r="AB105" s="57">
        <f>AA105/$L105*100</f>
        <v>45.687432432432431</v>
      </c>
      <c r="AC105" s="431">
        <f t="shared" ref="AC105:AC108" si="179">L105-AA105</f>
        <v>200.95650000000001</v>
      </c>
      <c r="AD105" s="16">
        <f>70+300</f>
        <v>370</v>
      </c>
      <c r="AE105" s="16"/>
      <c r="AF105" s="57">
        <f>AD105+AE105</f>
        <v>370</v>
      </c>
      <c r="AG105" s="57">
        <f>AF105/$G105*100</f>
        <v>100</v>
      </c>
      <c r="AH105" s="16">
        <f>128+300</f>
        <v>428</v>
      </c>
      <c r="AI105" s="392">
        <f>AH105/G105</f>
        <v>1.1567567567567567</v>
      </c>
      <c r="AJ105" s="57" t="s">
        <v>444</v>
      </c>
      <c r="AK105" s="200"/>
      <c r="AL105" s="469">
        <f>L105-AK105</f>
        <v>370</v>
      </c>
      <c r="AM105" s="62" t="s">
        <v>308</v>
      </c>
      <c r="AN105" s="57" t="s">
        <v>331</v>
      </c>
    </row>
    <row r="106" spans="1:40" x14ac:dyDescent="0.2">
      <c r="A106" s="142"/>
      <c r="B106" s="29">
        <v>4351</v>
      </c>
      <c r="C106" s="29">
        <v>227</v>
      </c>
      <c r="D106" s="220" t="s">
        <v>40</v>
      </c>
      <c r="E106" s="46">
        <f>385+2925</f>
        <v>3310</v>
      </c>
      <c r="F106" s="16"/>
      <c r="G106" s="57">
        <f>E106+F106</f>
        <v>3310</v>
      </c>
      <c r="H106" s="409">
        <f>53+160+70+55+131.251</f>
        <v>469.25099999999998</v>
      </c>
      <c r="I106" s="200"/>
      <c r="J106" s="46">
        <f>E106+H106</f>
        <v>3779.2510000000002</v>
      </c>
      <c r="K106" s="16"/>
      <c r="L106" s="57">
        <f>SUM(J106:K106)</f>
        <v>3779.2510000000002</v>
      </c>
      <c r="M106" s="46">
        <f>538.56737+193.152</f>
        <v>731.71937000000003</v>
      </c>
      <c r="N106" s="16"/>
      <c r="O106" s="57">
        <f>M106+N106</f>
        <v>731.71937000000003</v>
      </c>
      <c r="P106" s="57">
        <f>O106/$L106*100</f>
        <v>19.361491734737914</v>
      </c>
      <c r="Q106" s="46">
        <f>1271.8988+215.102</f>
        <v>1487.0008</v>
      </c>
      <c r="R106" s="16"/>
      <c r="S106" s="57">
        <f>Q106+R106</f>
        <v>1487.0008</v>
      </c>
      <c r="T106" s="57">
        <f>S106/$L106*100</f>
        <v>39.3464419272496</v>
      </c>
      <c r="U106" s="46">
        <f>2082.16577+248.874</f>
        <v>2331.0397699999999</v>
      </c>
      <c r="V106" s="16"/>
      <c r="W106" s="57">
        <f>U106+V106</f>
        <v>2331.0397699999999</v>
      </c>
      <c r="X106" s="57">
        <f>W106/$L106*100</f>
        <v>61.679940549066458</v>
      </c>
      <c r="Y106" s="46">
        <v>3491.5230299999998</v>
      </c>
      <c r="Z106" s="16"/>
      <c r="AA106" s="57">
        <f>Y106+Z106</f>
        <v>3491.5230299999998</v>
      </c>
      <c r="AB106" s="57">
        <f>AA106/$L106*100</f>
        <v>92.386640368686798</v>
      </c>
      <c r="AC106" s="431">
        <f t="shared" si="179"/>
        <v>287.72797000000037</v>
      </c>
      <c r="AD106" s="46">
        <f>425+3964</f>
        <v>4389</v>
      </c>
      <c r="AE106" s="16">
        <f>350+100</f>
        <v>450</v>
      </c>
      <c r="AF106" s="57">
        <f>AD106+AE106</f>
        <v>4839</v>
      </c>
      <c r="AG106" s="57">
        <f>AF106/$G106*100</f>
        <v>146.19335347432022</v>
      </c>
      <c r="AH106" s="490">
        <f>425+3964+450</f>
        <v>4839</v>
      </c>
      <c r="AI106" s="392">
        <f>AH106/G106</f>
        <v>1.4619335347432023</v>
      </c>
      <c r="AJ106" s="57" t="s">
        <v>499</v>
      </c>
      <c r="AK106" s="200"/>
      <c r="AL106" s="469">
        <f>L106-AK106</f>
        <v>3779.2510000000002</v>
      </c>
      <c r="AM106" s="345" t="s">
        <v>174</v>
      </c>
      <c r="AN106" s="202" t="s">
        <v>82</v>
      </c>
    </row>
    <row r="107" spans="1:40" x14ac:dyDescent="0.2">
      <c r="A107" s="142"/>
      <c r="B107" s="29">
        <v>4355</v>
      </c>
      <c r="C107" s="29">
        <v>307</v>
      </c>
      <c r="D107" s="220" t="s">
        <v>264</v>
      </c>
      <c r="E107" s="46">
        <f>741+712</f>
        <v>1453</v>
      </c>
      <c r="F107" s="16"/>
      <c r="G107" s="57">
        <f>E107+F107</f>
        <v>1453</v>
      </c>
      <c r="H107" s="409">
        <f>3129+2086+979+375.376</f>
        <v>6569.3760000000002</v>
      </c>
      <c r="I107" s="200"/>
      <c r="J107" s="46">
        <f>E107+H107</f>
        <v>8022.3760000000002</v>
      </c>
      <c r="K107" s="16"/>
      <c r="L107" s="57">
        <f>SUM(J107:K107)</f>
        <v>8022.3760000000002</v>
      </c>
      <c r="M107" s="46">
        <f>185.25+3129</f>
        <v>3314.25</v>
      </c>
      <c r="N107" s="16"/>
      <c r="O107" s="57">
        <f>M107+N107</f>
        <v>3314.25</v>
      </c>
      <c r="P107" s="57">
        <f>O107/$L107*100</f>
        <v>41.312573731273631</v>
      </c>
      <c r="Q107" s="46">
        <f>370.5+5215</f>
        <v>5585.5</v>
      </c>
      <c r="R107" s="16"/>
      <c r="S107" s="57">
        <f>Q107+R107</f>
        <v>5585.5</v>
      </c>
      <c r="T107" s="57">
        <f>S107/$L107*100</f>
        <v>69.624011639444475</v>
      </c>
      <c r="U107" s="46">
        <v>6482.75</v>
      </c>
      <c r="V107" s="16"/>
      <c r="W107" s="57">
        <f>U107+V107</f>
        <v>6482.75</v>
      </c>
      <c r="X107" s="57">
        <f>W107/$L107*100</f>
        <v>80.808354033767543</v>
      </c>
      <c r="Y107" s="46">
        <v>8022.3760000000002</v>
      </c>
      <c r="Z107" s="16"/>
      <c r="AA107" s="57">
        <f>Y107+Z107</f>
        <v>8022.3760000000002</v>
      </c>
      <c r="AB107" s="57">
        <f>AA107/$L107*100</f>
        <v>100</v>
      </c>
      <c r="AC107" s="431">
        <f t="shared" si="179"/>
        <v>0</v>
      </c>
      <c r="AD107" s="46">
        <f>712+756</f>
        <v>1468</v>
      </c>
      <c r="AE107" s="16">
        <f>500+200</f>
        <v>700</v>
      </c>
      <c r="AF107" s="57">
        <f>AD107+AE107</f>
        <v>2168</v>
      </c>
      <c r="AG107" s="57">
        <f>AF107/$G107*100</f>
        <v>149.20853406744666</v>
      </c>
      <c r="AH107" s="16">
        <f>712+971+500</f>
        <v>2183</v>
      </c>
      <c r="AI107" s="392">
        <f>AH107/G107</f>
        <v>1.502408809359945</v>
      </c>
      <c r="AJ107" s="57" t="s">
        <v>489</v>
      </c>
      <c r="AK107" s="200"/>
      <c r="AL107" s="469">
        <f>L107-AK107</f>
        <v>8022.3760000000002</v>
      </c>
      <c r="AM107" s="340" t="s">
        <v>214</v>
      </c>
      <c r="AN107" s="326" t="s">
        <v>71</v>
      </c>
    </row>
    <row r="108" spans="1:40" ht="12.75" customHeight="1" x14ac:dyDescent="0.2">
      <c r="A108" s="142"/>
      <c r="B108" s="29">
        <v>4359</v>
      </c>
      <c r="C108" s="29">
        <v>226</v>
      </c>
      <c r="D108" s="461" t="s">
        <v>364</v>
      </c>
      <c r="E108" s="46">
        <v>200</v>
      </c>
      <c r="F108" s="16">
        <v>3800</v>
      </c>
      <c r="G108" s="57">
        <f>E108+F108</f>
        <v>4000</v>
      </c>
      <c r="H108" s="409">
        <v>-100</v>
      </c>
      <c r="I108" s="200">
        <v>-3800</v>
      </c>
      <c r="J108" s="46">
        <f>E108+H108</f>
        <v>100</v>
      </c>
      <c r="K108" s="16">
        <f>F108+I108</f>
        <v>0</v>
      </c>
      <c r="L108" s="57">
        <f>SUM(J108:K108)</f>
        <v>100</v>
      </c>
      <c r="M108" s="46"/>
      <c r="N108" s="16"/>
      <c r="O108" s="57">
        <f>M108+N108</f>
        <v>0</v>
      </c>
      <c r="P108" s="57">
        <f>O108/$L108*100</f>
        <v>0</v>
      </c>
      <c r="Q108" s="46"/>
      <c r="R108" s="16"/>
      <c r="S108" s="57">
        <f>Q108+R108</f>
        <v>0</v>
      </c>
      <c r="T108" s="57">
        <f>S108/$L108*100</f>
        <v>0</v>
      </c>
      <c r="U108" s="46"/>
      <c r="V108" s="16"/>
      <c r="W108" s="57">
        <f>U108+V108</f>
        <v>0</v>
      </c>
      <c r="X108" s="57">
        <f>W108/$L108*100</f>
        <v>0</v>
      </c>
      <c r="Y108" s="46"/>
      <c r="Z108" s="16"/>
      <c r="AA108" s="57">
        <f>Y108+Z108</f>
        <v>0</v>
      </c>
      <c r="AB108" s="57">
        <f>AA108/$L108*100</f>
        <v>0</v>
      </c>
      <c r="AC108" s="431">
        <f t="shared" si="179"/>
        <v>100</v>
      </c>
      <c r="AD108" s="46"/>
      <c r="AE108" s="16">
        <v>100</v>
      </c>
      <c r="AF108" s="57">
        <f>AD108+AE108</f>
        <v>100</v>
      </c>
      <c r="AG108" s="57">
        <f>AF108/$G108*100</f>
        <v>2.5</v>
      </c>
      <c r="AH108" s="16">
        <v>2000</v>
      </c>
      <c r="AI108" s="392"/>
      <c r="AJ108" s="445" t="s">
        <v>571</v>
      </c>
      <c r="AK108" s="200"/>
      <c r="AL108" s="469"/>
      <c r="AM108" s="341" t="s">
        <v>345</v>
      </c>
      <c r="AN108" s="330" t="s">
        <v>121</v>
      </c>
    </row>
    <row r="109" spans="1:40" x14ac:dyDescent="0.2">
      <c r="A109" s="143">
        <v>53</v>
      </c>
      <c r="B109" s="24">
        <v>5300</v>
      </c>
      <c r="C109" s="24"/>
      <c r="D109" s="459" t="s">
        <v>106</v>
      </c>
      <c r="E109" s="58">
        <f>SUM(E110:E113)</f>
        <v>3235</v>
      </c>
      <c r="F109" s="59">
        <f>SUM(F110:F113)</f>
        <v>6350</v>
      </c>
      <c r="G109" s="60">
        <f>SUM(G110:G113)</f>
        <v>9585</v>
      </c>
      <c r="H109" s="206">
        <f t="shared" ref="H109:O109" si="180">SUM(H110:H113)</f>
        <v>282.16156000000001</v>
      </c>
      <c r="I109" s="204">
        <f t="shared" si="180"/>
        <v>-6000</v>
      </c>
      <c r="J109" s="58">
        <f t="shared" si="180"/>
        <v>3517.16156</v>
      </c>
      <c r="K109" s="59">
        <f t="shared" si="180"/>
        <v>350</v>
      </c>
      <c r="L109" s="60">
        <f t="shared" si="180"/>
        <v>3867.16156</v>
      </c>
      <c r="M109" s="58">
        <f t="shared" si="180"/>
        <v>569.47275999999999</v>
      </c>
      <c r="N109" s="59">
        <f t="shared" si="180"/>
        <v>0</v>
      </c>
      <c r="O109" s="60">
        <f t="shared" si="180"/>
        <v>569.47275999999999</v>
      </c>
      <c r="P109" s="60">
        <f t="shared" si="149"/>
        <v>14.72585903548338</v>
      </c>
      <c r="Q109" s="58">
        <f>SUM(Q110:Q113)</f>
        <v>1175.42074</v>
      </c>
      <c r="R109" s="59">
        <f t="shared" ref="R109:S109" si="181">SUM(R110:R113)</f>
        <v>0</v>
      </c>
      <c r="S109" s="60">
        <f t="shared" si="181"/>
        <v>1175.42074</v>
      </c>
      <c r="T109" s="60">
        <f t="shared" ref="T109" si="182">S109/$L109*100</f>
        <v>30.394922005792797</v>
      </c>
      <c r="U109" s="58">
        <f t="shared" ref="U109:W109" si="183">SUM(U110:U113)</f>
        <v>1811.0081</v>
      </c>
      <c r="V109" s="59">
        <f t="shared" si="183"/>
        <v>0</v>
      </c>
      <c r="W109" s="60">
        <f t="shared" si="183"/>
        <v>1811.0081</v>
      </c>
      <c r="X109" s="60">
        <f t="shared" ref="X109" si="184">W109/$L109*100</f>
        <v>46.830422569674077</v>
      </c>
      <c r="Y109" s="58">
        <f t="shared" ref="Y109:AA109" si="185">SUM(Y110:Y113)</f>
        <v>3161.8304199999998</v>
      </c>
      <c r="Z109" s="59">
        <f t="shared" si="185"/>
        <v>349.56200000000001</v>
      </c>
      <c r="AA109" s="60">
        <f t="shared" si="185"/>
        <v>3511.3924199999997</v>
      </c>
      <c r="AB109" s="60">
        <f t="shared" ref="AB109" si="186">AA109/$L109*100</f>
        <v>90.800251438163343</v>
      </c>
      <c r="AC109" s="432">
        <f>SUM(AC110:AC113)</f>
        <v>355.76914000000016</v>
      </c>
      <c r="AD109" s="58">
        <f t="shared" ref="AD109:AF109" si="187">SUM(AD110:AD113)</f>
        <v>3581</v>
      </c>
      <c r="AE109" s="59">
        <f t="shared" si="187"/>
        <v>7079</v>
      </c>
      <c r="AF109" s="60">
        <f t="shared" si="187"/>
        <v>10660</v>
      </c>
      <c r="AG109" s="60">
        <f t="shared" si="168"/>
        <v>111.21544079290557</v>
      </c>
      <c r="AH109" s="59">
        <f t="shared" ref="AH109" si="188">SUM(AH110:AH113)</f>
        <v>10660</v>
      </c>
      <c r="AI109" s="393">
        <f t="shared" ref="AI109:AI115" si="189">AH109/G109</f>
        <v>1.1121544079290557</v>
      </c>
      <c r="AJ109" s="60"/>
      <c r="AK109" s="204">
        <f t="shared" ref="AK109" si="190">SUM(AK110:AK113)</f>
        <v>0</v>
      </c>
      <c r="AL109" s="470">
        <f>SUM(AL110:AL113)</f>
        <v>3867.16156</v>
      </c>
      <c r="AM109" s="58"/>
      <c r="AN109" s="76"/>
    </row>
    <row r="110" spans="1:40" x14ac:dyDescent="0.2">
      <c r="A110" s="92"/>
      <c r="B110" s="29">
        <v>5272</v>
      </c>
      <c r="C110" s="33">
        <v>320</v>
      </c>
      <c r="D110" s="220" t="s">
        <v>147</v>
      </c>
      <c r="E110" s="46">
        <f>243+138</f>
        <v>381</v>
      </c>
      <c r="F110" s="16"/>
      <c r="G110" s="57">
        <f>E110+F110</f>
        <v>381</v>
      </c>
      <c r="H110" s="201"/>
      <c r="I110" s="209"/>
      <c r="J110" s="46">
        <f>E110+H110</f>
        <v>381</v>
      </c>
      <c r="K110" s="16">
        <f>F110+I110</f>
        <v>0</v>
      </c>
      <c r="L110" s="57">
        <f>SUM(J110:K110)</f>
        <v>381</v>
      </c>
      <c r="M110" s="46">
        <f>34.202+6.566</f>
        <v>40.768000000000001</v>
      </c>
      <c r="N110" s="16"/>
      <c r="O110" s="57">
        <f>M110+N110</f>
        <v>40.768000000000001</v>
      </c>
      <c r="P110" s="57">
        <f>O110/$L110*100</f>
        <v>10.700262467191601</v>
      </c>
      <c r="Q110" s="46">
        <f>150.79154+7.097</f>
        <v>157.88854000000001</v>
      </c>
      <c r="R110" s="16"/>
      <c r="S110" s="57">
        <f>Q110+R110</f>
        <v>157.88854000000001</v>
      </c>
      <c r="T110" s="57">
        <f>S110/$L110*100</f>
        <v>41.440561679790029</v>
      </c>
      <c r="U110" s="46">
        <f>179.54954+6.403</f>
        <v>185.95254</v>
      </c>
      <c r="V110" s="16"/>
      <c r="W110" s="57">
        <f>U110+V110</f>
        <v>185.95254</v>
      </c>
      <c r="X110" s="57">
        <f>W110/$L110*100</f>
        <v>48.806440944881892</v>
      </c>
      <c r="Y110" s="46">
        <v>281.37153999999998</v>
      </c>
      <c r="Z110" s="16"/>
      <c r="AA110" s="57">
        <f>Y110+Z110</f>
        <v>281.37153999999998</v>
      </c>
      <c r="AB110" s="57">
        <f>AA110/$L110*100</f>
        <v>73.850797900262464</v>
      </c>
      <c r="AC110" s="431">
        <f t="shared" ref="AC110:AC113" si="191">L110-AA110</f>
        <v>99.628460000000018</v>
      </c>
      <c r="AD110" s="46">
        <f>243</f>
        <v>243</v>
      </c>
      <c r="AE110" s="16"/>
      <c r="AF110" s="57">
        <f>AD110+AE110</f>
        <v>243</v>
      </c>
      <c r="AG110" s="57">
        <f t="shared" si="168"/>
        <v>63.779527559055119</v>
      </c>
      <c r="AH110" s="490">
        <f>243</f>
        <v>243</v>
      </c>
      <c r="AI110" s="392">
        <f t="shared" si="189"/>
        <v>0.63779527559055116</v>
      </c>
      <c r="AJ110" s="57"/>
      <c r="AK110" s="209"/>
      <c r="AL110" s="469">
        <f>L110-AK110</f>
        <v>381</v>
      </c>
      <c r="AM110" s="366" t="s">
        <v>222</v>
      </c>
      <c r="AN110" s="329" t="s">
        <v>215</v>
      </c>
    </row>
    <row r="111" spans="1:40" ht="13.5" customHeight="1" x14ac:dyDescent="0.2">
      <c r="A111" s="142"/>
      <c r="B111" s="29">
        <v>5311</v>
      </c>
      <c r="C111" s="29">
        <v>321</v>
      </c>
      <c r="D111" s="220" t="s">
        <v>83</v>
      </c>
      <c r="E111" s="46">
        <f>375+1896</f>
        <v>2271</v>
      </c>
      <c r="F111" s="16">
        <v>350</v>
      </c>
      <c r="G111" s="57">
        <f>E111+F111</f>
        <v>2621</v>
      </c>
      <c r="H111" s="205">
        <f>37+33</f>
        <v>70</v>
      </c>
      <c r="I111" s="200"/>
      <c r="J111" s="46">
        <f t="shared" ref="J111:K113" si="192">E111+H111</f>
        <v>2341</v>
      </c>
      <c r="K111" s="16">
        <f t="shared" si="192"/>
        <v>350</v>
      </c>
      <c r="L111" s="57">
        <f>SUM(J111:K111)</f>
        <v>2691</v>
      </c>
      <c r="M111" s="46">
        <f>347.02057+137.084</f>
        <v>484.10457000000002</v>
      </c>
      <c r="N111" s="16"/>
      <c r="O111" s="57">
        <f>M111+N111</f>
        <v>484.10457000000002</v>
      </c>
      <c r="P111" s="57">
        <f t="shared" si="149"/>
        <v>17.989764771460425</v>
      </c>
      <c r="Q111" s="46">
        <f>816.67683+130.433</f>
        <v>947.10982999999999</v>
      </c>
      <c r="R111" s="16"/>
      <c r="S111" s="57">
        <f>Q111+R111</f>
        <v>947.10982999999999</v>
      </c>
      <c r="T111" s="57">
        <f t="shared" ref="T111:T131" si="193">S111/$L111*100</f>
        <v>35.195460052025268</v>
      </c>
      <c r="U111" s="46">
        <f>1352.14218+134.393</f>
        <v>1486.5351800000001</v>
      </c>
      <c r="V111" s="16"/>
      <c r="W111" s="57">
        <f>U111+V111</f>
        <v>1486.5351800000001</v>
      </c>
      <c r="X111" s="57">
        <f t="shared" ref="X111:X131" si="194">W111/$L111*100</f>
        <v>55.240995169082133</v>
      </c>
      <c r="Y111" s="46">
        <f>2533.76491-Z111</f>
        <v>2184.20291</v>
      </c>
      <c r="Z111" s="16">
        <v>349.56200000000001</v>
      </c>
      <c r="AA111" s="57">
        <f>Y111+Z111</f>
        <v>2533.7649099999999</v>
      </c>
      <c r="AB111" s="57">
        <f t="shared" ref="AB111:AB131" si="195">AA111/$L111*100</f>
        <v>94.157001486436258</v>
      </c>
      <c r="AC111" s="431">
        <f t="shared" si="191"/>
        <v>157.23509000000013</v>
      </c>
      <c r="AD111" s="46">
        <f>375+2104+25</f>
        <v>2504</v>
      </c>
      <c r="AE111" s="16"/>
      <c r="AF111" s="57">
        <f>AD111+AE111</f>
        <v>2504</v>
      </c>
      <c r="AG111" s="57">
        <f t="shared" ref="AG111:AG121" si="196">AF111/$G111*100</f>
        <v>95.536054940862272</v>
      </c>
      <c r="AH111" s="490">
        <f>375+2104+25</f>
        <v>2504</v>
      </c>
      <c r="AI111" s="392">
        <f t="shared" si="189"/>
        <v>0.95536054940862269</v>
      </c>
      <c r="AJ111" s="57"/>
      <c r="AK111" s="200"/>
      <c r="AL111" s="469">
        <f>L111-AK111</f>
        <v>2691</v>
      </c>
      <c r="AM111" s="346" t="s">
        <v>167</v>
      </c>
      <c r="AN111" s="329" t="s">
        <v>318</v>
      </c>
    </row>
    <row r="112" spans="1:40" ht="13.5" customHeight="1" x14ac:dyDescent="0.2">
      <c r="A112" s="142"/>
      <c r="B112" s="29">
        <v>5512</v>
      </c>
      <c r="C112" s="29">
        <v>224</v>
      </c>
      <c r="D112" s="220" t="s">
        <v>305</v>
      </c>
      <c r="E112" s="46">
        <v>200</v>
      </c>
      <c r="F112" s="16"/>
      <c r="G112" s="57">
        <f>E112+F112</f>
        <v>200</v>
      </c>
      <c r="H112" s="199"/>
      <c r="I112" s="200"/>
      <c r="J112" s="46">
        <f>E112+H112</f>
        <v>200</v>
      </c>
      <c r="K112" s="16"/>
      <c r="L112" s="57">
        <f>SUM(J112:K112)</f>
        <v>200</v>
      </c>
      <c r="M112" s="46">
        <v>0.60499999999999998</v>
      </c>
      <c r="N112" s="16"/>
      <c r="O112" s="57">
        <f>M112+N112</f>
        <v>0.60499999999999998</v>
      </c>
      <c r="P112" s="57">
        <f t="shared" si="149"/>
        <v>0.30249999999999999</v>
      </c>
      <c r="Q112" s="46">
        <v>0.70399999999999996</v>
      </c>
      <c r="R112" s="16"/>
      <c r="S112" s="57">
        <f>Q112+R112</f>
        <v>0.70399999999999996</v>
      </c>
      <c r="T112" s="57">
        <f t="shared" si="193"/>
        <v>0.35199999999999998</v>
      </c>
      <c r="U112" s="46">
        <v>5.0599999999999996</v>
      </c>
      <c r="V112" s="16"/>
      <c r="W112" s="57">
        <f>U112+V112</f>
        <v>5.0599999999999996</v>
      </c>
      <c r="X112" s="57">
        <f t="shared" si="194"/>
        <v>2.5299999999999998</v>
      </c>
      <c r="Y112" s="46">
        <v>96.9255</v>
      </c>
      <c r="Z112" s="16"/>
      <c r="AA112" s="57">
        <f>Y112+Z112</f>
        <v>96.9255</v>
      </c>
      <c r="AB112" s="57">
        <f t="shared" si="195"/>
        <v>48.46275</v>
      </c>
      <c r="AC112" s="431">
        <f t="shared" si="191"/>
        <v>103.0745</v>
      </c>
      <c r="AD112" s="46">
        <v>450</v>
      </c>
      <c r="AE112" s="16"/>
      <c r="AF112" s="57">
        <f>AD112+AE112</f>
        <v>450</v>
      </c>
      <c r="AG112" s="57">
        <f t="shared" si="196"/>
        <v>225</v>
      </c>
      <c r="AH112" s="16">
        <v>450</v>
      </c>
      <c r="AI112" s="392">
        <f t="shared" si="189"/>
        <v>2.25</v>
      </c>
      <c r="AJ112" s="57" t="s">
        <v>500</v>
      </c>
      <c r="AK112" s="200"/>
      <c r="AL112" s="469">
        <f>L112-AK112</f>
        <v>200</v>
      </c>
      <c r="AM112" s="341" t="s">
        <v>168</v>
      </c>
      <c r="AN112" s="328" t="s">
        <v>121</v>
      </c>
    </row>
    <row r="113" spans="1:40" x14ac:dyDescent="0.2">
      <c r="A113" s="142"/>
      <c r="B113" s="29">
        <v>5512</v>
      </c>
      <c r="C113" s="29">
        <v>223</v>
      </c>
      <c r="D113" s="220" t="s">
        <v>205</v>
      </c>
      <c r="E113" s="46">
        <f>333+50</f>
        <v>383</v>
      </c>
      <c r="F113" s="16">
        <v>6000</v>
      </c>
      <c r="G113" s="57">
        <f>E113+F113</f>
        <v>6383</v>
      </c>
      <c r="H113" s="205">
        <f>150+24.5-0.85444+38.516</f>
        <v>212.16155999999998</v>
      </c>
      <c r="I113" s="200">
        <v>-6000</v>
      </c>
      <c r="J113" s="46">
        <f t="shared" si="192"/>
        <v>595.16156000000001</v>
      </c>
      <c r="K113" s="16">
        <f t="shared" si="192"/>
        <v>0</v>
      </c>
      <c r="L113" s="57">
        <f>SUM(J113:K113)</f>
        <v>595.16156000000001</v>
      </c>
      <c r="M113" s="46">
        <v>43.995190000000001</v>
      </c>
      <c r="N113" s="16"/>
      <c r="O113" s="57">
        <f>M113+N113</f>
        <v>43.995190000000001</v>
      </c>
      <c r="P113" s="57">
        <f t="shared" si="149"/>
        <v>7.392142395755533</v>
      </c>
      <c r="Q113" s="46">
        <v>69.718369999999993</v>
      </c>
      <c r="R113" s="16"/>
      <c r="S113" s="57">
        <f>Q113+R113</f>
        <v>69.718369999999993</v>
      </c>
      <c r="T113" s="57">
        <f t="shared" si="193"/>
        <v>11.714192361482484</v>
      </c>
      <c r="U113" s="46">
        <v>133.46037999999999</v>
      </c>
      <c r="V113" s="16"/>
      <c r="W113" s="57">
        <f>U113+V113</f>
        <v>133.46037999999999</v>
      </c>
      <c r="X113" s="57">
        <f t="shared" si="194"/>
        <v>22.424227129184889</v>
      </c>
      <c r="Y113" s="46">
        <v>599.33046999999999</v>
      </c>
      <c r="Z113" s="16"/>
      <c r="AA113" s="57">
        <f>Y113+Z113</f>
        <v>599.33046999999999</v>
      </c>
      <c r="AB113" s="57">
        <f t="shared" si="195"/>
        <v>100.70046694547948</v>
      </c>
      <c r="AC113" s="431">
        <f t="shared" si="191"/>
        <v>-4.1689099999999826</v>
      </c>
      <c r="AD113" s="46">
        <v>384</v>
      </c>
      <c r="AE113" s="16">
        <f>6329+750</f>
        <v>7079</v>
      </c>
      <c r="AF113" s="57">
        <f>AD113+AE113</f>
        <v>7463</v>
      </c>
      <c r="AG113" s="57">
        <f t="shared" si="196"/>
        <v>116.91994360018801</v>
      </c>
      <c r="AH113" s="16">
        <f>334+50+6329+750</f>
        <v>7463</v>
      </c>
      <c r="AI113" s="392">
        <f t="shared" si="189"/>
        <v>1.16919943600188</v>
      </c>
      <c r="AJ113" s="57" t="s">
        <v>582</v>
      </c>
      <c r="AK113" s="200"/>
      <c r="AL113" s="469">
        <f>L113-AK113</f>
        <v>595.16156000000001</v>
      </c>
      <c r="AM113" s="65" t="s">
        <v>170</v>
      </c>
      <c r="AN113" s="464" t="s">
        <v>318</v>
      </c>
    </row>
    <row r="114" spans="1:40" x14ac:dyDescent="0.2">
      <c r="A114" s="143">
        <v>61</v>
      </c>
      <c r="B114" s="24">
        <v>6100</v>
      </c>
      <c r="C114" s="24"/>
      <c r="D114" s="459" t="s">
        <v>84</v>
      </c>
      <c r="E114" s="58">
        <f t="shared" ref="E114:O114" si="197">SUM(E115:E122)</f>
        <v>49253</v>
      </c>
      <c r="F114" s="59">
        <f t="shared" si="197"/>
        <v>2771</v>
      </c>
      <c r="G114" s="60">
        <f t="shared" si="197"/>
        <v>52024</v>
      </c>
      <c r="H114" s="203">
        <f t="shared" si="197"/>
        <v>1472.3329999999996</v>
      </c>
      <c r="I114" s="204">
        <f t="shared" si="197"/>
        <v>251</v>
      </c>
      <c r="J114" s="58">
        <f t="shared" si="197"/>
        <v>50725.332999999999</v>
      </c>
      <c r="K114" s="59">
        <f t="shared" si="197"/>
        <v>3022</v>
      </c>
      <c r="L114" s="60">
        <f t="shared" si="197"/>
        <v>53747.332999999999</v>
      </c>
      <c r="M114" s="58">
        <f t="shared" si="197"/>
        <v>10953.805810000002</v>
      </c>
      <c r="N114" s="59">
        <f t="shared" si="197"/>
        <v>0</v>
      </c>
      <c r="O114" s="60">
        <f t="shared" si="197"/>
        <v>10953.805810000002</v>
      </c>
      <c r="P114" s="60">
        <f t="shared" si="149"/>
        <v>20.380184836334113</v>
      </c>
      <c r="Q114" s="58">
        <f>SUM(Q115:Q122)</f>
        <v>21829.58841</v>
      </c>
      <c r="R114" s="59">
        <f>SUM(R115:R122)</f>
        <v>0</v>
      </c>
      <c r="S114" s="60">
        <f>SUM(S115:S122)</f>
        <v>21829.58841</v>
      </c>
      <c r="T114" s="60">
        <f t="shared" si="193"/>
        <v>40.615203009235827</v>
      </c>
      <c r="U114" s="58">
        <f>SUM(U115:U122)</f>
        <v>32757.879199999999</v>
      </c>
      <c r="V114" s="59">
        <f>SUM(V115:V122)</f>
        <v>1391.038</v>
      </c>
      <c r="W114" s="60">
        <f>SUM(W115:W122)</f>
        <v>34148.917200000004</v>
      </c>
      <c r="X114" s="60">
        <f t="shared" si="194"/>
        <v>63.536021778048045</v>
      </c>
      <c r="Y114" s="58">
        <f>SUM(Y115:Y122)</f>
        <v>48736.978530000008</v>
      </c>
      <c r="Z114" s="59">
        <f>SUM(Z115:Z122)</f>
        <v>2112.5011799999997</v>
      </c>
      <c r="AA114" s="60">
        <f>SUM(AA115:AA122)</f>
        <v>50849.479710000007</v>
      </c>
      <c r="AB114" s="60">
        <f t="shared" si="195"/>
        <v>94.608377517076065</v>
      </c>
      <c r="AC114" s="432">
        <f>SUM(AC115:AC122)</f>
        <v>2897.8532899999955</v>
      </c>
      <c r="AD114" s="58">
        <f>SUM(AD115:AD122)</f>
        <v>57080</v>
      </c>
      <c r="AE114" s="59">
        <f>SUM(AE115:AE122)</f>
        <v>2175</v>
      </c>
      <c r="AF114" s="60">
        <f>SUM(AF115:AF122)</f>
        <v>59255</v>
      </c>
      <c r="AG114" s="60">
        <f t="shared" si="196"/>
        <v>113.89935414424113</v>
      </c>
      <c r="AH114" s="59">
        <f>SUM(AH115:AH122)</f>
        <v>59212</v>
      </c>
      <c r="AI114" s="393">
        <f t="shared" si="189"/>
        <v>1.1381669998462247</v>
      </c>
      <c r="AJ114" s="60"/>
      <c r="AK114" s="204">
        <f>SUM(AK115:AK122)</f>
        <v>0</v>
      </c>
      <c r="AL114" s="470">
        <f>SUM(AL115:AL122)</f>
        <v>51069.332999999999</v>
      </c>
      <c r="AM114" s="342"/>
      <c r="AN114" s="76"/>
    </row>
    <row r="115" spans="1:40" x14ac:dyDescent="0.2">
      <c r="A115" s="142"/>
      <c r="B115" s="29">
        <v>6112</v>
      </c>
      <c r="C115" s="29">
        <v>314</v>
      </c>
      <c r="D115" s="220" t="s">
        <v>85</v>
      </c>
      <c r="E115" s="46">
        <f>60+2128</f>
        <v>2188</v>
      </c>
      <c r="F115" s="16"/>
      <c r="G115" s="57">
        <f t="shared" ref="G115:G122" si="198">E115+F115</f>
        <v>2188</v>
      </c>
      <c r="H115" s="205"/>
      <c r="I115" s="200"/>
      <c r="J115" s="46">
        <f>E115+H115</f>
        <v>2188</v>
      </c>
      <c r="K115" s="16"/>
      <c r="L115" s="57">
        <f>SUM(J115:K115)</f>
        <v>2188</v>
      </c>
      <c r="M115" s="46">
        <f>334.63623+165.101</f>
        <v>499.73723000000001</v>
      </c>
      <c r="N115" s="16"/>
      <c r="O115" s="57">
        <f>M115+N115</f>
        <v>499.73723000000001</v>
      </c>
      <c r="P115" s="57">
        <f t="shared" si="149"/>
        <v>22.839909963436931</v>
      </c>
      <c r="Q115" s="46">
        <f>855.49523+164.465</f>
        <v>1019.96023</v>
      </c>
      <c r="R115" s="16"/>
      <c r="S115" s="57">
        <f>Q115+R115</f>
        <v>1019.96023</v>
      </c>
      <c r="T115" s="57">
        <f t="shared" si="193"/>
        <v>46.616098263254116</v>
      </c>
      <c r="U115" s="46">
        <f>1350.43523+164.285</f>
        <v>1514.7202300000001</v>
      </c>
      <c r="V115" s="16"/>
      <c r="W115" s="57">
        <f>U115+V115</f>
        <v>1514.7202300000001</v>
      </c>
      <c r="X115" s="57">
        <f t="shared" si="194"/>
        <v>69.22852970749544</v>
      </c>
      <c r="Y115" s="46">
        <v>2029.9355800000001</v>
      </c>
      <c r="Z115" s="16"/>
      <c r="AA115" s="57">
        <f>Y115+Z115</f>
        <v>2029.9355800000001</v>
      </c>
      <c r="AB115" s="57">
        <f t="shared" si="195"/>
        <v>92.775849177330912</v>
      </c>
      <c r="AC115" s="431">
        <f t="shared" ref="AC115:AC122" si="199">L115-AA115</f>
        <v>158.06441999999993</v>
      </c>
      <c r="AD115" s="46">
        <f>60+2552</f>
        <v>2612</v>
      </c>
      <c r="AE115" s="16"/>
      <c r="AF115" s="57">
        <f>AD115+AE115</f>
        <v>2612</v>
      </c>
      <c r="AG115" s="57">
        <f t="shared" si="196"/>
        <v>119.3784277879342</v>
      </c>
      <c r="AH115" s="490">
        <f>AF115</f>
        <v>2612</v>
      </c>
      <c r="AI115" s="392">
        <f t="shared" si="189"/>
        <v>1.1937842778793419</v>
      </c>
      <c r="AJ115" s="57"/>
      <c r="AK115" s="200"/>
      <c r="AL115" s="469">
        <f>L115-AK115</f>
        <v>2188</v>
      </c>
      <c r="AM115" s="338" t="s">
        <v>318</v>
      </c>
      <c r="AN115" s="329" t="s">
        <v>215</v>
      </c>
    </row>
    <row r="116" spans="1:40" x14ac:dyDescent="0.2">
      <c r="A116" s="142"/>
      <c r="B116" s="29">
        <v>6114</v>
      </c>
      <c r="C116" s="29">
        <v>110</v>
      </c>
      <c r="D116" s="220" t="s">
        <v>426</v>
      </c>
      <c r="E116" s="46"/>
      <c r="F116" s="16"/>
      <c r="G116" s="57"/>
      <c r="H116" s="205">
        <v>200</v>
      </c>
      <c r="I116" s="200"/>
      <c r="J116" s="46">
        <f>E116+H116</f>
        <v>200</v>
      </c>
      <c r="K116" s="16"/>
      <c r="L116" s="57">
        <f>SUM(J116:K116)</f>
        <v>200</v>
      </c>
      <c r="M116" s="46"/>
      <c r="N116" s="16"/>
      <c r="O116" s="57"/>
      <c r="P116" s="57"/>
      <c r="Q116" s="46"/>
      <c r="R116" s="16"/>
      <c r="S116" s="57"/>
      <c r="T116" s="57"/>
      <c r="U116" s="46"/>
      <c r="V116" s="16"/>
      <c r="W116" s="57">
        <f t="shared" ref="W116:W118" si="200">U116+V116</f>
        <v>0</v>
      </c>
      <c r="X116" s="57"/>
      <c r="Y116" s="46">
        <f>196.491+4</f>
        <v>200.49100000000001</v>
      </c>
      <c r="Z116" s="16"/>
      <c r="AA116" s="57">
        <f>Y116+Z116</f>
        <v>200.49100000000001</v>
      </c>
      <c r="AB116" s="57">
        <f t="shared" si="195"/>
        <v>100.24550000000001</v>
      </c>
      <c r="AC116" s="431">
        <f t="shared" si="199"/>
        <v>-0.49100000000001387</v>
      </c>
      <c r="AD116" s="46"/>
      <c r="AE116" s="16"/>
      <c r="AF116" s="57">
        <f t="shared" ref="AF116:AF118" si="201">AD116+AE116</f>
        <v>0</v>
      </c>
      <c r="AG116" s="57"/>
      <c r="AH116" s="16"/>
      <c r="AI116" s="392"/>
      <c r="AJ116" s="57"/>
      <c r="AK116" s="200"/>
      <c r="AL116" s="469"/>
      <c r="AM116" s="338"/>
      <c r="AN116" s="329" t="s">
        <v>477</v>
      </c>
    </row>
    <row r="117" spans="1:40" x14ac:dyDescent="0.2">
      <c r="A117" s="142"/>
      <c r="B117" s="29">
        <v>6118</v>
      </c>
      <c r="C117" s="29">
        <v>110</v>
      </c>
      <c r="D117" s="220" t="s">
        <v>423</v>
      </c>
      <c r="E117" s="46"/>
      <c r="F117" s="16"/>
      <c r="G117" s="57"/>
      <c r="H117" s="205">
        <v>30</v>
      </c>
      <c r="I117" s="200"/>
      <c r="J117" s="46">
        <f>E117+H117</f>
        <v>30</v>
      </c>
      <c r="K117" s="16"/>
      <c r="L117" s="57">
        <f>SUM(J117:K117)</f>
        <v>30</v>
      </c>
      <c r="M117" s="46"/>
      <c r="N117" s="16"/>
      <c r="O117" s="57"/>
      <c r="P117" s="57"/>
      <c r="Q117" s="46"/>
      <c r="R117" s="16"/>
      <c r="S117" s="57"/>
      <c r="T117" s="57"/>
      <c r="U117" s="46"/>
      <c r="V117" s="16"/>
      <c r="W117" s="57">
        <f t="shared" si="200"/>
        <v>0</v>
      </c>
      <c r="X117" s="57"/>
      <c r="Y117" s="46">
        <v>29.96</v>
      </c>
      <c r="Z117" s="16"/>
      <c r="AA117" s="57">
        <f t="shared" ref="AA117:AA118" si="202">Y117+Z117</f>
        <v>29.96</v>
      </c>
      <c r="AB117" s="57">
        <f t="shared" ref="AB117:AB118" si="203">AA117/$L117*100</f>
        <v>99.866666666666674</v>
      </c>
      <c r="AC117" s="431">
        <f t="shared" si="199"/>
        <v>3.9999999999999147E-2</v>
      </c>
      <c r="AD117" s="46">
        <v>200</v>
      </c>
      <c r="AE117" s="16"/>
      <c r="AF117" s="57">
        <f t="shared" si="201"/>
        <v>200</v>
      </c>
      <c r="AG117" s="57"/>
      <c r="AH117" s="16"/>
      <c r="AI117" s="392"/>
      <c r="AJ117" s="57"/>
      <c r="AK117" s="200"/>
      <c r="AL117" s="469"/>
      <c r="AM117" s="338"/>
      <c r="AN117" s="329" t="s">
        <v>477</v>
      </c>
    </row>
    <row r="118" spans="1:40" x14ac:dyDescent="0.2">
      <c r="A118" s="142"/>
      <c r="B118" s="29">
        <v>6173</v>
      </c>
      <c r="C118" s="29">
        <v>314</v>
      </c>
      <c r="D118" s="220" t="s">
        <v>413</v>
      </c>
      <c r="E118" s="46"/>
      <c r="F118" s="16"/>
      <c r="G118" s="57"/>
      <c r="H118" s="205">
        <v>95</v>
      </c>
      <c r="I118" s="200"/>
      <c r="J118" s="46">
        <f>E118+H118</f>
        <v>95</v>
      </c>
      <c r="K118" s="16"/>
      <c r="L118" s="57">
        <f>SUM(J118:K118)</f>
        <v>95</v>
      </c>
      <c r="M118" s="46"/>
      <c r="N118" s="16"/>
      <c r="O118" s="57"/>
      <c r="P118" s="57"/>
      <c r="Q118" s="46">
        <v>0</v>
      </c>
      <c r="R118" s="16"/>
      <c r="S118" s="57">
        <f>Q118+R118</f>
        <v>0</v>
      </c>
      <c r="T118" s="57"/>
      <c r="U118" s="46"/>
      <c r="V118" s="16"/>
      <c r="W118" s="57">
        <f t="shared" si="200"/>
        <v>0</v>
      </c>
      <c r="X118" s="57"/>
      <c r="Y118" s="46">
        <v>81.647000000000006</v>
      </c>
      <c r="Z118" s="16"/>
      <c r="AA118" s="57">
        <f t="shared" si="202"/>
        <v>81.647000000000006</v>
      </c>
      <c r="AB118" s="57">
        <f t="shared" si="203"/>
        <v>85.9442105263158</v>
      </c>
      <c r="AC118" s="431">
        <f t="shared" si="199"/>
        <v>13.352999999999994</v>
      </c>
      <c r="AD118" s="46"/>
      <c r="AE118" s="16"/>
      <c r="AF118" s="57">
        <f t="shared" si="201"/>
        <v>0</v>
      </c>
      <c r="AG118" s="57"/>
      <c r="AH118" s="16"/>
      <c r="AI118" s="392"/>
      <c r="AJ118" s="57"/>
      <c r="AK118" s="200"/>
      <c r="AL118" s="469"/>
      <c r="AM118" s="338"/>
      <c r="AN118" s="329" t="s">
        <v>477</v>
      </c>
    </row>
    <row r="119" spans="1:40" x14ac:dyDescent="0.2">
      <c r="A119" s="142"/>
      <c r="B119" s="29">
        <v>6171</v>
      </c>
      <c r="C119" s="29">
        <v>314</v>
      </c>
      <c r="D119" s="220" t="s">
        <v>99</v>
      </c>
      <c r="E119" s="46">
        <v>43737</v>
      </c>
      <c r="F119" s="16">
        <v>2471</v>
      </c>
      <c r="G119" s="57">
        <f t="shared" si="198"/>
        <v>46208</v>
      </c>
      <c r="H119" s="201">
        <f>39.717+848.116+24.45+533+163+40.05+280-161</f>
        <v>1767.3329999999999</v>
      </c>
      <c r="I119" s="202">
        <f>-280+161</f>
        <v>-119</v>
      </c>
      <c r="J119" s="46">
        <f t="shared" ref="J119:K122" si="204">E119+H119</f>
        <v>45504.332999999999</v>
      </c>
      <c r="K119" s="16">
        <f t="shared" si="204"/>
        <v>2352</v>
      </c>
      <c r="L119" s="57">
        <f>SUM(J119:K119)</f>
        <v>47856.332999999999</v>
      </c>
      <c r="M119" s="46">
        <f>7582.05158+2745.007</f>
        <v>10327.058580000001</v>
      </c>
      <c r="N119" s="16"/>
      <c r="O119" s="57">
        <f t="shared" ref="O119:O121" si="205">M119+N119</f>
        <v>10327.058580000001</v>
      </c>
      <c r="P119" s="57">
        <f t="shared" ref="P119:P121" si="206">O119/$L119*100</f>
        <v>21.5792935492989</v>
      </c>
      <c r="Q119" s="46">
        <f>17502.17618+2782.048</f>
        <v>20284.224179999997</v>
      </c>
      <c r="R119" s="16"/>
      <c r="S119" s="57">
        <f t="shared" ref="S119:S121" si="207">Q119+R119</f>
        <v>20284.224179999997</v>
      </c>
      <c r="T119" s="57">
        <f t="shared" si="193"/>
        <v>42.385663314403963</v>
      </c>
      <c r="U119" s="46">
        <f>28787.85535-V119+2724.89</f>
        <v>30121.707350000001</v>
      </c>
      <c r="V119" s="16">
        <f>539.962+851.076</f>
        <v>1391.038</v>
      </c>
      <c r="W119" s="57">
        <f t="shared" ref="W119:W121" si="208">U119+V119</f>
        <v>31512.745350000001</v>
      </c>
      <c r="X119" s="57">
        <f t="shared" si="194"/>
        <v>65.848641913286585</v>
      </c>
      <c r="Y119" s="46">
        <f>45862.83484-Z119</f>
        <v>44310.886660000004</v>
      </c>
      <c r="Z119" s="16">
        <f>539.962+160.91018+851.076</f>
        <v>1551.9481799999999</v>
      </c>
      <c r="AA119" s="57">
        <f t="shared" ref="AA119:AA121" si="209">Y119+Z119</f>
        <v>45862.834840000003</v>
      </c>
      <c r="AB119" s="57">
        <f t="shared" si="195"/>
        <v>95.834410965002277</v>
      </c>
      <c r="AC119" s="431">
        <f t="shared" si="199"/>
        <v>1993.4981599999956</v>
      </c>
      <c r="AD119" s="46">
        <v>50098</v>
      </c>
      <c r="AE119" s="16">
        <v>2175</v>
      </c>
      <c r="AF119" s="57">
        <f t="shared" ref="AF119:AF121" si="210">AD119+AE119</f>
        <v>52273</v>
      </c>
      <c r="AG119" s="57">
        <f t="shared" si="196"/>
        <v>113.12543282548478</v>
      </c>
      <c r="AH119" s="490">
        <f>AF119</f>
        <v>52273</v>
      </c>
      <c r="AI119" s="392">
        <f>AH119/G119</f>
        <v>1.1312543282548477</v>
      </c>
      <c r="AJ119" s="57"/>
      <c r="AK119" s="202"/>
      <c r="AL119" s="469">
        <f>L119-AK119</f>
        <v>47856.332999999999</v>
      </c>
      <c r="AM119" s="347" t="s">
        <v>196</v>
      </c>
      <c r="AN119" s="76"/>
    </row>
    <row r="120" spans="1:40" x14ac:dyDescent="0.2">
      <c r="A120" s="142"/>
      <c r="B120" s="29">
        <v>6171</v>
      </c>
      <c r="C120" s="29">
        <v>3005</v>
      </c>
      <c r="D120" s="461" t="s">
        <v>370</v>
      </c>
      <c r="E120" s="46">
        <v>1577</v>
      </c>
      <c r="F120" s="16"/>
      <c r="G120" s="57">
        <f t="shared" si="198"/>
        <v>1577</v>
      </c>
      <c r="H120" s="201">
        <v>-595</v>
      </c>
      <c r="I120" s="202"/>
      <c r="J120" s="46">
        <f t="shared" ref="J120:J121" si="211">E120+H120</f>
        <v>982</v>
      </c>
      <c r="K120" s="16"/>
      <c r="L120" s="57">
        <f t="shared" ref="L120:L121" si="212">SUM(J120:K120)</f>
        <v>982</v>
      </c>
      <c r="M120" s="46">
        <f>56.529+67.704</f>
        <v>124.233</v>
      </c>
      <c r="N120" s="16"/>
      <c r="O120" s="57">
        <f t="shared" si="205"/>
        <v>124.233</v>
      </c>
      <c r="P120" s="57">
        <f t="shared" si="206"/>
        <v>12.651018329938902</v>
      </c>
      <c r="Q120" s="46">
        <f>264.613+100.395</f>
        <v>365.00799999999998</v>
      </c>
      <c r="R120" s="16"/>
      <c r="S120" s="57">
        <f t="shared" si="207"/>
        <v>365.00799999999998</v>
      </c>
      <c r="T120" s="57">
        <f t="shared" si="193"/>
        <v>37.169857433808552</v>
      </c>
      <c r="U120" s="46">
        <f>570.50762+70.103</f>
        <v>640.61061999999993</v>
      </c>
      <c r="V120" s="16"/>
      <c r="W120" s="57">
        <f t="shared" si="208"/>
        <v>640.61061999999993</v>
      </c>
      <c r="X120" s="57">
        <f t="shared" si="194"/>
        <v>65.235297352342144</v>
      </c>
      <c r="Y120" s="46">
        <v>1138.83662</v>
      </c>
      <c r="Z120" s="16"/>
      <c r="AA120" s="57">
        <f t="shared" si="209"/>
        <v>1138.83662</v>
      </c>
      <c r="AB120" s="57">
        <f t="shared" si="195"/>
        <v>115.97114256619146</v>
      </c>
      <c r="AC120" s="431">
        <f t="shared" si="199"/>
        <v>-156.83662000000004</v>
      </c>
      <c r="AD120" s="46">
        <v>1275</v>
      </c>
      <c r="AE120" s="16"/>
      <c r="AF120" s="57">
        <f t="shared" si="210"/>
        <v>1275</v>
      </c>
      <c r="AG120" s="57">
        <f t="shared" si="196"/>
        <v>80.849714648065955</v>
      </c>
      <c r="AH120" s="531">
        <v>1432</v>
      </c>
      <c r="AI120" s="392"/>
      <c r="AJ120" s="445" t="s">
        <v>374</v>
      </c>
      <c r="AK120" s="202"/>
      <c r="AL120" s="469"/>
      <c r="AM120" s="62" t="s">
        <v>308</v>
      </c>
      <c r="AN120" s="328" t="s">
        <v>121</v>
      </c>
    </row>
    <row r="121" spans="1:40" x14ac:dyDescent="0.2">
      <c r="A121" s="142"/>
      <c r="B121" s="29">
        <v>6171</v>
      </c>
      <c r="C121" s="29">
        <v>6206</v>
      </c>
      <c r="D121" s="461" t="s">
        <v>373</v>
      </c>
      <c r="E121" s="46">
        <v>1396</v>
      </c>
      <c r="F121" s="16"/>
      <c r="G121" s="57">
        <f t="shared" si="198"/>
        <v>1396</v>
      </c>
      <c r="H121" s="201">
        <v>-25</v>
      </c>
      <c r="I121" s="202"/>
      <c r="J121" s="46">
        <f t="shared" si="211"/>
        <v>1371</v>
      </c>
      <c r="K121" s="16"/>
      <c r="L121" s="57">
        <f t="shared" si="212"/>
        <v>1371</v>
      </c>
      <c r="M121" s="46"/>
      <c r="N121" s="16"/>
      <c r="O121" s="57">
        <f t="shared" si="205"/>
        <v>0</v>
      </c>
      <c r="P121" s="57">
        <f t="shared" si="206"/>
        <v>0</v>
      </c>
      <c r="Q121" s="46">
        <f>66.992+89.417</f>
        <v>156.40899999999999</v>
      </c>
      <c r="R121" s="16"/>
      <c r="S121" s="57">
        <f t="shared" si="207"/>
        <v>156.40899999999999</v>
      </c>
      <c r="T121" s="57">
        <f t="shared" si="193"/>
        <v>11.408388037928518</v>
      </c>
      <c r="U121" s="46">
        <f>384.526+68.051</f>
        <v>452.577</v>
      </c>
      <c r="V121" s="16"/>
      <c r="W121" s="57">
        <f t="shared" si="208"/>
        <v>452.577</v>
      </c>
      <c r="X121" s="57">
        <f t="shared" si="194"/>
        <v>33.010722100656452</v>
      </c>
      <c r="Y121" s="46">
        <v>837.80166999999994</v>
      </c>
      <c r="Z121" s="16"/>
      <c r="AA121" s="57">
        <f t="shared" si="209"/>
        <v>837.80166999999994</v>
      </c>
      <c r="AB121" s="57">
        <f t="shared" si="195"/>
        <v>61.108801604668116</v>
      </c>
      <c r="AC121" s="431">
        <f t="shared" si="199"/>
        <v>533.19833000000006</v>
      </c>
      <c r="AD121" s="46">
        <v>2095</v>
      </c>
      <c r="AE121" s="16"/>
      <c r="AF121" s="57">
        <f t="shared" si="210"/>
        <v>2095</v>
      </c>
      <c r="AG121" s="57">
        <f t="shared" si="196"/>
        <v>150.07163323782237</v>
      </c>
      <c r="AH121" s="531">
        <v>2095</v>
      </c>
      <c r="AI121" s="392"/>
      <c r="AJ121" s="445" t="s">
        <v>374</v>
      </c>
      <c r="AK121" s="202"/>
      <c r="AL121" s="469"/>
      <c r="AM121" s="62" t="s">
        <v>308</v>
      </c>
      <c r="AN121" s="57" t="s">
        <v>331</v>
      </c>
    </row>
    <row r="122" spans="1:40" x14ac:dyDescent="0.2">
      <c r="A122" s="142"/>
      <c r="B122" s="29">
        <v>6171</v>
      </c>
      <c r="C122" s="29">
        <v>318</v>
      </c>
      <c r="D122" s="220" t="s">
        <v>259</v>
      </c>
      <c r="E122" s="46">
        <v>355</v>
      </c>
      <c r="F122" s="16">
        <v>300</v>
      </c>
      <c r="G122" s="57">
        <f t="shared" si="198"/>
        <v>655</v>
      </c>
      <c r="H122" s="201"/>
      <c r="I122" s="202">
        <v>370</v>
      </c>
      <c r="J122" s="46">
        <f t="shared" si="204"/>
        <v>355</v>
      </c>
      <c r="K122" s="16">
        <f t="shared" si="204"/>
        <v>670</v>
      </c>
      <c r="L122" s="57">
        <f>SUM(J122:K122)</f>
        <v>1025</v>
      </c>
      <c r="M122" s="46">
        <v>2.7770000000000001</v>
      </c>
      <c r="N122" s="16"/>
      <c r="O122" s="57">
        <f>M122+N122</f>
        <v>2.7770000000000001</v>
      </c>
      <c r="P122" s="57">
        <f t="shared" si="149"/>
        <v>0.2709268292682927</v>
      </c>
      <c r="Q122" s="46">
        <v>3.9870000000000001</v>
      </c>
      <c r="R122" s="16"/>
      <c r="S122" s="57">
        <f>Q122+R122</f>
        <v>3.9870000000000001</v>
      </c>
      <c r="T122" s="57">
        <f t="shared" si="193"/>
        <v>0.38897560975609757</v>
      </c>
      <c r="U122" s="46">
        <v>28.263999999999999</v>
      </c>
      <c r="V122" s="16"/>
      <c r="W122" s="57">
        <f>U122+V122</f>
        <v>28.263999999999999</v>
      </c>
      <c r="X122" s="57">
        <f t="shared" si="194"/>
        <v>2.7574634146341466</v>
      </c>
      <c r="Y122" s="46">
        <f>667.973-Z122</f>
        <v>107.41999999999996</v>
      </c>
      <c r="Z122" s="16">
        <v>560.553</v>
      </c>
      <c r="AA122" s="57">
        <f>Y122+Z122</f>
        <v>667.97299999999996</v>
      </c>
      <c r="AB122" s="57">
        <f t="shared" si="195"/>
        <v>65.168097560975596</v>
      </c>
      <c r="AC122" s="431">
        <f t="shared" si="199"/>
        <v>357.02700000000004</v>
      </c>
      <c r="AD122" s="46">
        <v>800</v>
      </c>
      <c r="AE122" s="16"/>
      <c r="AF122" s="57">
        <f>AD122+AE122</f>
        <v>800</v>
      </c>
      <c r="AG122" s="57">
        <f t="shared" ref="AG122:AG131" si="213">AF122/$G122*100</f>
        <v>122.13740458015268</v>
      </c>
      <c r="AH122" s="16">
        <v>800</v>
      </c>
      <c r="AI122" s="392">
        <f t="shared" ref="AI122:AI130" si="214">AH122/G122</f>
        <v>1.2213740458015268</v>
      </c>
      <c r="AJ122" s="57"/>
      <c r="AK122" s="202"/>
      <c r="AL122" s="469">
        <f>L122-AK122</f>
        <v>1025</v>
      </c>
      <c r="AM122" s="339" t="s">
        <v>168</v>
      </c>
      <c r="AN122" s="330" t="s">
        <v>69</v>
      </c>
    </row>
    <row r="123" spans="1:40" x14ac:dyDescent="0.2">
      <c r="A123" s="143" t="s">
        <v>86</v>
      </c>
      <c r="B123" s="24">
        <v>6300</v>
      </c>
      <c r="C123" s="24"/>
      <c r="D123" s="459" t="s">
        <v>87</v>
      </c>
      <c r="E123" s="58">
        <f>SUM(E124:E130)</f>
        <v>5279</v>
      </c>
      <c r="F123" s="59">
        <f>SUM(F124:F130)</f>
        <v>3900</v>
      </c>
      <c r="G123" s="60">
        <f>SUM(G124:G130)</f>
        <v>9179</v>
      </c>
      <c r="H123" s="203">
        <f t="shared" ref="H123:O123" si="215">SUM(H124:H130)</f>
        <v>-337.47514999999999</v>
      </c>
      <c r="I123" s="204">
        <f t="shared" si="215"/>
        <v>-1227.864</v>
      </c>
      <c r="J123" s="58">
        <f t="shared" si="215"/>
        <v>4941.5248499999998</v>
      </c>
      <c r="K123" s="59">
        <f t="shared" si="215"/>
        <v>2672.136</v>
      </c>
      <c r="L123" s="60">
        <f t="shared" si="215"/>
        <v>7613.6608500000002</v>
      </c>
      <c r="M123" s="58">
        <f t="shared" si="215"/>
        <v>3954.6852600000002</v>
      </c>
      <c r="N123" s="59">
        <f t="shared" si="215"/>
        <v>0</v>
      </c>
      <c r="O123" s="60">
        <f t="shared" si="215"/>
        <v>3954.6852600000002</v>
      </c>
      <c r="P123" s="60">
        <f t="shared" si="149"/>
        <v>51.941967706638778</v>
      </c>
      <c r="Q123" s="58">
        <f t="shared" ref="Q123:S123" si="216">SUM(Q124:Q130)</f>
        <v>4177.1142600000003</v>
      </c>
      <c r="R123" s="59">
        <f t="shared" si="216"/>
        <v>0</v>
      </c>
      <c r="S123" s="60">
        <f t="shared" si="216"/>
        <v>4177.1142600000003</v>
      </c>
      <c r="T123" s="60">
        <f t="shared" si="193"/>
        <v>54.86341383330727</v>
      </c>
      <c r="U123" s="58">
        <f t="shared" ref="U123:W123" si="217">SUM(U124:U130)</f>
        <v>4464.0420599999998</v>
      </c>
      <c r="V123" s="59">
        <f t="shared" si="217"/>
        <v>0</v>
      </c>
      <c r="W123" s="60">
        <f t="shared" si="217"/>
        <v>4464.0420599999998</v>
      </c>
      <c r="X123" s="60">
        <f t="shared" si="194"/>
        <v>58.632005653364502</v>
      </c>
      <c r="Y123" s="58">
        <f t="shared" ref="Y123:AA123" si="218">SUM(Y124:Y130)</f>
        <v>4718.10898</v>
      </c>
      <c r="Z123" s="59">
        <f t="shared" si="218"/>
        <v>0</v>
      </c>
      <c r="AA123" s="60">
        <f t="shared" si="218"/>
        <v>4718.10898</v>
      </c>
      <c r="AB123" s="60">
        <f t="shared" si="195"/>
        <v>61.968993273452675</v>
      </c>
      <c r="AC123" s="432">
        <f>SUM(AC124:AC130)</f>
        <v>2895.5518700000002</v>
      </c>
      <c r="AD123" s="58">
        <f t="shared" ref="AD123:AF123" si="219">SUM(AD124:AD130)</f>
        <v>5345</v>
      </c>
      <c r="AE123" s="59">
        <f t="shared" si="219"/>
        <v>1000</v>
      </c>
      <c r="AF123" s="60">
        <f t="shared" si="219"/>
        <v>6345</v>
      </c>
      <c r="AG123" s="60">
        <f t="shared" si="213"/>
        <v>69.125177034535355</v>
      </c>
      <c r="AH123" s="59">
        <f t="shared" ref="AH123" si="220">SUM(AH124:AH130)</f>
        <v>5124</v>
      </c>
      <c r="AI123" s="393">
        <f t="shared" si="214"/>
        <v>0.55823074408977014</v>
      </c>
      <c r="AJ123" s="60"/>
      <c r="AK123" s="204">
        <f t="shared" ref="AK123" si="221">SUM(AK124:AK130)</f>
        <v>0</v>
      </c>
      <c r="AL123" s="470">
        <f>SUM(AL124:AL130)</f>
        <v>7612.8064100000001</v>
      </c>
      <c r="AM123" s="342"/>
      <c r="AN123" s="76"/>
    </row>
    <row r="124" spans="1:40" x14ac:dyDescent="0.2">
      <c r="A124" s="142"/>
      <c r="B124" s="29">
        <v>6320</v>
      </c>
      <c r="C124" s="29">
        <v>314</v>
      </c>
      <c r="D124" s="220" t="s">
        <v>206</v>
      </c>
      <c r="E124" s="46">
        <v>255</v>
      </c>
      <c r="F124" s="16"/>
      <c r="G124" s="57">
        <f t="shared" ref="G124:G130" si="222">E124+F124</f>
        <v>255</v>
      </c>
      <c r="H124" s="201"/>
      <c r="I124" s="200"/>
      <c r="J124" s="46">
        <f t="shared" ref="J124:J130" si="223">E124+H124</f>
        <v>255</v>
      </c>
      <c r="K124" s="16"/>
      <c r="L124" s="57">
        <f t="shared" ref="L124:L130" si="224">SUM(J124:K124)</f>
        <v>255</v>
      </c>
      <c r="M124" s="46">
        <v>234.8</v>
      </c>
      <c r="N124" s="16"/>
      <c r="O124" s="57">
        <f t="shared" ref="O124:O130" si="225">M124+N124</f>
        <v>234.8</v>
      </c>
      <c r="P124" s="57">
        <f t="shared" si="149"/>
        <v>92.078431372549019</v>
      </c>
      <c r="Q124" s="46">
        <v>234.8</v>
      </c>
      <c r="R124" s="16"/>
      <c r="S124" s="57">
        <f t="shared" ref="S124:S130" si="226">Q124+R124</f>
        <v>234.8</v>
      </c>
      <c r="T124" s="57">
        <f t="shared" si="193"/>
        <v>92.078431372549019</v>
      </c>
      <c r="U124" s="46">
        <v>234.8</v>
      </c>
      <c r="V124" s="16"/>
      <c r="W124" s="57">
        <f t="shared" ref="W124:W130" si="227">U124+V124</f>
        <v>234.8</v>
      </c>
      <c r="X124" s="57">
        <f t="shared" si="194"/>
        <v>92.078431372549019</v>
      </c>
      <c r="Y124" s="46">
        <v>235.274</v>
      </c>
      <c r="Z124" s="16"/>
      <c r="AA124" s="57">
        <f t="shared" ref="AA124:AA130" si="228">Y124+Z124</f>
        <v>235.274</v>
      </c>
      <c r="AB124" s="57">
        <f t="shared" si="195"/>
        <v>92.264313725490197</v>
      </c>
      <c r="AC124" s="431">
        <f t="shared" ref="AC124:AC130" si="229">L124-AA124</f>
        <v>19.725999999999999</v>
      </c>
      <c r="AD124" s="46">
        <v>200</v>
      </c>
      <c r="AE124" s="16"/>
      <c r="AF124" s="57">
        <f t="shared" ref="AF124:AF130" si="230">AD124+AE124</f>
        <v>200</v>
      </c>
      <c r="AG124" s="57">
        <f t="shared" si="213"/>
        <v>78.431372549019613</v>
      </c>
      <c r="AH124" s="16">
        <v>300</v>
      </c>
      <c r="AI124" s="392">
        <f t="shared" si="214"/>
        <v>1.1764705882352942</v>
      </c>
      <c r="AJ124" s="57"/>
      <c r="AK124" s="200"/>
      <c r="AL124" s="469">
        <f t="shared" ref="AL124:AL130" si="231">L124-AK124</f>
        <v>255</v>
      </c>
      <c r="AM124" s="343" t="s">
        <v>169</v>
      </c>
      <c r="AN124" s="328" t="s">
        <v>69</v>
      </c>
    </row>
    <row r="125" spans="1:40" x14ac:dyDescent="0.2">
      <c r="A125" s="142"/>
      <c r="B125" s="29">
        <v>6399</v>
      </c>
      <c r="C125" s="29">
        <v>314</v>
      </c>
      <c r="D125" s="220" t="s">
        <v>260</v>
      </c>
      <c r="E125" s="46">
        <f>150-30</f>
        <v>120</v>
      </c>
      <c r="F125" s="16"/>
      <c r="G125" s="57">
        <f t="shared" si="222"/>
        <v>120</v>
      </c>
      <c r="H125" s="201"/>
      <c r="I125" s="200"/>
      <c r="J125" s="46">
        <f t="shared" si="223"/>
        <v>120</v>
      </c>
      <c r="K125" s="16"/>
      <c r="L125" s="57">
        <f t="shared" si="224"/>
        <v>120</v>
      </c>
      <c r="M125" s="46">
        <v>38.646999999999998</v>
      </c>
      <c r="N125" s="16"/>
      <c r="O125" s="57">
        <f t="shared" si="225"/>
        <v>38.646999999999998</v>
      </c>
      <c r="P125" s="57">
        <f t="shared" si="149"/>
        <v>32.205833333333331</v>
      </c>
      <c r="Q125" s="46">
        <v>38.646999999999998</v>
      </c>
      <c r="R125" s="16"/>
      <c r="S125" s="57">
        <f t="shared" si="226"/>
        <v>38.646999999999998</v>
      </c>
      <c r="T125" s="57">
        <f t="shared" si="193"/>
        <v>32.205833333333331</v>
      </c>
      <c r="U125" s="46">
        <v>38.646999999999998</v>
      </c>
      <c r="V125" s="16"/>
      <c r="W125" s="57">
        <f t="shared" si="227"/>
        <v>38.646999999999998</v>
      </c>
      <c r="X125" s="57">
        <f t="shared" si="194"/>
        <v>32.205833333333331</v>
      </c>
      <c r="Y125" s="46">
        <v>38.646999999999998</v>
      </c>
      <c r="Z125" s="16"/>
      <c r="AA125" s="57">
        <f t="shared" si="228"/>
        <v>38.646999999999998</v>
      </c>
      <c r="AB125" s="57">
        <f t="shared" si="195"/>
        <v>32.205833333333331</v>
      </c>
      <c r="AC125" s="431">
        <f t="shared" si="229"/>
        <v>81.353000000000009</v>
      </c>
      <c r="AD125" s="46">
        <v>70</v>
      </c>
      <c r="AE125" s="16"/>
      <c r="AF125" s="57">
        <f t="shared" si="230"/>
        <v>70</v>
      </c>
      <c r="AG125" s="57">
        <f t="shared" si="213"/>
        <v>58.333333333333336</v>
      </c>
      <c r="AH125" s="16">
        <v>70</v>
      </c>
      <c r="AI125" s="392">
        <f t="shared" si="214"/>
        <v>0.58333333333333337</v>
      </c>
      <c r="AJ125" s="57"/>
      <c r="AK125" s="200"/>
      <c r="AL125" s="469">
        <f t="shared" si="231"/>
        <v>120</v>
      </c>
      <c r="AM125" s="348" t="s">
        <v>71</v>
      </c>
      <c r="AN125" s="329" t="s">
        <v>215</v>
      </c>
    </row>
    <row r="126" spans="1:40" x14ac:dyDescent="0.2">
      <c r="A126" s="142"/>
      <c r="B126" s="29">
        <v>6399</v>
      </c>
      <c r="C126" s="29">
        <v>315</v>
      </c>
      <c r="D126" s="220" t="s">
        <v>88</v>
      </c>
      <c r="E126" s="46">
        <v>3100</v>
      </c>
      <c r="F126" s="16"/>
      <c r="G126" s="57">
        <f t="shared" si="222"/>
        <v>3100</v>
      </c>
      <c r="H126" s="201"/>
      <c r="I126" s="200"/>
      <c r="J126" s="46">
        <f t="shared" si="223"/>
        <v>3100</v>
      </c>
      <c r="K126" s="16"/>
      <c r="L126" s="57">
        <f t="shared" si="224"/>
        <v>3100</v>
      </c>
      <c r="M126" s="46">
        <v>3098.14</v>
      </c>
      <c r="N126" s="16"/>
      <c r="O126" s="57">
        <f t="shared" si="225"/>
        <v>3098.14</v>
      </c>
      <c r="P126" s="57">
        <f t="shared" si="149"/>
        <v>99.94</v>
      </c>
      <c r="Q126" s="46">
        <v>3098.14</v>
      </c>
      <c r="R126" s="16"/>
      <c r="S126" s="57">
        <f t="shared" si="226"/>
        <v>3098.14</v>
      </c>
      <c r="T126" s="57">
        <f t="shared" si="193"/>
        <v>99.94</v>
      </c>
      <c r="U126" s="46">
        <v>3098.14</v>
      </c>
      <c r="V126" s="16"/>
      <c r="W126" s="57">
        <f t="shared" si="227"/>
        <v>3098.14</v>
      </c>
      <c r="X126" s="57">
        <f t="shared" si="194"/>
        <v>99.94</v>
      </c>
      <c r="Y126" s="46">
        <v>3098.14</v>
      </c>
      <c r="Z126" s="16"/>
      <c r="AA126" s="57">
        <f t="shared" si="228"/>
        <v>3098.14</v>
      </c>
      <c r="AB126" s="57">
        <f t="shared" si="195"/>
        <v>99.94</v>
      </c>
      <c r="AC126" s="431">
        <f t="shared" si="229"/>
        <v>1.8600000000001273</v>
      </c>
      <c r="AD126" s="46">
        <v>2536</v>
      </c>
      <c r="AE126" s="16"/>
      <c r="AF126" s="57">
        <f t="shared" si="230"/>
        <v>2536</v>
      </c>
      <c r="AG126" s="57">
        <f t="shared" si="213"/>
        <v>81.806451612903231</v>
      </c>
      <c r="AH126" s="16">
        <v>3100</v>
      </c>
      <c r="AI126" s="392">
        <f t="shared" si="214"/>
        <v>1</v>
      </c>
      <c r="AJ126" s="57" t="s">
        <v>207</v>
      </c>
      <c r="AK126" s="200"/>
      <c r="AL126" s="469">
        <f t="shared" si="231"/>
        <v>3100</v>
      </c>
      <c r="AM126" s="340" t="s">
        <v>214</v>
      </c>
      <c r="AN126" s="326" t="s">
        <v>71</v>
      </c>
    </row>
    <row r="127" spans="1:40" x14ac:dyDescent="0.2">
      <c r="A127" s="142"/>
      <c r="B127" s="29">
        <v>6399</v>
      </c>
      <c r="C127" s="29">
        <v>665</v>
      </c>
      <c r="D127" s="220" t="s">
        <v>267</v>
      </c>
      <c r="E127" s="46">
        <v>826</v>
      </c>
      <c r="F127" s="16"/>
      <c r="G127" s="57">
        <f t="shared" si="222"/>
        <v>826</v>
      </c>
      <c r="H127" s="201"/>
      <c r="I127" s="200"/>
      <c r="J127" s="46">
        <f t="shared" si="223"/>
        <v>826</v>
      </c>
      <c r="K127" s="16"/>
      <c r="L127" s="57">
        <f t="shared" si="224"/>
        <v>826</v>
      </c>
      <c r="M127" s="46">
        <v>205.67952</v>
      </c>
      <c r="N127" s="16"/>
      <c r="O127" s="57">
        <f t="shared" si="225"/>
        <v>205.67952</v>
      </c>
      <c r="P127" s="57">
        <f t="shared" si="149"/>
        <v>24.90066828087167</v>
      </c>
      <c r="Q127" s="46">
        <v>427.60852</v>
      </c>
      <c r="R127" s="16"/>
      <c r="S127" s="57">
        <f t="shared" si="226"/>
        <v>427.60852</v>
      </c>
      <c r="T127" s="57">
        <f t="shared" si="193"/>
        <v>51.768585956416466</v>
      </c>
      <c r="U127" s="46">
        <v>714.53632000000005</v>
      </c>
      <c r="V127" s="16"/>
      <c r="W127" s="57">
        <f t="shared" si="227"/>
        <v>714.53632000000005</v>
      </c>
      <c r="X127" s="57">
        <f t="shared" si="194"/>
        <v>86.505607748184019</v>
      </c>
      <c r="Y127" s="46">
        <v>968.12923999999998</v>
      </c>
      <c r="Z127" s="16"/>
      <c r="AA127" s="57">
        <f t="shared" si="228"/>
        <v>968.12923999999998</v>
      </c>
      <c r="AB127" s="57">
        <f t="shared" si="195"/>
        <v>117.20692978208231</v>
      </c>
      <c r="AC127" s="431">
        <f t="shared" si="229"/>
        <v>-142.12923999999998</v>
      </c>
      <c r="AD127" s="46">
        <v>1275</v>
      </c>
      <c r="AE127" s="16"/>
      <c r="AF127" s="57">
        <f t="shared" si="230"/>
        <v>1275</v>
      </c>
      <c r="AG127" s="57">
        <f t="shared" si="213"/>
        <v>154.35835351089588</v>
      </c>
      <c r="AH127" s="16">
        <v>1275</v>
      </c>
      <c r="AI127" s="392">
        <f t="shared" si="214"/>
        <v>1.5435835351089588</v>
      </c>
      <c r="AJ127" s="57" t="s">
        <v>447</v>
      </c>
      <c r="AK127" s="200"/>
      <c r="AL127" s="469">
        <f t="shared" si="231"/>
        <v>826</v>
      </c>
      <c r="AM127" s="340" t="s">
        <v>214</v>
      </c>
      <c r="AN127" s="326" t="s">
        <v>71</v>
      </c>
    </row>
    <row r="128" spans="1:40" x14ac:dyDescent="0.2">
      <c r="A128" s="142"/>
      <c r="B128" s="29">
        <v>6402</v>
      </c>
      <c r="C128" s="29"/>
      <c r="D128" s="220" t="s">
        <v>406</v>
      </c>
      <c r="E128" s="46"/>
      <c r="F128" s="16"/>
      <c r="G128" s="57"/>
      <c r="H128" s="201">
        <v>0.85443999999999998</v>
      </c>
      <c r="I128" s="200"/>
      <c r="J128" s="46">
        <f t="shared" ref="J128" si="232">E128+H128</f>
        <v>0.85443999999999998</v>
      </c>
      <c r="K128" s="16"/>
      <c r="L128" s="57">
        <f t="shared" ref="L128" si="233">SUM(J128:K128)</f>
        <v>0.85443999999999998</v>
      </c>
      <c r="M128" s="46">
        <v>0.85443999999999998</v>
      </c>
      <c r="N128" s="16"/>
      <c r="O128" s="57">
        <f t="shared" si="225"/>
        <v>0.85443999999999998</v>
      </c>
      <c r="P128" s="57"/>
      <c r="Q128" s="46">
        <v>0.85443999999999998</v>
      </c>
      <c r="R128" s="16"/>
      <c r="S128" s="57">
        <f t="shared" si="226"/>
        <v>0.85443999999999998</v>
      </c>
      <c r="T128" s="57">
        <f t="shared" si="193"/>
        <v>100</v>
      </c>
      <c r="U128" s="46">
        <v>0.85443999999999998</v>
      </c>
      <c r="V128" s="16"/>
      <c r="W128" s="57">
        <f t="shared" si="227"/>
        <v>0.85443999999999998</v>
      </c>
      <c r="X128" s="57">
        <f t="shared" si="194"/>
        <v>100</v>
      </c>
      <c r="Y128" s="46">
        <v>0.85443999999999998</v>
      </c>
      <c r="Z128" s="16"/>
      <c r="AA128" s="57">
        <f t="shared" si="228"/>
        <v>0.85443999999999998</v>
      </c>
      <c r="AB128" s="57">
        <f t="shared" si="195"/>
        <v>100</v>
      </c>
      <c r="AC128" s="431">
        <f t="shared" si="229"/>
        <v>0</v>
      </c>
      <c r="AD128" s="46">
        <v>17</v>
      </c>
      <c r="AE128" s="16"/>
      <c r="AF128" s="57">
        <f t="shared" si="230"/>
        <v>17</v>
      </c>
      <c r="AG128" s="57"/>
      <c r="AH128" s="16"/>
      <c r="AI128" s="392"/>
      <c r="AJ128" s="57"/>
      <c r="AK128" s="200"/>
      <c r="AL128" s="469"/>
      <c r="AM128" s="340" t="s">
        <v>214</v>
      </c>
      <c r="AN128" s="326" t="s">
        <v>71</v>
      </c>
    </row>
    <row r="129" spans="1:40" x14ac:dyDescent="0.2">
      <c r="A129" s="142"/>
      <c r="B129" s="29">
        <v>6409</v>
      </c>
      <c r="C129" s="29">
        <v>100</v>
      </c>
      <c r="D129" s="220" t="s">
        <v>171</v>
      </c>
      <c r="E129" s="46">
        <f>349+30</f>
        <v>379</v>
      </c>
      <c r="F129" s="16"/>
      <c r="G129" s="57">
        <f t="shared" si="222"/>
        <v>379</v>
      </c>
      <c r="H129" s="201"/>
      <c r="I129" s="200"/>
      <c r="J129" s="46">
        <f t="shared" si="223"/>
        <v>379</v>
      </c>
      <c r="K129" s="16"/>
      <c r="L129" s="57">
        <f t="shared" si="224"/>
        <v>379</v>
      </c>
      <c r="M129" s="46">
        <v>376.5643</v>
      </c>
      <c r="N129" s="16"/>
      <c r="O129" s="57">
        <f t="shared" si="225"/>
        <v>376.5643</v>
      </c>
      <c r="P129" s="57">
        <f t="shared" si="149"/>
        <v>99.357335092348293</v>
      </c>
      <c r="Q129" s="46">
        <v>377.0643</v>
      </c>
      <c r="R129" s="16"/>
      <c r="S129" s="57">
        <f t="shared" si="226"/>
        <v>377.0643</v>
      </c>
      <c r="T129" s="57">
        <f t="shared" si="193"/>
        <v>99.489261213720312</v>
      </c>
      <c r="U129" s="46">
        <v>377.0643</v>
      </c>
      <c r="V129" s="16"/>
      <c r="W129" s="57">
        <f t="shared" si="227"/>
        <v>377.0643</v>
      </c>
      <c r="X129" s="57">
        <f t="shared" si="194"/>
        <v>99.489261213720312</v>
      </c>
      <c r="Y129" s="46">
        <v>377.0643</v>
      </c>
      <c r="Z129" s="16"/>
      <c r="AA129" s="57">
        <f t="shared" si="228"/>
        <v>377.0643</v>
      </c>
      <c r="AB129" s="57">
        <f t="shared" si="195"/>
        <v>99.489261213720312</v>
      </c>
      <c r="AC129" s="431">
        <f t="shared" si="229"/>
        <v>1.9356999999999971</v>
      </c>
      <c r="AD129" s="46">
        <v>379</v>
      </c>
      <c r="AE129" s="16"/>
      <c r="AF129" s="57">
        <f t="shared" si="230"/>
        <v>379</v>
      </c>
      <c r="AG129" s="57">
        <f t="shared" si="213"/>
        <v>100</v>
      </c>
      <c r="AH129" s="16">
        <v>379</v>
      </c>
      <c r="AI129" s="392">
        <f t="shared" si="214"/>
        <v>1</v>
      </c>
      <c r="AJ129" s="57"/>
      <c r="AK129" s="200"/>
      <c r="AL129" s="469">
        <f t="shared" si="231"/>
        <v>379</v>
      </c>
      <c r="AM129" s="340" t="s">
        <v>214</v>
      </c>
      <c r="AN129" s="329" t="s">
        <v>318</v>
      </c>
    </row>
    <row r="130" spans="1:40" x14ac:dyDescent="0.2">
      <c r="A130" s="142"/>
      <c r="B130" s="29">
        <v>6409</v>
      </c>
      <c r="C130" s="29"/>
      <c r="D130" s="462" t="s">
        <v>151</v>
      </c>
      <c r="E130" s="46">
        <v>599</v>
      </c>
      <c r="F130" s="16">
        <v>3900</v>
      </c>
      <c r="G130" s="57">
        <f t="shared" si="222"/>
        <v>4499</v>
      </c>
      <c r="H130" s="201">
        <f>0.67041-30-95-164-50</f>
        <v>-338.32959</v>
      </c>
      <c r="I130" s="202">
        <v>-1227.864</v>
      </c>
      <c r="J130" s="46">
        <f t="shared" si="223"/>
        <v>260.67041</v>
      </c>
      <c r="K130" s="16">
        <f>F130+I130</f>
        <v>2672.136</v>
      </c>
      <c r="L130" s="57">
        <f t="shared" si="224"/>
        <v>2932.8064100000001</v>
      </c>
      <c r="M130" s="46"/>
      <c r="N130" s="16"/>
      <c r="O130" s="57">
        <f t="shared" si="225"/>
        <v>0</v>
      </c>
      <c r="P130" s="57">
        <f t="shared" si="149"/>
        <v>0</v>
      </c>
      <c r="Q130" s="46"/>
      <c r="R130" s="16"/>
      <c r="S130" s="57">
        <f t="shared" si="226"/>
        <v>0</v>
      </c>
      <c r="T130" s="57">
        <f t="shared" si="193"/>
        <v>0</v>
      </c>
      <c r="U130" s="46"/>
      <c r="V130" s="16"/>
      <c r="W130" s="57">
        <f t="shared" si="227"/>
        <v>0</v>
      </c>
      <c r="X130" s="57">
        <f t="shared" si="194"/>
        <v>0</v>
      </c>
      <c r="Y130" s="46"/>
      <c r="Z130" s="16"/>
      <c r="AA130" s="57">
        <f t="shared" si="228"/>
        <v>0</v>
      </c>
      <c r="AB130" s="57">
        <f t="shared" si="195"/>
        <v>0</v>
      </c>
      <c r="AC130" s="431">
        <f t="shared" si="229"/>
        <v>2932.8064100000001</v>
      </c>
      <c r="AD130" s="46">
        <f>926-65+7</f>
        <v>868</v>
      </c>
      <c r="AE130" s="16">
        <v>1000</v>
      </c>
      <c r="AF130" s="57">
        <f t="shared" si="230"/>
        <v>1868</v>
      </c>
      <c r="AG130" s="57">
        <f t="shared" si="213"/>
        <v>41.520337852856194</v>
      </c>
      <c r="AH130" s="16"/>
      <c r="AI130" s="392">
        <f t="shared" si="214"/>
        <v>0</v>
      </c>
      <c r="AJ130" s="57"/>
      <c r="AK130" s="202"/>
      <c r="AL130" s="469">
        <f t="shared" si="231"/>
        <v>2932.8064100000001</v>
      </c>
      <c r="AM130" s="349" t="s">
        <v>71</v>
      </c>
      <c r="AN130" s="326" t="s">
        <v>332</v>
      </c>
    </row>
    <row r="131" spans="1:40" ht="13.5" thickBot="1" x14ac:dyDescent="0.25">
      <c r="A131" s="145"/>
      <c r="B131" s="102"/>
      <c r="C131" s="102"/>
      <c r="D131" s="103" t="s">
        <v>89</v>
      </c>
      <c r="E131" s="193">
        <f t="shared" ref="E131:O131" si="234">SUM(E5+E10+E16+E30+E44+E57+E69+E72+E92+E104+E109+E114+E123)</f>
        <v>125246</v>
      </c>
      <c r="F131" s="381">
        <f t="shared" si="234"/>
        <v>91312</v>
      </c>
      <c r="G131" s="381">
        <f t="shared" si="234"/>
        <v>216558</v>
      </c>
      <c r="H131" s="211">
        <f t="shared" si="234"/>
        <v>10980.567270000001</v>
      </c>
      <c r="I131" s="211">
        <f t="shared" si="234"/>
        <v>17887.482</v>
      </c>
      <c r="J131" s="193">
        <f t="shared" si="234"/>
        <v>136226.56726999997</v>
      </c>
      <c r="K131" s="381">
        <f t="shared" si="234"/>
        <v>109199.482</v>
      </c>
      <c r="L131" s="381">
        <f t="shared" si="234"/>
        <v>245426.04926999996</v>
      </c>
      <c r="M131" s="193">
        <f t="shared" si="234"/>
        <v>31527.34794</v>
      </c>
      <c r="N131" s="381">
        <f t="shared" si="234"/>
        <v>232.15519999999998</v>
      </c>
      <c r="O131" s="381">
        <f t="shared" si="234"/>
        <v>31759.503140000001</v>
      </c>
      <c r="P131" s="381">
        <f t="shared" si="149"/>
        <v>12.940559176365381</v>
      </c>
      <c r="Q131" s="193">
        <f>SUM(Q5+Q10+Q16+Q30+Q44+Q57+Q69+Q72+Q92+Q104+Q109+Q114+Q123)</f>
        <v>57037.484069999999</v>
      </c>
      <c r="R131" s="381">
        <f>SUM(R5+R10+R16+R30+R44+R57+R69+R72+R92+R104+R109+R114+R123)</f>
        <v>2088.3102700000004</v>
      </c>
      <c r="S131" s="381">
        <f>SUM(S5+S10+S16+S30+S44+S57+S69+S72+S92+S104+S109+S114+S123)</f>
        <v>59125.794339999993</v>
      </c>
      <c r="T131" s="381">
        <f t="shared" si="193"/>
        <v>24.091083450947817</v>
      </c>
      <c r="U131" s="193">
        <f>SUM(U5+U10+U16+U30+U44+U57+U69+U72+U92+U104+U109+U114+U123)</f>
        <v>87805.080959999992</v>
      </c>
      <c r="V131" s="381">
        <f>SUM(V5+V10+V16+V30+V44+V57+V69+V72+V92+V104+V109+V114+V123)</f>
        <v>23046.092519999998</v>
      </c>
      <c r="W131" s="381">
        <f>SUM(W5+W10+W16+W30+W44+W57+W69+W72+W92+W104+W109+W114+W123)</f>
        <v>110851.17348000003</v>
      </c>
      <c r="X131" s="381">
        <f t="shared" si="194"/>
        <v>45.166832864611528</v>
      </c>
      <c r="Y131" s="193">
        <f>SUM(Y5+Y10+Y16+Y30+Y44+Y57+Y69+Y72+Y92+Y104+Y109+Y114+Y123)</f>
        <v>124945.80324000002</v>
      </c>
      <c r="Z131" s="381">
        <f>SUM(Z5+Z10+Z16+Z30+Z44+Z57+Z69+Z72+Z92+Z104+Z109+Z114+Z123)</f>
        <v>73404.285790000009</v>
      </c>
      <c r="AA131" s="381">
        <f>SUM(AA5+AA10+AA16+AA30+AA44+AA57+AA69+AA72+AA92+AA104+AA109+AA114+AA123)</f>
        <v>198350.08902999997</v>
      </c>
      <c r="AB131" s="381">
        <f t="shared" si="195"/>
        <v>80.818678220986058</v>
      </c>
      <c r="AC131" s="433">
        <f>SUM(AC5+AC10+AC16+AC30+AC44+AC57+AC69+AC72+AC92+AC104+AC109+AC114+AC123)</f>
        <v>47075.960239999993</v>
      </c>
      <c r="AD131" s="193">
        <f>SUM(AD5+AD10+AD16+AD30+AD44+AD57+AD69+AD72+AD92+AD104+AD109+AD114+AD123)</f>
        <v>141863</v>
      </c>
      <c r="AE131" s="381">
        <f>SUM(AE5+AE10+AE16+AE30+AE44+AE57+AE69+AE72+AE92+AE104+AE109+AE114+AE123)</f>
        <v>72440</v>
      </c>
      <c r="AF131" s="381">
        <f>SUM(AF5+AF10+AF16+AF30+AF44+AF57+AF69+AF72+AF92+AF104+AF109+AF114+AF123)</f>
        <v>214303</v>
      </c>
      <c r="AG131" s="381">
        <f t="shared" si="213"/>
        <v>98.958708521504633</v>
      </c>
      <c r="AH131" s="381">
        <f>SUM(AH5+AH10+AH16+AH30+AH44+AH57+AH69+AH72+AH92+AH104+AH109+AH114+AH123)</f>
        <v>232134</v>
      </c>
      <c r="AI131" s="396"/>
      <c r="AJ131" s="381"/>
      <c r="AK131" s="211">
        <f>SUM(AK5+AK10+AK16+AK30+AK44+AK57+AK69+AK72+AK92+AK104+AK109+AK114+AK123)</f>
        <v>0</v>
      </c>
      <c r="AL131" s="473">
        <f>SUM(AL5+AL10+AL16+AL30+AL44+AL57+AL69+AL72+AL92+AL104+AL109+AL114+AL123)</f>
        <v>234593.26783</v>
      </c>
      <c r="AM131" s="193"/>
      <c r="AN131" s="336"/>
    </row>
    <row r="132" spans="1:40" ht="13.5" thickBot="1" x14ac:dyDescent="0.25">
      <c r="A132" s="146"/>
      <c r="B132" s="35"/>
      <c r="C132" s="35"/>
      <c r="D132" s="35"/>
      <c r="E132" s="65" t="s">
        <v>90</v>
      </c>
      <c r="F132" s="35"/>
      <c r="G132" s="63">
        <f>SUM(E131:F131)</f>
        <v>216558</v>
      </c>
      <c r="H132" s="210"/>
      <c r="I132" s="207"/>
      <c r="J132" s="65"/>
      <c r="K132" s="35"/>
      <c r="L132" s="63">
        <f>+G131+H131+I131</f>
        <v>245426.04926999999</v>
      </c>
      <c r="M132" s="65" t="s">
        <v>90</v>
      </c>
      <c r="N132" s="35"/>
      <c r="O132" s="63">
        <f>SUM(M131:N131)</f>
        <v>31759.503140000001</v>
      </c>
      <c r="P132" s="63"/>
      <c r="Q132" s="65" t="s">
        <v>90</v>
      </c>
      <c r="R132" s="35"/>
      <c r="S132" s="63">
        <f>SUM(Q131:R131)</f>
        <v>59125.79434</v>
      </c>
      <c r="T132" s="63"/>
      <c r="U132" s="65" t="s">
        <v>90</v>
      </c>
      <c r="V132" s="35"/>
      <c r="W132" s="63">
        <f>SUM(U131:V131)</f>
        <v>110851.17348</v>
      </c>
      <c r="X132" s="63"/>
      <c r="Y132" s="65" t="s">
        <v>90</v>
      </c>
      <c r="Z132" s="35"/>
      <c r="AA132" s="63">
        <f>SUM(Y131:Z131)</f>
        <v>198350.08903000003</v>
      </c>
      <c r="AB132" s="63"/>
      <c r="AC132" s="434"/>
      <c r="AD132" s="65" t="s">
        <v>90</v>
      </c>
      <c r="AE132" s="35"/>
      <c r="AF132" s="63">
        <f>SUM(AD131:AE131)</f>
        <v>214303</v>
      </c>
      <c r="AG132" s="63"/>
      <c r="AH132" s="35"/>
      <c r="AI132" s="394"/>
      <c r="AJ132" s="63"/>
      <c r="AK132" s="207"/>
      <c r="AL132" s="471"/>
      <c r="AM132" s="479"/>
      <c r="AN132" s="90"/>
    </row>
    <row r="133" spans="1:40" x14ac:dyDescent="0.2">
      <c r="A133" s="44"/>
      <c r="B133" s="23"/>
      <c r="C133" s="23"/>
      <c r="D133" s="536"/>
      <c r="E133" s="23"/>
      <c r="F133" s="23"/>
      <c r="G133" s="148"/>
      <c r="H133" s="212"/>
      <c r="I133" s="212"/>
      <c r="J133" s="23"/>
      <c r="K133" s="23"/>
      <c r="L133" s="148"/>
      <c r="M133" s="23"/>
      <c r="N133" s="23"/>
      <c r="O133" s="148"/>
      <c r="P133" s="148"/>
      <c r="Q133" s="23"/>
      <c r="R133" s="23"/>
      <c r="S133" s="148"/>
      <c r="T133" s="148"/>
      <c r="U133" s="23"/>
      <c r="V133" s="23"/>
      <c r="W133" s="148"/>
      <c r="X133" s="148"/>
      <c r="Y133" s="23"/>
      <c r="Z133" s="23"/>
      <c r="AA133" s="148"/>
      <c r="AB133" s="148"/>
      <c r="AC133" s="23"/>
      <c r="AD133" s="23"/>
      <c r="AE133" s="23"/>
      <c r="AF133" s="148"/>
      <c r="AG133" s="148"/>
      <c r="AH133" s="148">
        <f>AH131-AF131</f>
        <v>17831</v>
      </c>
      <c r="AI133" s="397"/>
      <c r="AJ133" s="148"/>
      <c r="AK133" s="212"/>
      <c r="AL133" s="385"/>
      <c r="AM133" s="23"/>
    </row>
    <row r="134" spans="1:40" x14ac:dyDescent="0.2">
      <c r="D134" s="239"/>
      <c r="E134" s="354"/>
      <c r="F134" s="354"/>
      <c r="G134" s="155"/>
      <c r="H134" s="212"/>
      <c r="I134" s="212"/>
      <c r="L134" s="155"/>
      <c r="M134" s="354"/>
      <c r="N134" s="354"/>
      <c r="O134" s="155"/>
      <c r="P134" s="155"/>
      <c r="Q134" s="354"/>
      <c r="R134" s="354"/>
      <c r="S134" s="155"/>
      <c r="T134" s="155"/>
      <c r="U134" s="354"/>
      <c r="V134" s="354"/>
      <c r="W134" s="155"/>
      <c r="X134" s="155"/>
      <c r="Y134" s="354"/>
      <c r="Z134" s="354"/>
      <c r="AA134" s="155"/>
      <c r="AB134" s="155"/>
      <c r="AC134" s="23"/>
      <c r="AD134" s="354"/>
      <c r="AE134" s="354"/>
      <c r="AF134" s="155"/>
      <c r="AG134" s="155"/>
      <c r="AH134" s="354"/>
      <c r="AJ134" s="483"/>
      <c r="AK134" s="212"/>
      <c r="AL134" s="385"/>
      <c r="AM134" s="23"/>
    </row>
    <row r="135" spans="1:40" x14ac:dyDescent="0.2">
      <c r="D135" s="240"/>
      <c r="E135" s="23"/>
      <c r="F135" s="354"/>
      <c r="G135" s="155"/>
      <c r="H135" s="212"/>
      <c r="I135" s="212"/>
      <c r="L135" s="155"/>
      <c r="M135" s="354"/>
      <c r="N135" s="354"/>
      <c r="O135" s="155"/>
      <c r="P135" s="155"/>
      <c r="Q135" s="354"/>
      <c r="R135" s="354"/>
      <c r="S135" s="155"/>
      <c r="T135" s="155"/>
      <c r="U135" s="354"/>
      <c r="V135" s="354"/>
      <c r="W135" s="155"/>
      <c r="X135" s="155"/>
      <c r="Y135" s="354"/>
      <c r="Z135" s="354"/>
      <c r="AA135" s="155"/>
      <c r="AB135" s="155"/>
      <c r="AC135" s="23"/>
      <c r="AD135" s="354"/>
      <c r="AE135" s="354"/>
      <c r="AF135" s="155"/>
      <c r="AG135" s="155"/>
      <c r="AH135" s="354"/>
      <c r="AJ135" s="425"/>
      <c r="AK135" s="212"/>
      <c r="AL135" s="385"/>
      <c r="AM135" s="23"/>
      <c r="AN135" s="119"/>
    </row>
    <row r="136" spans="1:40" x14ac:dyDescent="0.2">
      <c r="D136" s="240"/>
      <c r="H136" s="212"/>
      <c r="I136" s="212"/>
      <c r="M136" s="119"/>
      <c r="N136" s="119"/>
      <c r="U136" s="119"/>
      <c r="V136" s="119"/>
      <c r="AC136" s="23"/>
      <c r="AH136" s="119"/>
      <c r="AJ136" s="425"/>
      <c r="AK136" s="212"/>
      <c r="AL136" s="385"/>
      <c r="AM136" s="23"/>
      <c r="AN136" s="119"/>
    </row>
    <row r="137" spans="1:40" x14ac:dyDescent="0.2">
      <c r="D137" s="239"/>
      <c r="H137" s="212"/>
      <c r="I137" s="212"/>
      <c r="M137" s="119"/>
      <c r="N137" s="119"/>
      <c r="U137" s="119"/>
      <c r="V137" s="119"/>
      <c r="AC137" s="23"/>
      <c r="AH137" s="119"/>
      <c r="AJ137" s="128"/>
      <c r="AK137" s="212"/>
      <c r="AM137" s="23"/>
    </row>
    <row r="138" spans="1:40" x14ac:dyDescent="0.2">
      <c r="D138" s="239"/>
      <c r="H138" s="212"/>
      <c r="I138" s="212"/>
      <c r="M138" s="119"/>
      <c r="N138" s="119"/>
      <c r="U138" s="119"/>
      <c r="V138" s="119"/>
      <c r="AC138" s="23"/>
      <c r="AH138" s="119"/>
      <c r="AJ138" s="425"/>
      <c r="AK138" s="212"/>
      <c r="AL138" s="489"/>
    </row>
    <row r="139" spans="1:40" x14ac:dyDescent="0.2">
      <c r="D139" s="239"/>
      <c r="E139" s="23"/>
      <c r="H139" s="212"/>
      <c r="I139" s="212"/>
      <c r="M139" s="119"/>
      <c r="N139" s="119"/>
      <c r="U139" s="119"/>
      <c r="V139" s="119"/>
      <c r="AC139" s="23"/>
      <c r="AH139" s="119"/>
      <c r="AK139" s="212"/>
      <c r="AM139" s="68"/>
    </row>
    <row r="140" spans="1:40" x14ac:dyDescent="0.2">
      <c r="D140" s="239"/>
      <c r="H140" s="212"/>
      <c r="I140" s="212"/>
      <c r="M140" s="119"/>
      <c r="N140" s="119"/>
      <c r="U140" s="119"/>
      <c r="V140" s="119"/>
      <c r="AC140" s="23"/>
      <c r="AH140" s="119"/>
      <c r="AJ140" s="128"/>
      <c r="AK140" s="212"/>
      <c r="AM140" s="67"/>
    </row>
    <row r="141" spans="1:40" x14ac:dyDescent="0.2">
      <c r="D141" s="239"/>
      <c r="H141" s="212"/>
      <c r="I141" s="212"/>
      <c r="M141" s="119"/>
      <c r="N141" s="119"/>
      <c r="U141" s="119"/>
      <c r="V141" s="119"/>
      <c r="AC141" s="23"/>
      <c r="AH141" s="119"/>
      <c r="AJ141" s="128"/>
      <c r="AK141" s="212"/>
      <c r="AM141" s="67"/>
    </row>
    <row r="142" spans="1:40" x14ac:dyDescent="0.2">
      <c r="D142" s="239"/>
      <c r="H142" s="212"/>
      <c r="I142" s="212"/>
      <c r="M142" s="119"/>
      <c r="N142" s="119"/>
      <c r="U142" s="119"/>
      <c r="V142" s="119"/>
      <c r="AC142" s="23"/>
      <c r="AH142" s="119"/>
      <c r="AJ142" s="487"/>
      <c r="AK142" s="212"/>
    </row>
    <row r="143" spans="1:40" x14ac:dyDescent="0.2">
      <c r="D143" s="239"/>
      <c r="H143" s="212"/>
      <c r="I143" s="212"/>
      <c r="M143" s="119"/>
      <c r="N143" s="119"/>
      <c r="U143" s="119"/>
      <c r="V143" s="119"/>
      <c r="AC143" s="23"/>
      <c r="AH143" s="119"/>
      <c r="AK143" s="212"/>
    </row>
    <row r="144" spans="1:40" x14ac:dyDescent="0.2">
      <c r="H144" s="212"/>
      <c r="I144" s="212"/>
      <c r="M144" s="119"/>
      <c r="N144" s="119"/>
      <c r="U144" s="119"/>
      <c r="V144" s="119"/>
      <c r="AC144" s="23"/>
      <c r="AH144" s="119"/>
      <c r="AK144" s="212"/>
    </row>
    <row r="145" spans="4:37" x14ac:dyDescent="0.2">
      <c r="D145" s="239"/>
      <c r="H145" s="212"/>
      <c r="I145" s="212"/>
      <c r="M145" s="119"/>
      <c r="N145" s="119"/>
      <c r="U145" s="119"/>
      <c r="V145" s="119"/>
      <c r="AC145" s="23"/>
      <c r="AH145" s="119"/>
      <c r="AK145" s="212"/>
    </row>
    <row r="146" spans="4:37" x14ac:dyDescent="0.2">
      <c r="D146" s="239"/>
      <c r="H146" s="212"/>
      <c r="I146" s="212"/>
      <c r="M146" s="119"/>
      <c r="N146" s="119"/>
      <c r="U146" s="119"/>
      <c r="V146" s="119"/>
      <c r="AC146" s="23"/>
      <c r="AH146" s="119"/>
      <c r="AK146" s="212"/>
    </row>
    <row r="147" spans="4:37" x14ac:dyDescent="0.2">
      <c r="D147" s="239"/>
      <c r="H147" s="212"/>
      <c r="I147" s="212"/>
      <c r="M147" s="119"/>
      <c r="N147" s="119"/>
      <c r="U147" s="119"/>
      <c r="V147" s="119"/>
      <c r="AC147" s="23"/>
      <c r="AH147" s="119"/>
      <c r="AK147" s="212"/>
    </row>
    <row r="148" spans="4:37" x14ac:dyDescent="0.2">
      <c r="D148" s="239"/>
      <c r="H148" s="212"/>
      <c r="I148" s="212"/>
      <c r="M148" s="119"/>
      <c r="N148" s="119"/>
      <c r="U148" s="119"/>
      <c r="V148" s="119"/>
      <c r="AC148" s="23"/>
      <c r="AH148" s="119"/>
      <c r="AK148" s="212"/>
    </row>
    <row r="149" spans="4:37" x14ac:dyDescent="0.2">
      <c r="H149" s="212"/>
      <c r="I149" s="212"/>
      <c r="M149" s="119"/>
      <c r="N149" s="119"/>
      <c r="U149" s="119"/>
      <c r="V149" s="119"/>
      <c r="AC149" s="23"/>
      <c r="AH149" s="119"/>
      <c r="AK149" s="212"/>
    </row>
    <row r="150" spans="4:37" x14ac:dyDescent="0.2">
      <c r="H150" s="212"/>
      <c r="I150" s="212"/>
      <c r="M150" s="119"/>
      <c r="N150" s="119"/>
      <c r="U150" s="119"/>
      <c r="V150" s="119"/>
      <c r="AC150" s="23"/>
      <c r="AH150" s="119"/>
      <c r="AK150" s="212"/>
    </row>
    <row r="151" spans="4:37" x14ac:dyDescent="0.2">
      <c r="D151" s="239"/>
      <c r="H151" s="212"/>
      <c r="I151" s="212"/>
      <c r="M151" s="119"/>
      <c r="N151" s="119"/>
      <c r="U151" s="119"/>
      <c r="V151" s="119"/>
      <c r="AC151" s="23"/>
      <c r="AH151" s="119"/>
      <c r="AK151" s="212"/>
    </row>
    <row r="152" spans="4:37" x14ac:dyDescent="0.2">
      <c r="H152" s="212"/>
      <c r="I152" s="212"/>
      <c r="AC152" s="23"/>
      <c r="AK152" s="212"/>
    </row>
    <row r="153" spans="4:37" x14ac:dyDescent="0.2">
      <c r="H153" s="212"/>
      <c r="I153" s="212"/>
      <c r="AC153" s="23"/>
      <c r="AK153" s="212"/>
    </row>
    <row r="154" spans="4:37" x14ac:dyDescent="0.2">
      <c r="D154" s="240"/>
      <c r="H154" s="212"/>
      <c r="I154" s="212"/>
      <c r="AC154" s="23"/>
      <c r="AK154" s="212"/>
    </row>
    <row r="155" spans="4:37" x14ac:dyDescent="0.2">
      <c r="D155" s="240"/>
    </row>
    <row r="156" spans="4:37" x14ac:dyDescent="0.2">
      <c r="D156" s="240"/>
    </row>
    <row r="157" spans="4:37" x14ac:dyDescent="0.2">
      <c r="D157" s="240"/>
    </row>
  </sheetData>
  <sortState ref="A90:HH93">
    <sortCondition ref="B90:B93"/>
  </sortState>
  <mergeCells count="1">
    <mergeCell ref="H2:I2"/>
  </mergeCells>
  <phoneticPr fontId="6" type="noConversion"/>
  <pageMargins left="0.27559055118110237" right="0.19685039370078741" top="0.51181102362204722" bottom="0.32" header="0.15748031496062992" footer="0.23622047244094491"/>
  <pageSetup paperSize="9" scale="83" orientation="landscape" verticalDpi="300" r:id="rId1"/>
  <headerFooter alignWithMargins="0">
    <oddHeader xml:space="preserve">&amp;R&amp;P+4. strana
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P37"/>
  <sheetViews>
    <sheetView workbookViewId="0">
      <selection activeCell="B44" sqref="B44"/>
    </sheetView>
  </sheetViews>
  <sheetFormatPr defaultColWidth="7.85546875" defaultRowHeight="12.75" x14ac:dyDescent="0.2"/>
  <cols>
    <col min="1" max="2" width="7.85546875" style="97" customWidth="1"/>
    <col min="3" max="3" width="4.28515625" style="97" customWidth="1"/>
    <col min="4" max="4" width="16.28515625" style="21" customWidth="1"/>
    <col min="5" max="5" width="6.5703125" style="97" customWidth="1"/>
    <col min="6" max="6" width="7.85546875" style="97" customWidth="1"/>
    <col min="7" max="7" width="7.28515625" style="97" customWidth="1"/>
    <col min="8" max="9" width="7.85546875" style="97" customWidth="1"/>
    <col min="10" max="11" width="10" style="119" customWidth="1"/>
    <col min="12" max="16384" width="7.85546875" style="97"/>
  </cols>
  <sheetData>
    <row r="1" spans="1:16" ht="15.75" x14ac:dyDescent="0.25">
      <c r="A1" s="1" t="s">
        <v>399</v>
      </c>
      <c r="E1" s="278"/>
      <c r="G1" s="278"/>
      <c r="I1" s="278"/>
    </row>
    <row r="2" spans="1:16" x14ac:dyDescent="0.2">
      <c r="A2" s="119"/>
      <c r="B2" s="119"/>
      <c r="C2" s="119"/>
      <c r="D2" s="100"/>
      <c r="E2" s="278"/>
      <c r="G2" s="278"/>
      <c r="I2" s="278"/>
    </row>
    <row r="3" spans="1:16" ht="13.5" thickBot="1" x14ac:dyDescent="0.25">
      <c r="E3" s="278"/>
      <c r="G3" s="278"/>
      <c r="I3" s="278"/>
    </row>
    <row r="4" spans="1:16" ht="13.5" thickBot="1" x14ac:dyDescent="0.25">
      <c r="A4" s="402"/>
      <c r="B4" s="279"/>
      <c r="C4" s="279"/>
      <c r="D4" s="280"/>
      <c r="E4" s="281"/>
      <c r="F4" s="282" t="s">
        <v>227</v>
      </c>
      <c r="G4" s="283"/>
      <c r="H4" s="282" t="s">
        <v>228</v>
      </c>
      <c r="I4" s="284" t="s">
        <v>229</v>
      </c>
      <c r="J4" s="495"/>
      <c r="K4" s="496" t="s">
        <v>92</v>
      </c>
    </row>
    <row r="5" spans="1:16" x14ac:dyDescent="0.2">
      <c r="A5" s="232"/>
      <c r="B5" s="135"/>
      <c r="C5" s="135"/>
      <c r="D5" s="285"/>
      <c r="E5" s="286" t="s">
        <v>230</v>
      </c>
      <c r="F5" s="287"/>
      <c r="G5" s="286" t="s">
        <v>230</v>
      </c>
      <c r="H5" s="287"/>
      <c r="I5" s="286" t="s">
        <v>231</v>
      </c>
      <c r="J5" s="497"/>
      <c r="K5" s="498" t="s">
        <v>232</v>
      </c>
    </row>
    <row r="6" spans="1:16" ht="13.5" thickBot="1" x14ac:dyDescent="0.25">
      <c r="A6" s="236"/>
      <c r="B6" s="136"/>
      <c r="C6" s="136"/>
      <c r="D6" s="288"/>
      <c r="E6" s="289" t="s">
        <v>95</v>
      </c>
      <c r="F6" s="290" t="s">
        <v>233</v>
      </c>
      <c r="G6" s="289" t="s">
        <v>95</v>
      </c>
      <c r="H6" s="290" t="s">
        <v>233</v>
      </c>
      <c r="I6" s="289" t="s">
        <v>234</v>
      </c>
      <c r="J6" s="290" t="s">
        <v>233</v>
      </c>
      <c r="K6" s="499" t="s">
        <v>235</v>
      </c>
    </row>
    <row r="7" spans="1:16" x14ac:dyDescent="0.2">
      <c r="A7" s="233" t="s">
        <v>96</v>
      </c>
      <c r="B7" s="135"/>
      <c r="C7" s="135"/>
      <c r="D7" s="285"/>
      <c r="E7" s="291">
        <f>+příjmy!H43</f>
        <v>443.32299999999998</v>
      </c>
      <c r="F7" s="292">
        <f>+příjmy!O43</f>
        <v>1157.7569000000001</v>
      </c>
      <c r="G7" s="293">
        <f>výdaje!L6</f>
        <v>1205.335</v>
      </c>
      <c r="H7" s="292">
        <f>+výdaje!AA6</f>
        <v>897.23946999999998</v>
      </c>
      <c r="I7" s="291"/>
      <c r="J7" s="292"/>
      <c r="K7" s="294"/>
    </row>
    <row r="8" spans="1:16" x14ac:dyDescent="0.2">
      <c r="A8" s="403"/>
      <c r="B8" s="137"/>
      <c r="C8" s="22" t="s">
        <v>236</v>
      </c>
      <c r="D8" s="295"/>
      <c r="E8" s="296">
        <f>SUM(E7:E7)</f>
        <v>443.32299999999998</v>
      </c>
      <c r="F8" s="297">
        <f>SUM(F7:F7)</f>
        <v>1157.7569000000001</v>
      </c>
      <c r="G8" s="296">
        <f>SUM(G7:G7)</f>
        <v>1205.335</v>
      </c>
      <c r="H8" s="297">
        <f>SUM(H7:H7)</f>
        <v>897.23946999999998</v>
      </c>
      <c r="I8" s="296">
        <f>E8-G8</f>
        <v>-762.01200000000006</v>
      </c>
      <c r="J8" s="297">
        <f>F8-H8</f>
        <v>260.5174300000001</v>
      </c>
      <c r="K8" s="299">
        <f>J8-I8</f>
        <v>1022.5294300000002</v>
      </c>
    </row>
    <row r="9" spans="1:16" x14ac:dyDescent="0.2">
      <c r="A9" s="404" t="s">
        <v>237</v>
      </c>
      <c r="B9" s="135"/>
      <c r="C9" s="135"/>
      <c r="D9" s="285"/>
      <c r="E9" s="286"/>
      <c r="F9" s="300"/>
      <c r="G9" s="286"/>
      <c r="H9" s="300"/>
      <c r="I9" s="286"/>
      <c r="J9" s="300"/>
      <c r="K9" s="301"/>
    </row>
    <row r="10" spans="1:16" x14ac:dyDescent="0.2">
      <c r="A10" s="405"/>
      <c r="B10" s="137"/>
      <c r="C10" s="137"/>
      <c r="D10" s="77"/>
      <c r="E10" s="296">
        <f>+příjmy!H65</f>
        <v>1410</v>
      </c>
      <c r="F10" s="298">
        <f>+příjmy!O65</f>
        <v>1441.8173299999999</v>
      </c>
      <c r="G10" s="296">
        <f>+výdaje!L12</f>
        <v>371</v>
      </c>
      <c r="H10" s="298">
        <f>+výdaje!AA12</f>
        <v>233.86632</v>
      </c>
      <c r="I10" s="296">
        <f>E10-G10</f>
        <v>1039</v>
      </c>
      <c r="J10" s="297">
        <f>F10-H10</f>
        <v>1207.9510099999998</v>
      </c>
      <c r="K10" s="299">
        <f>J10-I10</f>
        <v>168.95100999999977</v>
      </c>
    </row>
    <row r="11" spans="1:16" x14ac:dyDescent="0.2">
      <c r="A11" s="233" t="s">
        <v>77</v>
      </c>
      <c r="B11" s="135"/>
      <c r="C11" s="135"/>
      <c r="D11" s="285"/>
      <c r="E11" s="291"/>
      <c r="F11" s="76"/>
      <c r="G11" s="291"/>
      <c r="H11" s="76"/>
      <c r="I11" s="291"/>
      <c r="J11" s="138"/>
      <c r="K11" s="294"/>
    </row>
    <row r="12" spans="1:16" x14ac:dyDescent="0.2">
      <c r="A12" s="232"/>
      <c r="B12" s="135"/>
      <c r="C12" s="135"/>
      <c r="D12" s="285" t="s">
        <v>261</v>
      </c>
      <c r="E12" s="291">
        <f>+příjmy!H68</f>
        <v>7848</v>
      </c>
      <c r="F12" s="292">
        <f>+příjmy!O68</f>
        <v>7845.3387999999995</v>
      </c>
      <c r="G12" s="293">
        <f>+výdaje!L73</f>
        <v>4848</v>
      </c>
      <c r="H12" s="292">
        <f>+výdaje!AA73</f>
        <v>3264.4419899999998</v>
      </c>
      <c r="I12" s="291">
        <f t="shared" ref="I12:J16" si="0">E12-G12</f>
        <v>3000</v>
      </c>
      <c r="J12" s="292">
        <f t="shared" si="0"/>
        <v>4580.8968100000002</v>
      </c>
      <c r="K12" s="294"/>
      <c r="M12" s="115"/>
    </row>
    <row r="13" spans="1:16" x14ac:dyDescent="0.2">
      <c r="A13" s="232"/>
      <c r="B13" s="135"/>
      <c r="C13" s="135"/>
      <c r="D13" s="285" t="s">
        <v>238</v>
      </c>
      <c r="E13" s="291">
        <f>+příjmy!H50</f>
        <v>3650</v>
      </c>
      <c r="F13" s="292">
        <f>+příjmy!O50</f>
        <v>3050.8092000000001</v>
      </c>
      <c r="G13" s="293">
        <f>+výdaje!L74</f>
        <v>3650</v>
      </c>
      <c r="H13" s="292">
        <f>+výdaje!AA74</f>
        <v>3590.0957100000001</v>
      </c>
      <c r="I13" s="291">
        <f t="shared" si="0"/>
        <v>0</v>
      </c>
      <c r="J13" s="537">
        <f t="shared" si="0"/>
        <v>-539.28650999999991</v>
      </c>
      <c r="K13" s="294"/>
      <c r="M13" s="115"/>
    </row>
    <row r="14" spans="1:16" x14ac:dyDescent="0.2">
      <c r="A14" s="232"/>
      <c r="B14" s="135"/>
      <c r="C14" s="135"/>
      <c r="D14" s="285" t="s">
        <v>239</v>
      </c>
      <c r="E14" s="291">
        <f>+příjmy!H69</f>
        <v>750</v>
      </c>
      <c r="F14" s="292">
        <f>+příjmy!O69</f>
        <v>761.42700000000002</v>
      </c>
      <c r="G14" s="293">
        <f>+výdaje!L80</f>
        <v>275</v>
      </c>
      <c r="H14" s="292">
        <f>+výdaje!Y80</f>
        <v>83.553120000000007</v>
      </c>
      <c r="I14" s="291">
        <f t="shared" si="0"/>
        <v>475</v>
      </c>
      <c r="J14" s="292">
        <f t="shared" si="0"/>
        <v>677.87387999999999</v>
      </c>
      <c r="K14" s="294"/>
      <c r="M14" s="115"/>
    </row>
    <row r="15" spans="1:16" x14ac:dyDescent="0.2">
      <c r="A15" s="232"/>
      <c r="B15" s="135"/>
      <c r="C15" s="135"/>
      <c r="D15" s="285" t="s">
        <v>240</v>
      </c>
      <c r="E15" s="291">
        <f>+příjmy!H51</f>
        <v>331</v>
      </c>
      <c r="F15" s="292">
        <f>+příjmy!O51</f>
        <v>290.63499999999999</v>
      </c>
      <c r="G15" s="293">
        <f>+výdaje!L81</f>
        <v>331</v>
      </c>
      <c r="H15" s="292">
        <f>+výdaje!Y81</f>
        <v>108.71742999999999</v>
      </c>
      <c r="I15" s="291">
        <f t="shared" si="0"/>
        <v>0</v>
      </c>
      <c r="J15" s="292">
        <f t="shared" si="0"/>
        <v>181.91757000000001</v>
      </c>
      <c r="K15" s="294"/>
      <c r="M15" s="115"/>
    </row>
    <row r="16" spans="1:16" x14ac:dyDescent="0.2">
      <c r="A16" s="403"/>
      <c r="B16" s="137"/>
      <c r="C16" s="22" t="s">
        <v>241</v>
      </c>
      <c r="D16" s="77"/>
      <c r="E16" s="296">
        <f>SUM(E12:E15)</f>
        <v>12579</v>
      </c>
      <c r="F16" s="298">
        <f>SUM(F12:F15)</f>
        <v>11948.21</v>
      </c>
      <c r="G16" s="296">
        <f>SUM(G12:G15)</f>
        <v>9104</v>
      </c>
      <c r="H16" s="298">
        <f>SUM(H12:H15)</f>
        <v>7046.8082499999991</v>
      </c>
      <c r="I16" s="296">
        <f t="shared" si="0"/>
        <v>3475</v>
      </c>
      <c r="J16" s="297">
        <f t="shared" si="0"/>
        <v>4901.40175</v>
      </c>
      <c r="K16" s="299">
        <f>J16-I16</f>
        <v>1426.40175</v>
      </c>
      <c r="M16" s="115"/>
      <c r="P16" s="115"/>
    </row>
    <row r="17" spans="1:12" x14ac:dyDescent="0.2">
      <c r="A17" s="233" t="s">
        <v>242</v>
      </c>
      <c r="B17" s="135"/>
      <c r="C17" s="135"/>
      <c r="D17" s="285" t="s">
        <v>243</v>
      </c>
      <c r="E17" s="293">
        <f>+příjmy!H47</f>
        <v>96</v>
      </c>
      <c r="F17" s="292">
        <f>+příjmy!O47</f>
        <v>92.53</v>
      </c>
      <c r="G17" s="293">
        <f>+výdaje!L45</f>
        <v>1221</v>
      </c>
      <c r="H17" s="292">
        <f>+výdaje!AA45</f>
        <v>1208.2650000000001</v>
      </c>
      <c r="I17" s="291"/>
      <c r="J17" s="292"/>
      <c r="K17" s="294"/>
    </row>
    <row r="18" spans="1:12" x14ac:dyDescent="0.2">
      <c r="A18" s="233"/>
      <c r="B18" s="135"/>
      <c r="C18" s="135"/>
      <c r="D18" s="285" t="s">
        <v>244</v>
      </c>
      <c r="E18" s="291"/>
      <c r="F18" s="138"/>
      <c r="G18" s="291"/>
      <c r="H18" s="138"/>
      <c r="I18" s="291"/>
      <c r="J18" s="138"/>
      <c r="K18" s="294"/>
    </row>
    <row r="19" spans="1:12" x14ac:dyDescent="0.2">
      <c r="A19" s="405"/>
      <c r="B19" s="137"/>
      <c r="C19" s="22" t="s">
        <v>67</v>
      </c>
      <c r="D19" s="295"/>
      <c r="E19" s="296">
        <f>SUM(E17:E18)</f>
        <v>96</v>
      </c>
      <c r="F19" s="298">
        <f>SUM(F17:F18)</f>
        <v>92.53</v>
      </c>
      <c r="G19" s="296">
        <f>SUM(G17:G18)</f>
        <v>1221</v>
      </c>
      <c r="H19" s="298">
        <f>SUM(H17:H18)</f>
        <v>1208.2650000000001</v>
      </c>
      <c r="I19" s="296">
        <f>E19-G19</f>
        <v>-1125</v>
      </c>
      <c r="J19" s="297">
        <f>F19-H19</f>
        <v>-1115.7350000000001</v>
      </c>
      <c r="K19" s="299">
        <f>J19-I19</f>
        <v>9.2649999999998727</v>
      </c>
    </row>
    <row r="20" spans="1:12" x14ac:dyDescent="0.2">
      <c r="A20" s="233" t="s">
        <v>245</v>
      </c>
      <c r="B20" s="135"/>
      <c r="C20" s="135"/>
      <c r="D20" s="285" t="s">
        <v>246</v>
      </c>
      <c r="E20" s="293">
        <f>+příjmy!H49</f>
        <v>99</v>
      </c>
      <c r="F20" s="292">
        <f>+příjmy!O49</f>
        <v>89.896000000000001</v>
      </c>
      <c r="G20" s="291"/>
      <c r="H20" s="292"/>
      <c r="I20" s="291"/>
      <c r="J20" s="500"/>
      <c r="K20" s="294"/>
    </row>
    <row r="21" spans="1:12" x14ac:dyDescent="0.2">
      <c r="A21" s="232"/>
      <c r="B21" s="135"/>
      <c r="C21" s="135"/>
      <c r="D21" s="285" t="s">
        <v>247</v>
      </c>
      <c r="E21" s="293">
        <f>+příjmy!H48</f>
        <v>80</v>
      </c>
      <c r="F21" s="292">
        <f>+příjmy!O48</f>
        <v>73.709999999999994</v>
      </c>
      <c r="G21" s="291"/>
      <c r="H21" s="138"/>
      <c r="I21" s="291"/>
      <c r="J21" s="500"/>
      <c r="K21" s="294"/>
    </row>
    <row r="22" spans="1:12" x14ac:dyDescent="0.2">
      <c r="A22" s="403"/>
      <c r="B22" s="137"/>
      <c r="C22" s="22" t="s">
        <v>67</v>
      </c>
      <c r="D22" s="77"/>
      <c r="E22" s="302">
        <f>SUM(E20:E21)</f>
        <v>179</v>
      </c>
      <c r="F22" s="303">
        <f>SUM(F20:F21)</f>
        <v>163.60599999999999</v>
      </c>
      <c r="G22" s="296">
        <f>+výdaje!L51</f>
        <v>380</v>
      </c>
      <c r="H22" s="297">
        <f>+výdaje!AA51</f>
        <v>396.31099999999998</v>
      </c>
      <c r="I22" s="302">
        <f>E22-G22</f>
        <v>-201</v>
      </c>
      <c r="J22" s="501">
        <f>F22-H22</f>
        <v>-232.70499999999998</v>
      </c>
      <c r="K22" s="538">
        <f>J22-I22</f>
        <v>-31.704999999999984</v>
      </c>
    </row>
    <row r="23" spans="1:12" x14ac:dyDescent="0.2">
      <c r="A23" s="233" t="s">
        <v>248</v>
      </c>
      <c r="B23" s="135"/>
      <c r="C23" s="15"/>
      <c r="D23" s="285" t="s">
        <v>249</v>
      </c>
      <c r="E23" s="307">
        <f>příjmy!H32</f>
        <v>3074</v>
      </c>
      <c r="F23" s="306">
        <f>příjmy!O32</f>
        <v>3248.9944700000001</v>
      </c>
      <c r="G23" s="307"/>
      <c r="H23" s="308"/>
      <c r="I23" s="305"/>
      <c r="J23" s="502"/>
      <c r="K23" s="310"/>
    </row>
    <row r="24" spans="1:12" x14ac:dyDescent="0.2">
      <c r="A24" s="232"/>
      <c r="B24" s="135"/>
      <c r="C24" s="15"/>
      <c r="D24" s="285" t="s">
        <v>250</v>
      </c>
      <c r="E24" s="307">
        <f>příjmy!H62</f>
        <v>730</v>
      </c>
      <c r="F24" s="306">
        <f>příjmy!O62</f>
        <v>835.51499999999999</v>
      </c>
      <c r="G24" s="307"/>
      <c r="H24" s="308"/>
      <c r="I24" s="305"/>
      <c r="J24" s="502"/>
      <c r="K24" s="310"/>
    </row>
    <row r="25" spans="1:12" x14ac:dyDescent="0.2">
      <c r="A25" s="232"/>
      <c r="B25" s="135"/>
      <c r="C25" s="22" t="s">
        <v>67</v>
      </c>
      <c r="D25" s="285"/>
      <c r="E25" s="296">
        <f>SUM(E23:E24)</f>
        <v>3804</v>
      </c>
      <c r="F25" s="298">
        <f>SUM(F23:F24)</f>
        <v>4084.50947</v>
      </c>
      <c r="G25" s="296">
        <f>+výdaje!L93</f>
        <v>5500</v>
      </c>
      <c r="H25" s="298">
        <f>+výdaje!AA93</f>
        <v>5630.0169800000003</v>
      </c>
      <c r="I25" s="296">
        <f>E25-G25</f>
        <v>-1696</v>
      </c>
      <c r="J25" s="297">
        <f>F25-H25</f>
        <v>-1545.5075100000004</v>
      </c>
      <c r="K25" s="299">
        <f>J25-I25</f>
        <v>150.49248999999963</v>
      </c>
    </row>
    <row r="26" spans="1:12" x14ac:dyDescent="0.2">
      <c r="A26" s="406" t="s">
        <v>39</v>
      </c>
      <c r="B26" s="139"/>
      <c r="C26" s="139"/>
      <c r="D26" s="311"/>
      <c r="E26" s="312"/>
      <c r="F26" s="309"/>
      <c r="G26" s="307"/>
      <c r="H26" s="308"/>
      <c r="I26" s="305"/>
      <c r="J26" s="502"/>
      <c r="K26" s="310"/>
    </row>
    <row r="27" spans="1:12" x14ac:dyDescent="0.2">
      <c r="A27" s="407"/>
      <c r="B27" s="137"/>
      <c r="C27" s="137"/>
      <c r="D27" s="93"/>
      <c r="E27" s="313">
        <f>příjmy!F52</f>
        <v>280</v>
      </c>
      <c r="F27" s="303">
        <f>příjmy!O52</f>
        <v>294.74699999999996</v>
      </c>
      <c r="G27" s="296">
        <f>+výdaje!L84</f>
        <v>560</v>
      </c>
      <c r="H27" s="297">
        <f>+výdaje!AA84</f>
        <v>359.90300000000002</v>
      </c>
      <c r="I27" s="302">
        <f>E27-G27</f>
        <v>-280</v>
      </c>
      <c r="J27" s="501">
        <f>F27-H27</f>
        <v>-65.156000000000063</v>
      </c>
      <c r="K27" s="304">
        <f>J27-I27</f>
        <v>214.84399999999994</v>
      </c>
    </row>
    <row r="28" spans="1:12" x14ac:dyDescent="0.2">
      <c r="A28" s="406" t="s">
        <v>251</v>
      </c>
      <c r="B28" s="139"/>
      <c r="C28" s="139"/>
      <c r="D28" s="314"/>
      <c r="E28" s="315"/>
      <c r="F28" s="316"/>
      <c r="G28" s="317"/>
      <c r="H28" s="318"/>
      <c r="I28" s="319"/>
      <c r="J28" s="503"/>
      <c r="K28" s="320"/>
    </row>
    <row r="29" spans="1:12" x14ac:dyDescent="0.2">
      <c r="A29" s="407"/>
      <c r="B29" s="137"/>
      <c r="C29" s="22" t="s">
        <v>67</v>
      </c>
      <c r="D29" s="77"/>
      <c r="E29" s="321">
        <f>+příjmy!H55</f>
        <v>45</v>
      </c>
      <c r="F29" s="303">
        <f>+příjmy!O55</f>
        <v>47.67</v>
      </c>
      <c r="G29" s="296">
        <f>+výdaje!J89</f>
        <v>287</v>
      </c>
      <c r="H29" s="297">
        <f>+výdaje!Y89</f>
        <v>274.46337</v>
      </c>
      <c r="I29" s="302">
        <f>E29-G29</f>
        <v>-242</v>
      </c>
      <c r="J29" s="501">
        <f>F29-H29</f>
        <v>-226.79336999999998</v>
      </c>
      <c r="K29" s="304">
        <f>J29-I29</f>
        <v>15.206630000000018</v>
      </c>
    </row>
    <row r="30" spans="1:12" x14ac:dyDescent="0.2">
      <c r="A30" s="406" t="s">
        <v>40</v>
      </c>
      <c r="B30" s="139"/>
      <c r="C30" s="139"/>
      <c r="D30" s="314" t="s">
        <v>319</v>
      </c>
      <c r="E30" s="439">
        <f>+příjmy!H130</f>
        <v>1144.251</v>
      </c>
      <c r="F30" s="441">
        <f>+příjmy!O130</f>
        <v>1144.251</v>
      </c>
      <c r="G30" s="317"/>
      <c r="H30" s="318"/>
      <c r="I30" s="319"/>
      <c r="J30" s="503"/>
      <c r="K30" s="320"/>
    </row>
    <row r="31" spans="1:12" x14ac:dyDescent="0.2">
      <c r="A31" s="233"/>
      <c r="B31" s="135"/>
      <c r="C31" s="135"/>
      <c r="D31" s="285"/>
      <c r="E31" s="440"/>
      <c r="F31" s="442"/>
      <c r="G31" s="307"/>
      <c r="H31" s="308"/>
      <c r="I31" s="305"/>
      <c r="J31" s="502"/>
      <c r="K31" s="310"/>
    </row>
    <row r="32" spans="1:12" x14ac:dyDescent="0.2">
      <c r="A32" s="233"/>
      <c r="B32" s="135"/>
      <c r="C32" s="135"/>
      <c r="D32" s="285" t="s">
        <v>320</v>
      </c>
      <c r="E32" s="440">
        <f>příjmy!H56</f>
        <v>855</v>
      </c>
      <c r="F32" s="442">
        <f>příjmy!O56</f>
        <v>1041.10988</v>
      </c>
      <c r="G32" s="307"/>
      <c r="H32" s="308"/>
      <c r="I32" s="305"/>
      <c r="J32" s="502"/>
      <c r="K32" s="310"/>
      <c r="L32" s="119"/>
    </row>
    <row r="33" spans="1:12" x14ac:dyDescent="0.2">
      <c r="A33" s="408"/>
      <c r="B33" s="137"/>
      <c r="C33" s="22" t="s">
        <v>67</v>
      </c>
      <c r="D33" s="77"/>
      <c r="E33" s="321">
        <f>SUM(E30:E32)</f>
        <v>1999.251</v>
      </c>
      <c r="F33" s="303">
        <f>SUM(F30:F32)</f>
        <v>2185.3608800000002</v>
      </c>
      <c r="G33" s="296">
        <f>+výdaje!L106</f>
        <v>3779.2510000000002</v>
      </c>
      <c r="H33" s="297">
        <f>+výdaje!AA106</f>
        <v>3491.5230299999998</v>
      </c>
      <c r="I33" s="302">
        <f>E33-G33</f>
        <v>-1780.0000000000002</v>
      </c>
      <c r="J33" s="501">
        <f>F33-H33</f>
        <v>-1306.1621499999997</v>
      </c>
      <c r="K33" s="304">
        <f>J33-I33</f>
        <v>473.83785000000057</v>
      </c>
      <c r="L33" s="119"/>
    </row>
    <row r="34" spans="1:12" x14ac:dyDescent="0.2">
      <c r="A34" s="233" t="s">
        <v>337</v>
      </c>
      <c r="B34" s="135"/>
      <c r="C34" s="135"/>
      <c r="D34" s="285" t="s">
        <v>339</v>
      </c>
      <c r="E34" s="293">
        <f>+příjmy!H87</f>
        <v>150</v>
      </c>
      <c r="F34" s="292">
        <f>+příjmy!O87</f>
        <v>157.30000000000001</v>
      </c>
      <c r="G34" s="293">
        <f>+výdaje!L111</f>
        <v>2691</v>
      </c>
      <c r="H34" s="292">
        <f>+výdaje!AA111</f>
        <v>2533.7649099999999</v>
      </c>
      <c r="I34" s="291"/>
      <c r="J34" s="292"/>
      <c r="K34" s="294"/>
      <c r="L34" s="119"/>
    </row>
    <row r="35" spans="1:12" x14ac:dyDescent="0.2">
      <c r="A35" s="233"/>
      <c r="B35" s="135"/>
      <c r="C35" s="135"/>
      <c r="D35" s="285" t="s">
        <v>338</v>
      </c>
      <c r="E35" s="440">
        <f>+příjmy!H126</f>
        <v>125</v>
      </c>
      <c r="F35" s="442">
        <f>+příjmy!O126</f>
        <v>128.06</v>
      </c>
      <c r="G35" s="291"/>
      <c r="H35" s="138"/>
      <c r="I35" s="291"/>
      <c r="J35" s="138"/>
      <c r="K35" s="294"/>
      <c r="L35" s="119"/>
    </row>
    <row r="36" spans="1:12" x14ac:dyDescent="0.2">
      <c r="A36" s="405"/>
      <c r="B36" s="137"/>
      <c r="C36" s="22" t="s">
        <v>67</v>
      </c>
      <c r="D36" s="295"/>
      <c r="E36" s="296">
        <f>SUM(E34:E35)</f>
        <v>275</v>
      </c>
      <c r="F36" s="298">
        <f>SUM(F34:F35)</f>
        <v>285.36</v>
      </c>
      <c r="G36" s="296">
        <f>SUM(G34:G35)</f>
        <v>2691</v>
      </c>
      <c r="H36" s="298">
        <f>SUM(H34:H35)</f>
        <v>2533.7649099999999</v>
      </c>
      <c r="I36" s="296">
        <f>E36-G36</f>
        <v>-2416</v>
      </c>
      <c r="J36" s="297">
        <f>F36-H36</f>
        <v>-2248.4049099999997</v>
      </c>
      <c r="K36" s="299">
        <f>J36-I36</f>
        <v>167.59509000000025</v>
      </c>
      <c r="L36" s="119"/>
    </row>
    <row r="37" spans="1:12" x14ac:dyDescent="0.2">
      <c r="L37" s="119"/>
    </row>
  </sheetData>
  <phoneticPr fontId="6" type="noConversion"/>
  <pageMargins left="0.71" right="0.27559055118110237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1"/>
  <sheetViews>
    <sheetView workbookViewId="0">
      <selection activeCell="Y9" sqref="Y9"/>
    </sheetView>
  </sheetViews>
  <sheetFormatPr defaultRowHeight="12.75" x14ac:dyDescent="0.2"/>
  <cols>
    <col min="1" max="1" width="2.85546875" customWidth="1"/>
    <col min="2" max="2" width="28.85546875" customWidth="1"/>
    <col min="5" max="5" width="7.28515625" customWidth="1"/>
    <col min="7" max="9" width="7.5703125" customWidth="1"/>
    <col min="10" max="11" width="6.5703125" customWidth="1"/>
    <col min="12" max="18" width="6.42578125" customWidth="1"/>
    <col min="19" max="19" width="8.5703125" customWidth="1"/>
    <col min="20" max="20" width="8.7109375" customWidth="1"/>
    <col min="21" max="21" width="3.28515625" customWidth="1"/>
  </cols>
  <sheetData>
    <row r="1" spans="1:25" ht="18" x14ac:dyDescent="0.25">
      <c r="B1" s="540" t="s">
        <v>501</v>
      </c>
      <c r="C1" s="540"/>
      <c r="D1" s="541"/>
      <c r="N1" s="542"/>
      <c r="O1" s="542"/>
      <c r="P1" s="542"/>
      <c r="Q1" s="542"/>
      <c r="R1" s="542"/>
    </row>
    <row r="2" spans="1:25" ht="13.5" thickBot="1" x14ac:dyDescent="0.25">
      <c r="B2" s="543" t="s">
        <v>570</v>
      </c>
      <c r="C2" s="543"/>
      <c r="N2" s="542"/>
      <c r="O2" s="542"/>
      <c r="P2" s="542"/>
      <c r="Q2" s="542"/>
      <c r="R2" s="542"/>
    </row>
    <row r="3" spans="1:25" ht="76.5" x14ac:dyDescent="0.2">
      <c r="A3" s="541"/>
      <c r="B3" s="544" t="s">
        <v>502</v>
      </c>
      <c r="C3" s="545" t="s">
        <v>503</v>
      </c>
      <c r="D3" s="546" t="s">
        <v>504</v>
      </c>
      <c r="E3" s="546" t="s">
        <v>505</v>
      </c>
      <c r="F3" s="546" t="s">
        <v>506</v>
      </c>
      <c r="G3" s="546" t="s">
        <v>507</v>
      </c>
      <c r="H3" s="546" t="s">
        <v>508</v>
      </c>
      <c r="I3" s="546" t="s">
        <v>509</v>
      </c>
      <c r="J3" s="546" t="s">
        <v>510</v>
      </c>
      <c r="K3" s="546" t="s">
        <v>511</v>
      </c>
      <c r="L3" s="547" t="s">
        <v>512</v>
      </c>
      <c r="M3" s="548"/>
      <c r="N3" s="548"/>
      <c r="O3" s="548"/>
      <c r="P3" s="549"/>
      <c r="Q3" s="549"/>
      <c r="R3" s="549"/>
      <c r="S3" s="550" t="s">
        <v>252</v>
      </c>
      <c r="T3" s="546" t="s">
        <v>513</v>
      </c>
      <c r="U3" s="551"/>
    </row>
    <row r="4" spans="1:25" ht="15.75" customHeight="1" thickBot="1" x14ac:dyDescent="0.25">
      <c r="A4" s="541"/>
      <c r="B4" s="552"/>
      <c r="C4" s="553"/>
      <c r="D4" s="554"/>
      <c r="E4" s="554" t="s">
        <v>514</v>
      </c>
      <c r="F4" s="554"/>
      <c r="G4" s="554"/>
      <c r="H4" s="554"/>
      <c r="I4" s="554"/>
      <c r="J4" s="554" t="s">
        <v>243</v>
      </c>
      <c r="K4" s="554"/>
      <c r="L4" s="555" t="s">
        <v>515</v>
      </c>
      <c r="M4" s="555">
        <v>2014</v>
      </c>
      <c r="N4" s="556">
        <v>2015</v>
      </c>
      <c r="O4" s="556">
        <v>2016</v>
      </c>
      <c r="P4" s="556">
        <v>2017</v>
      </c>
      <c r="Q4" s="556">
        <v>2018</v>
      </c>
      <c r="R4" s="556">
        <v>2019</v>
      </c>
      <c r="S4" s="557"/>
      <c r="T4" s="558"/>
      <c r="U4" s="558"/>
    </row>
    <row r="5" spans="1:25" ht="38.25" customHeight="1" x14ac:dyDescent="0.2">
      <c r="A5" s="559">
        <v>1</v>
      </c>
      <c r="B5" s="560" t="s">
        <v>516</v>
      </c>
      <c r="C5" s="561" t="s">
        <v>517</v>
      </c>
      <c r="D5" s="562" t="s">
        <v>518</v>
      </c>
      <c r="E5" s="570" t="s">
        <v>519</v>
      </c>
      <c r="F5" s="563" t="s">
        <v>520</v>
      </c>
      <c r="G5" s="564">
        <v>76510</v>
      </c>
      <c r="H5" s="564">
        <v>35000</v>
      </c>
      <c r="I5" s="564">
        <f>G5-H5-J5</f>
        <v>38876</v>
      </c>
      <c r="J5" s="564">
        <v>2634</v>
      </c>
      <c r="K5" s="565" t="s">
        <v>521</v>
      </c>
      <c r="L5" s="564"/>
      <c r="M5" s="564"/>
      <c r="N5" s="564">
        <v>-4757</v>
      </c>
      <c r="O5" s="564">
        <v>1142</v>
      </c>
      <c r="P5" s="564">
        <v>32077</v>
      </c>
      <c r="Q5" s="564">
        <f>I5-N5-O5-P5</f>
        <v>10414</v>
      </c>
      <c r="R5" s="564"/>
      <c r="S5" s="566" t="s">
        <v>522</v>
      </c>
      <c r="T5" s="567"/>
      <c r="U5" s="568" t="s">
        <v>523</v>
      </c>
    </row>
    <row r="6" spans="1:25" ht="39.75" customHeight="1" x14ac:dyDescent="0.2">
      <c r="A6" s="559">
        <v>2</v>
      </c>
      <c r="B6" s="569" t="s">
        <v>524</v>
      </c>
      <c r="C6" s="561" t="s">
        <v>517</v>
      </c>
      <c r="D6" s="570" t="s">
        <v>518</v>
      </c>
      <c r="E6" s="570" t="s">
        <v>525</v>
      </c>
      <c r="F6" s="571" t="s">
        <v>526</v>
      </c>
      <c r="G6" s="539">
        <f>SUM(L6:Q6)</f>
        <v>36367</v>
      </c>
      <c r="H6" s="539">
        <v>23100</v>
      </c>
      <c r="I6" s="539">
        <f>G6-H6</f>
        <v>13267</v>
      </c>
      <c r="J6" s="539"/>
      <c r="K6" s="567" t="s">
        <v>527</v>
      </c>
      <c r="L6" s="539">
        <f>3037-255+73</f>
        <v>2855</v>
      </c>
      <c r="M6" s="539">
        <v>1227</v>
      </c>
      <c r="N6" s="539">
        <v>1037</v>
      </c>
      <c r="O6" s="572">
        <v>1627</v>
      </c>
      <c r="P6" s="572">
        <v>1</v>
      </c>
      <c r="Q6" s="572">
        <f>6520+23100</f>
        <v>29620</v>
      </c>
      <c r="R6" s="572">
        <v>-23100</v>
      </c>
      <c r="S6" s="573" t="s">
        <v>528</v>
      </c>
      <c r="T6" s="574" t="s">
        <v>529</v>
      </c>
      <c r="U6" s="575" t="s">
        <v>530</v>
      </c>
    </row>
    <row r="7" spans="1:25" ht="22.5" customHeight="1" x14ac:dyDescent="0.2">
      <c r="A7" s="559">
        <v>3</v>
      </c>
      <c r="B7" s="560" t="s">
        <v>531</v>
      </c>
      <c r="C7" s="561" t="s">
        <v>517</v>
      </c>
      <c r="D7" s="562" t="s">
        <v>518</v>
      </c>
      <c r="E7" s="562"/>
      <c r="F7" s="571" t="s">
        <v>532</v>
      </c>
      <c r="G7" s="564">
        <v>15000</v>
      </c>
      <c r="H7" s="564"/>
      <c r="I7" s="564">
        <f>G7-H7</f>
        <v>15000</v>
      </c>
      <c r="J7" s="564"/>
      <c r="K7" s="564"/>
      <c r="L7" s="564">
        <v>178</v>
      </c>
      <c r="M7" s="564">
        <v>345</v>
      </c>
      <c r="N7" s="564">
        <v>585</v>
      </c>
      <c r="O7" s="564">
        <v>5</v>
      </c>
      <c r="P7" s="564">
        <v>552</v>
      </c>
      <c r="Q7" s="564">
        <v>2000</v>
      </c>
      <c r="R7" s="564">
        <f>I7-L7-M7-N7-O7-P7-Q7</f>
        <v>11335</v>
      </c>
      <c r="S7" s="566" t="s">
        <v>533</v>
      </c>
      <c r="T7" s="574" t="s">
        <v>534</v>
      </c>
      <c r="U7" s="576" t="s">
        <v>530</v>
      </c>
      <c r="V7" s="542"/>
      <c r="W7" s="542"/>
      <c r="X7" s="542"/>
      <c r="Y7" s="542"/>
    </row>
    <row r="8" spans="1:25" ht="22.5" customHeight="1" x14ac:dyDescent="0.2">
      <c r="A8" s="559">
        <v>4</v>
      </c>
      <c r="B8" s="577" t="s">
        <v>535</v>
      </c>
      <c r="C8" s="561" t="s">
        <v>517</v>
      </c>
      <c r="D8" s="562" t="s">
        <v>518</v>
      </c>
      <c r="E8" s="573" t="s">
        <v>536</v>
      </c>
      <c r="F8" s="563" t="s">
        <v>537</v>
      </c>
      <c r="G8" s="564">
        <f>46866+18464+6177+4687+1700</f>
        <v>77894</v>
      </c>
      <c r="H8" s="564"/>
      <c r="I8" s="564">
        <f>18464+2000+4687+1700</f>
        <v>26851</v>
      </c>
      <c r="J8" s="564">
        <f>G8-I8</f>
        <v>51043</v>
      </c>
      <c r="K8" s="564" t="s">
        <v>538</v>
      </c>
      <c r="L8" s="564"/>
      <c r="M8" s="564"/>
      <c r="N8" s="564">
        <v>538</v>
      </c>
      <c r="O8" s="564">
        <v>4972</v>
      </c>
      <c r="P8" s="564">
        <v>3115</v>
      </c>
      <c r="Q8" s="564">
        <f>1687+350+120</f>
        <v>2157</v>
      </c>
      <c r="R8" s="564">
        <f>I8-N8-O8-P8-Q8</f>
        <v>16069</v>
      </c>
      <c r="S8" s="573" t="s">
        <v>528</v>
      </c>
      <c r="T8" s="574"/>
      <c r="U8" s="576" t="s">
        <v>530</v>
      </c>
    </row>
    <row r="9" spans="1:25" ht="24.75" customHeight="1" x14ac:dyDescent="0.2">
      <c r="A9" s="559">
        <v>5</v>
      </c>
      <c r="B9" s="578" t="s">
        <v>539</v>
      </c>
      <c r="C9" s="561" t="s">
        <v>517</v>
      </c>
      <c r="D9" s="562" t="s">
        <v>518</v>
      </c>
      <c r="E9" s="579"/>
      <c r="F9" s="571" t="s">
        <v>540</v>
      </c>
      <c r="G9" s="564"/>
      <c r="H9" s="564"/>
      <c r="I9" s="564"/>
      <c r="J9" s="564"/>
      <c r="K9" s="564" t="s">
        <v>541</v>
      </c>
      <c r="L9" s="564"/>
      <c r="M9" s="564"/>
      <c r="N9" s="564"/>
      <c r="O9" s="564"/>
      <c r="P9" s="564">
        <v>0</v>
      </c>
      <c r="Q9" s="564">
        <v>500</v>
      </c>
      <c r="R9" s="564"/>
      <c r="S9" s="573"/>
      <c r="T9" s="580"/>
      <c r="U9" s="576" t="s">
        <v>530</v>
      </c>
    </row>
    <row r="10" spans="1:25" ht="25.5" customHeight="1" x14ac:dyDescent="0.2">
      <c r="A10" s="559">
        <v>6</v>
      </c>
      <c r="B10" s="578" t="s">
        <v>542</v>
      </c>
      <c r="C10" s="561" t="s">
        <v>517</v>
      </c>
      <c r="D10" s="570" t="s">
        <v>518</v>
      </c>
      <c r="E10" s="579" t="s">
        <v>543</v>
      </c>
      <c r="F10" s="571" t="s">
        <v>544</v>
      </c>
      <c r="G10" s="564"/>
      <c r="H10" s="564"/>
      <c r="I10" s="539"/>
      <c r="J10" s="564"/>
      <c r="K10" s="564"/>
      <c r="L10" s="564"/>
      <c r="M10" s="564"/>
      <c r="N10" s="564"/>
      <c r="O10" s="564"/>
      <c r="P10" s="564"/>
      <c r="Q10" s="564">
        <v>4000</v>
      </c>
      <c r="R10" s="564">
        <v>2000</v>
      </c>
      <c r="S10" s="573" t="s">
        <v>545</v>
      </c>
      <c r="T10" s="580"/>
      <c r="U10" s="576" t="s">
        <v>530</v>
      </c>
    </row>
    <row r="11" spans="1:25" ht="25.5" customHeight="1" x14ac:dyDescent="0.2">
      <c r="A11" s="559">
        <v>7</v>
      </c>
      <c r="B11" s="578" t="s">
        <v>546</v>
      </c>
      <c r="C11" s="581" t="s">
        <v>517</v>
      </c>
      <c r="D11" s="570" t="s">
        <v>518</v>
      </c>
      <c r="E11" s="579" t="s">
        <v>547</v>
      </c>
      <c r="F11" s="571" t="s">
        <v>520</v>
      </c>
      <c r="G11" s="564">
        <v>7079</v>
      </c>
      <c r="H11" s="564">
        <v>3500</v>
      </c>
      <c r="I11" s="564">
        <f>G11-H11-J300</f>
        <v>3579</v>
      </c>
      <c r="J11" s="564">
        <v>300</v>
      </c>
      <c r="K11" s="564"/>
      <c r="L11" s="564"/>
      <c r="M11" s="564"/>
      <c r="N11" s="564"/>
      <c r="O11" s="564"/>
      <c r="P11" s="564">
        <v>-900</v>
      </c>
      <c r="Q11" s="564">
        <f>I11-P11</f>
        <v>4479</v>
      </c>
      <c r="R11" s="564"/>
      <c r="S11" s="573"/>
      <c r="T11" s="580"/>
      <c r="U11" s="576" t="s">
        <v>548</v>
      </c>
    </row>
    <row r="12" spans="1:25" ht="25.5" customHeight="1" x14ac:dyDescent="0.2">
      <c r="A12" s="559">
        <v>8</v>
      </c>
      <c r="B12" s="578" t="s">
        <v>458</v>
      </c>
      <c r="C12" s="581" t="s">
        <v>517</v>
      </c>
      <c r="D12" s="570" t="s">
        <v>518</v>
      </c>
      <c r="E12" s="579"/>
      <c r="F12" s="571" t="s">
        <v>549</v>
      </c>
      <c r="G12" s="564">
        <v>25350</v>
      </c>
      <c r="H12" s="564"/>
      <c r="I12" s="539"/>
      <c r="J12" s="564"/>
      <c r="K12" s="564"/>
      <c r="L12" s="564"/>
      <c r="M12" s="564"/>
      <c r="N12" s="564"/>
      <c r="O12" s="564"/>
      <c r="P12" s="564"/>
      <c r="Q12" s="564">
        <v>2151</v>
      </c>
      <c r="R12" s="564">
        <v>2874</v>
      </c>
      <c r="S12" s="617" t="s">
        <v>550</v>
      </c>
      <c r="T12" s="618"/>
      <c r="U12" s="576" t="s">
        <v>551</v>
      </c>
    </row>
    <row r="13" spans="1:25" ht="25.5" customHeight="1" x14ac:dyDescent="0.2">
      <c r="A13" s="559">
        <v>9</v>
      </c>
      <c r="B13" s="578" t="s">
        <v>448</v>
      </c>
      <c r="C13" s="582" t="s">
        <v>552</v>
      </c>
      <c r="D13" s="570" t="s">
        <v>518</v>
      </c>
      <c r="E13" s="579" t="s">
        <v>553</v>
      </c>
      <c r="F13" s="571" t="s">
        <v>520</v>
      </c>
      <c r="G13" s="564">
        <v>650</v>
      </c>
      <c r="H13" s="564">
        <v>250</v>
      </c>
      <c r="I13" s="539">
        <f t="shared" ref="I13:I18" si="0">G13-H13</f>
        <v>400</v>
      </c>
      <c r="J13" s="564"/>
      <c r="K13" s="564">
        <v>2018</v>
      </c>
      <c r="L13" s="564"/>
      <c r="M13" s="564"/>
      <c r="N13" s="564"/>
      <c r="O13" s="564"/>
      <c r="P13" s="564"/>
      <c r="Q13" s="564">
        <v>400</v>
      </c>
      <c r="R13" s="564"/>
      <c r="S13" s="573"/>
      <c r="T13" s="580"/>
      <c r="U13" s="576" t="s">
        <v>554</v>
      </c>
    </row>
    <row r="14" spans="1:25" ht="25.5" customHeight="1" x14ac:dyDescent="0.2">
      <c r="A14" s="559">
        <v>10</v>
      </c>
      <c r="B14" s="578" t="s">
        <v>418</v>
      </c>
      <c r="C14" s="581" t="s">
        <v>555</v>
      </c>
      <c r="D14" s="570" t="s">
        <v>518</v>
      </c>
      <c r="E14" s="579" t="s">
        <v>556</v>
      </c>
      <c r="F14" s="571" t="s">
        <v>520</v>
      </c>
      <c r="G14" s="564">
        <v>1580</v>
      </c>
      <c r="H14" s="564">
        <v>1342</v>
      </c>
      <c r="I14" s="539">
        <f t="shared" si="0"/>
        <v>238</v>
      </c>
      <c r="J14" s="564"/>
      <c r="K14" s="564"/>
      <c r="L14" s="564"/>
      <c r="M14" s="564"/>
      <c r="N14" s="564"/>
      <c r="O14" s="564"/>
      <c r="P14" s="564">
        <v>1480</v>
      </c>
      <c r="Q14" s="564">
        <f>-1342+100</f>
        <v>-1242</v>
      </c>
      <c r="R14" s="564"/>
      <c r="S14" s="573"/>
      <c r="T14" s="580"/>
      <c r="U14" s="576" t="s">
        <v>554</v>
      </c>
    </row>
    <row r="15" spans="1:25" ht="25.5" customHeight="1" x14ac:dyDescent="0.2">
      <c r="A15" s="559">
        <v>11</v>
      </c>
      <c r="B15" s="583" t="s">
        <v>364</v>
      </c>
      <c r="C15" s="584" t="s">
        <v>517</v>
      </c>
      <c r="D15" s="562" t="s">
        <v>518</v>
      </c>
      <c r="E15" s="570" t="s">
        <v>557</v>
      </c>
      <c r="F15" s="563" t="s">
        <v>558</v>
      </c>
      <c r="G15" s="539">
        <v>7902</v>
      </c>
      <c r="H15" s="539">
        <v>6280</v>
      </c>
      <c r="I15" s="539">
        <f t="shared" si="0"/>
        <v>1622</v>
      </c>
      <c r="J15" s="539"/>
      <c r="K15" s="567" t="s">
        <v>559</v>
      </c>
      <c r="L15" s="539"/>
      <c r="M15" s="539"/>
      <c r="N15" s="539">
        <v>10</v>
      </c>
      <c r="O15" s="539">
        <v>70</v>
      </c>
      <c r="P15" s="539">
        <v>0</v>
      </c>
      <c r="Q15" s="539">
        <v>100</v>
      </c>
      <c r="R15" s="539">
        <f>I15-N15-O15-P15-Q15</f>
        <v>1442</v>
      </c>
      <c r="S15" s="539"/>
      <c r="T15" s="539"/>
      <c r="U15" s="576" t="s">
        <v>554</v>
      </c>
    </row>
    <row r="16" spans="1:25" ht="25.5" customHeight="1" x14ac:dyDescent="0.2">
      <c r="A16" s="559">
        <v>12</v>
      </c>
      <c r="B16" s="585" t="s">
        <v>370</v>
      </c>
      <c r="C16" s="582" t="s">
        <v>552</v>
      </c>
      <c r="D16" s="562" t="s">
        <v>518</v>
      </c>
      <c r="E16" s="586" t="s">
        <v>374</v>
      </c>
      <c r="F16" s="563" t="s">
        <v>520</v>
      </c>
      <c r="G16" s="539">
        <v>2414</v>
      </c>
      <c r="H16" s="539">
        <v>2293</v>
      </c>
      <c r="I16" s="539">
        <f t="shared" si="0"/>
        <v>121</v>
      </c>
      <c r="J16" s="539"/>
      <c r="K16" s="567" t="s">
        <v>559</v>
      </c>
      <c r="L16" s="539"/>
      <c r="M16" s="539"/>
      <c r="N16" s="539"/>
      <c r="O16" s="539"/>
      <c r="P16" s="539">
        <v>236</v>
      </c>
      <c r="Q16" s="539">
        <v>415</v>
      </c>
      <c r="R16" s="539">
        <f>I16-P16-Q16</f>
        <v>-530</v>
      </c>
      <c r="S16" s="539"/>
      <c r="T16" s="539"/>
      <c r="U16" s="587" t="s">
        <v>560</v>
      </c>
    </row>
    <row r="17" spans="1:21" ht="29.25" customHeight="1" x14ac:dyDescent="0.2">
      <c r="A17" s="559">
        <v>13</v>
      </c>
      <c r="B17" s="583" t="s">
        <v>561</v>
      </c>
      <c r="C17" s="582" t="s">
        <v>552</v>
      </c>
      <c r="D17" s="562" t="s">
        <v>518</v>
      </c>
      <c r="E17" s="586" t="s">
        <v>374</v>
      </c>
      <c r="F17" s="563" t="s">
        <v>520</v>
      </c>
      <c r="G17" s="539">
        <v>3424</v>
      </c>
      <c r="H17" s="539">
        <v>3252</v>
      </c>
      <c r="I17" s="539">
        <f t="shared" si="0"/>
        <v>172</v>
      </c>
      <c r="J17" s="539"/>
      <c r="K17" s="567" t="s">
        <v>559</v>
      </c>
      <c r="L17" s="539"/>
      <c r="M17" s="539"/>
      <c r="N17" s="539"/>
      <c r="O17" s="539"/>
      <c r="P17" s="539">
        <v>-463</v>
      </c>
      <c r="Q17" s="539">
        <v>1216</v>
      </c>
      <c r="R17" s="539">
        <f>I17-P17-Q17</f>
        <v>-581</v>
      </c>
      <c r="S17" s="539"/>
      <c r="T17" s="539"/>
      <c r="U17" s="587" t="s">
        <v>560</v>
      </c>
    </row>
    <row r="18" spans="1:21" s="541" customFormat="1" ht="25.5" customHeight="1" thickBot="1" x14ac:dyDescent="0.25">
      <c r="A18" s="559">
        <v>14</v>
      </c>
      <c r="B18" s="588" t="s">
        <v>325</v>
      </c>
      <c r="C18" s="589" t="s">
        <v>552</v>
      </c>
      <c r="D18" s="590" t="s">
        <v>518</v>
      </c>
      <c r="E18" s="590" t="s">
        <v>553</v>
      </c>
      <c r="F18" s="591" t="s">
        <v>562</v>
      </c>
      <c r="G18" s="592">
        <f>321+20</f>
        <v>341</v>
      </c>
      <c r="H18" s="592">
        <v>154</v>
      </c>
      <c r="I18" s="593">
        <f t="shared" si="0"/>
        <v>187</v>
      </c>
      <c r="J18" s="592"/>
      <c r="K18" s="592"/>
      <c r="L18" s="592"/>
      <c r="M18" s="592"/>
      <c r="N18" s="592"/>
      <c r="O18" s="592">
        <v>281</v>
      </c>
      <c r="P18" s="592">
        <f>20-154</f>
        <v>-134</v>
      </c>
      <c r="Q18" s="592">
        <v>40</v>
      </c>
      <c r="R18" s="592"/>
      <c r="S18" s="594"/>
      <c r="T18" s="595"/>
      <c r="U18" s="596" t="s">
        <v>554</v>
      </c>
    </row>
    <row r="19" spans="1:21" ht="13.5" thickBot="1" x14ac:dyDescent="0.25">
      <c r="A19" s="541"/>
      <c r="B19" s="597" t="s">
        <v>563</v>
      </c>
      <c r="C19" s="598"/>
      <c r="D19" s="599"/>
      <c r="E19" s="599"/>
      <c r="F19" s="599"/>
      <c r="G19" s="600">
        <f>SUM(G5:G18)</f>
        <v>254511</v>
      </c>
      <c r="H19" s="600">
        <f>SUM(H5:H18)</f>
        <v>75171</v>
      </c>
      <c r="I19" s="600">
        <f>SUM(I5:I18)</f>
        <v>100313</v>
      </c>
      <c r="J19" s="600"/>
      <c r="K19" s="600"/>
      <c r="L19" s="600">
        <f t="shared" ref="L19:R19" si="1">SUM(L5:L18)</f>
        <v>3033</v>
      </c>
      <c r="M19" s="600">
        <f t="shared" si="1"/>
        <v>1572</v>
      </c>
      <c r="N19" s="600">
        <f t="shared" si="1"/>
        <v>-2587</v>
      </c>
      <c r="O19" s="600">
        <f t="shared" si="1"/>
        <v>8097</v>
      </c>
      <c r="P19" s="600">
        <f t="shared" si="1"/>
        <v>35964</v>
      </c>
      <c r="Q19" s="600">
        <f t="shared" si="1"/>
        <v>56250</v>
      </c>
      <c r="R19" s="600">
        <f t="shared" si="1"/>
        <v>9509</v>
      </c>
      <c r="S19" s="601"/>
      <c r="T19" s="602"/>
      <c r="U19" s="603"/>
    </row>
    <row r="20" spans="1:21" ht="15.75" customHeight="1" thickBot="1" x14ac:dyDescent="0.25">
      <c r="B20" s="541" t="s">
        <v>564</v>
      </c>
      <c r="C20" s="543"/>
      <c r="G20" s="542"/>
      <c r="H20" s="542"/>
      <c r="I20" s="542"/>
      <c r="J20" s="542"/>
      <c r="K20" s="542"/>
      <c r="L20" s="542"/>
      <c r="M20" s="542"/>
      <c r="N20" s="542"/>
      <c r="O20" s="542"/>
      <c r="P20" s="542"/>
      <c r="Q20" s="542"/>
      <c r="R20" s="542"/>
      <c r="S20" s="542"/>
      <c r="T20" s="542"/>
    </row>
    <row r="21" spans="1:21" ht="36" customHeight="1" thickBot="1" x14ac:dyDescent="0.25">
      <c r="A21" s="559">
        <v>3</v>
      </c>
      <c r="B21" s="604" t="s">
        <v>565</v>
      </c>
      <c r="C21" s="605" t="s">
        <v>517</v>
      </c>
      <c r="D21" s="606" t="s">
        <v>518</v>
      </c>
      <c r="E21" s="607"/>
      <c r="F21" s="608" t="s">
        <v>566</v>
      </c>
      <c r="G21" s="609">
        <v>60000</v>
      </c>
      <c r="H21" s="609">
        <v>0</v>
      </c>
      <c r="I21" s="609">
        <f>G21-H21</f>
        <v>60000</v>
      </c>
      <c r="J21" s="609"/>
      <c r="K21" s="609" t="s">
        <v>567</v>
      </c>
      <c r="L21" s="609">
        <v>624</v>
      </c>
      <c r="M21" s="609">
        <v>328</v>
      </c>
      <c r="N21" s="609">
        <v>294</v>
      </c>
      <c r="O21" s="609">
        <v>2006</v>
      </c>
      <c r="P21" s="609">
        <v>177</v>
      </c>
      <c r="Q21" s="609"/>
      <c r="R21" s="609"/>
      <c r="S21" s="610" t="s">
        <v>568</v>
      </c>
      <c r="T21" s="611"/>
      <c r="U21" s="612" t="s">
        <v>569</v>
      </c>
    </row>
  </sheetData>
  <mergeCells count="1">
    <mergeCell ref="S12:T12"/>
  </mergeCells>
  <pageMargins left="0.15748031496062992" right="0.15748031496062992" top="0.27559055118110237" bottom="0.31496062992125984" header="0.31496062992125984" footer="0.31496062992125984"/>
  <pageSetup paperSize="9" scale="86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sumář</vt:lpstr>
      <vt:lpstr>příjmy</vt:lpstr>
      <vt:lpstr>výdaje</vt:lpstr>
      <vt:lpstr>okruhy rozpočtu</vt:lpstr>
      <vt:lpstr>Projekty</vt:lpstr>
      <vt:lpstr>příjmy!Názvy_tisku</vt:lpstr>
      <vt:lpstr>výdaje!Názvy_tisku</vt:lpstr>
      <vt:lpstr>příjmy!Oblast_tisku</vt:lpstr>
      <vt:lpstr>výdaje!Oblast_tisku</vt:lpstr>
    </vt:vector>
  </TitlesOfParts>
  <Company>Jilemnice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Jilemnice</dc:creator>
  <cp:lastModifiedBy>Město Jilemnice</cp:lastModifiedBy>
  <cp:lastPrinted>2018-02-12T10:13:57Z</cp:lastPrinted>
  <dcterms:created xsi:type="dcterms:W3CDTF">1999-02-03T10:11:29Z</dcterms:created>
  <dcterms:modified xsi:type="dcterms:W3CDTF">2018-02-12T10:16:53Z</dcterms:modified>
</cp:coreProperties>
</file>