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-15" yWindow="-15" windowWidth="28830" windowHeight="13860"/>
  </bookViews>
  <sheets>
    <sheet name="sumář" sheetId="1" r:id="rId1"/>
    <sheet name="příjmy" sheetId="2" r:id="rId2"/>
    <sheet name="výdaje" sheetId="3" r:id="rId3"/>
    <sheet name="okruhy rozpočtu" sheetId="14" r:id="rId4"/>
    <sheet name="Projekty" sheetId="20" r:id="rId5"/>
  </sheets>
  <definedNames>
    <definedName name="_xlnm.Print_Titles" localSheetId="1">příjmy!$A:$E,příjmy!$1:$3</definedName>
    <definedName name="_xlnm.Print_Titles" localSheetId="2">výdaje!$A:$D,výdaje!$1:$4</definedName>
    <definedName name="_xlnm.Print_Area" localSheetId="4">Projekty!$A$1:$U$25</definedName>
    <definedName name="_xlnm.Print_Area" localSheetId="1">příjmy!$A$1:$V$154</definedName>
    <definedName name="_xlnm.Print_Area" localSheetId="2">výdaje!$A$1:$AJ$126</definedName>
  </definedNames>
  <calcPr calcId="145621"/>
</workbook>
</file>

<file path=xl/calcChain.xml><?xml version="1.0" encoding="utf-8"?>
<calcChain xmlns="http://schemas.openxmlformats.org/spreadsheetml/2006/main">
  <c r="R11" i="20" l="1"/>
  <c r="I21" i="20" l="1"/>
  <c r="Q21" i="20" s="1"/>
  <c r="O20" i="20"/>
  <c r="G20" i="20"/>
  <c r="I20" i="20" s="1"/>
  <c r="I19" i="20"/>
  <c r="P19" i="20" s="1"/>
  <c r="P18" i="20"/>
  <c r="I18" i="20"/>
  <c r="J17" i="20"/>
  <c r="H17" i="20"/>
  <c r="I17" i="20" s="1"/>
  <c r="P17" i="20" s="1"/>
  <c r="O15" i="20"/>
  <c r="N15" i="20"/>
  <c r="M15" i="20"/>
  <c r="J15" i="20"/>
  <c r="H15" i="20"/>
  <c r="I14" i="20"/>
  <c r="R14" i="20" s="1"/>
  <c r="I13" i="20"/>
  <c r="Q13" i="20" s="1"/>
  <c r="I12" i="20"/>
  <c r="Q12" i="20" s="1"/>
  <c r="I11" i="20"/>
  <c r="R10" i="20"/>
  <c r="Q10" i="20"/>
  <c r="P10" i="20"/>
  <c r="P15" i="20" s="1"/>
  <c r="G7" i="20"/>
  <c r="G15" i="20" s="1"/>
  <c r="R6" i="20"/>
  <c r="L6" i="20"/>
  <c r="I6" i="20"/>
  <c r="L5" i="20"/>
  <c r="L15" i="20" s="1"/>
  <c r="I5" i="20"/>
  <c r="Q5" i="20" s="1"/>
  <c r="Q15" i="20" l="1"/>
  <c r="R15" i="20"/>
  <c r="I7" i="20"/>
  <c r="I15" i="20" s="1"/>
  <c r="Y100" i="3"/>
  <c r="U65" i="2" l="1"/>
  <c r="H30" i="14" l="1"/>
  <c r="AD45" i="3" l="1"/>
  <c r="AD103" i="3"/>
  <c r="AH103" i="3" l="1"/>
  <c r="AD55" i="3" l="1"/>
  <c r="Y116" i="3" l="1"/>
  <c r="AE61" i="3" l="1"/>
  <c r="Y113" i="3" l="1"/>
  <c r="Y103" i="3"/>
  <c r="Y6" i="3"/>
  <c r="AD63" i="3"/>
  <c r="AD36" i="3"/>
  <c r="AD33" i="3"/>
  <c r="AD66" i="3"/>
  <c r="AE23" i="3" l="1"/>
  <c r="AF34" i="3"/>
  <c r="H113" i="3" l="1"/>
  <c r="H122" i="3"/>
  <c r="J42" i="3" l="1"/>
  <c r="AA70" i="3" l="1"/>
  <c r="Z42" i="3"/>
  <c r="I48" i="3"/>
  <c r="H48" i="3"/>
  <c r="I75" i="3"/>
  <c r="O70" i="2"/>
  <c r="O50" i="2"/>
  <c r="O69" i="2"/>
  <c r="O20" i="2" l="1"/>
  <c r="Z114" i="3"/>
  <c r="Y114" i="3" s="1"/>
  <c r="Z110" i="3"/>
  <c r="Y110" i="3" s="1"/>
  <c r="Y104" i="3"/>
  <c r="Y99" i="3"/>
  <c r="H93" i="3"/>
  <c r="Y93" i="3"/>
  <c r="AA83" i="3"/>
  <c r="Y89" i="3"/>
  <c r="Y81" i="3"/>
  <c r="Z75" i="3"/>
  <c r="Y75" i="3"/>
  <c r="AB74" i="3"/>
  <c r="Z60" i="3"/>
  <c r="AA60" i="3" s="1"/>
  <c r="Y63" i="3"/>
  <c r="Y62" i="3"/>
  <c r="Z52" i="3"/>
  <c r="Y52" i="3"/>
  <c r="AB56" i="3"/>
  <c r="Z48" i="3"/>
  <c r="Y48" i="3"/>
  <c r="Y42" i="3"/>
  <c r="Y36" i="3"/>
  <c r="Y35" i="3"/>
  <c r="Y33" i="3"/>
  <c r="Y29" i="3"/>
  <c r="Z23" i="3"/>
  <c r="AA23" i="3" s="1"/>
  <c r="Y17" i="3"/>
  <c r="AA22" i="3"/>
  <c r="J23" i="3"/>
  <c r="AC86" i="3"/>
  <c r="AC74" i="3"/>
  <c r="AC65" i="3"/>
  <c r="AC56" i="3"/>
  <c r="AC31" i="3"/>
  <c r="T146" i="2"/>
  <c r="O131" i="2" l="1"/>
  <c r="O130" i="2"/>
  <c r="O77" i="2"/>
  <c r="O76" i="2" s="1"/>
  <c r="O58" i="2"/>
  <c r="O117" i="2"/>
  <c r="O54" i="2"/>
  <c r="O80" i="2"/>
  <c r="O60" i="2"/>
  <c r="O90" i="2"/>
  <c r="O98" i="2"/>
  <c r="O63" i="2"/>
  <c r="O53" i="2"/>
  <c r="O66" i="2"/>
  <c r="O95" i="2"/>
  <c r="O57" i="2"/>
  <c r="O114" i="2"/>
  <c r="O83" i="2"/>
  <c r="O22" i="2"/>
  <c r="O35" i="2"/>
  <c r="O30" i="2" s="1"/>
  <c r="O17" i="2"/>
  <c r="O15" i="2"/>
  <c r="I99" i="3"/>
  <c r="H110" i="3" l="1"/>
  <c r="H98" i="2"/>
  <c r="P98" i="2" s="1"/>
  <c r="I22" i="3"/>
  <c r="H22" i="3"/>
  <c r="J22" i="3" s="1"/>
  <c r="H83" i="3"/>
  <c r="G132" i="2"/>
  <c r="H151" i="2"/>
  <c r="T151" i="2" s="1"/>
  <c r="G120" i="2"/>
  <c r="G124" i="2"/>
  <c r="H142" i="2"/>
  <c r="H6" i="3"/>
  <c r="H129" i="2"/>
  <c r="P129" i="2" s="1"/>
  <c r="Q151" i="2" l="1"/>
  <c r="Q142" i="2"/>
  <c r="S142" i="2"/>
  <c r="T142" i="2" s="1"/>
  <c r="P151" i="2"/>
  <c r="P142" i="2"/>
  <c r="Q146" i="2" l="1"/>
  <c r="Q129" i="2"/>
  <c r="Q98" i="2"/>
  <c r="Q97" i="2"/>
  <c r="Q78" i="2"/>
  <c r="Q62" i="2"/>
  <c r="Q46" i="2"/>
  <c r="I17" i="3" l="1"/>
  <c r="H117" i="3" l="1"/>
  <c r="H125" i="3"/>
  <c r="H79" i="3"/>
  <c r="S120" i="2" l="1"/>
  <c r="U58" i="2" l="1"/>
  <c r="AD108" i="3" l="1"/>
  <c r="U57" i="2"/>
  <c r="AF56" i="3" l="1"/>
  <c r="AD95" i="3"/>
  <c r="AD70" i="3" l="1"/>
  <c r="AH40" i="3" l="1"/>
  <c r="AD51" i="3" l="1"/>
  <c r="AD32" i="3"/>
  <c r="AF31" i="3"/>
  <c r="AH24" i="3"/>
  <c r="AH33" i="3" l="1"/>
  <c r="AH56" i="3" l="1"/>
  <c r="W113" i="2" l="1"/>
  <c r="U15" i="2" l="1"/>
  <c r="H123" i="3" l="1"/>
  <c r="H94" i="2"/>
  <c r="H96" i="2"/>
  <c r="G128" i="2"/>
  <c r="H114" i="3"/>
  <c r="H103" i="3"/>
  <c r="P96" i="2" l="1"/>
  <c r="Q96" i="2"/>
  <c r="S96" i="2"/>
  <c r="T96" i="2" s="1"/>
  <c r="P94" i="2"/>
  <c r="Q94" i="2"/>
  <c r="S94" i="2"/>
  <c r="T94" i="2" s="1"/>
  <c r="AF65" i="3"/>
  <c r="AH112" i="3"/>
  <c r="AD112" i="3"/>
  <c r="AH108" i="3"/>
  <c r="AH95" i="3"/>
  <c r="AH87" i="3"/>
  <c r="AD87" i="3"/>
  <c r="AH6" i="3"/>
  <c r="AH45" i="3"/>
  <c r="AD6" i="3"/>
  <c r="AH35" i="3" l="1"/>
  <c r="V67" i="2"/>
  <c r="U17" i="2" l="1"/>
  <c r="U60" i="2" l="1"/>
  <c r="AH53" i="3"/>
  <c r="AD53" i="3"/>
  <c r="H148" i="2" l="1"/>
  <c r="D23" i="1"/>
  <c r="T148" i="2" l="1"/>
  <c r="Q148" i="2"/>
  <c r="P148" i="2"/>
  <c r="AF74" i="3"/>
  <c r="AF86" i="3"/>
  <c r="AH117" i="3"/>
  <c r="AD75" i="3"/>
  <c r="AD35" i="3" l="1"/>
  <c r="AF60" i="3"/>
  <c r="U30" i="2" l="1"/>
  <c r="AH64" i="3" l="1"/>
  <c r="AD64" i="3"/>
  <c r="AH104" i="3"/>
  <c r="AD104" i="3"/>
  <c r="U63" i="2" l="1"/>
  <c r="AD89" i="3" l="1"/>
  <c r="U54" i="2"/>
  <c r="U72" i="2"/>
  <c r="U66" i="2" l="1"/>
  <c r="AH36" i="3" l="1"/>
  <c r="S107" i="2" l="1"/>
  <c r="AH99" i="3" l="1"/>
  <c r="U76" i="2" l="1"/>
  <c r="AH79" i="3"/>
  <c r="U131" i="2" l="1"/>
  <c r="AD18" i="3" l="1"/>
  <c r="AH27" i="3" l="1"/>
  <c r="AD79" i="3" l="1"/>
  <c r="H52" i="3" l="1"/>
  <c r="H141" i="2"/>
  <c r="G90" i="2"/>
  <c r="H33" i="3"/>
  <c r="H127" i="2"/>
  <c r="S141" i="2" l="1"/>
  <c r="T141" i="2" s="1"/>
  <c r="Q141" i="2"/>
  <c r="P141" i="2"/>
  <c r="S127" i="2"/>
  <c r="T127" i="2" s="1"/>
  <c r="Q127" i="2"/>
  <c r="P127" i="2"/>
  <c r="N127" i="2"/>
  <c r="AP38" i="3" l="1"/>
  <c r="AP71" i="3" l="1"/>
  <c r="AP122" i="3"/>
  <c r="AQ124" i="3"/>
  <c r="AQ123" i="3"/>
  <c r="AQ122" i="3"/>
  <c r="AQ121" i="3"/>
  <c r="AQ120" i="3"/>
  <c r="AQ119" i="3"/>
  <c r="AQ116" i="3" l="1"/>
  <c r="AQ115" i="3"/>
  <c r="AQ113" i="3"/>
  <c r="AQ112" i="3"/>
  <c r="AQ109" i="3"/>
  <c r="AQ102" i="3"/>
  <c r="AQ100" i="3"/>
  <c r="AQ98" i="3"/>
  <c r="AQ97" i="3"/>
  <c r="AQ96" i="3"/>
  <c r="AQ95" i="3"/>
  <c r="AQ94" i="3"/>
  <c r="AQ92" i="3"/>
  <c r="AQ91" i="3"/>
  <c r="AQ89" i="3"/>
  <c r="AQ88" i="3"/>
  <c r="AQ87" i="3"/>
  <c r="AQ85" i="3"/>
  <c r="AQ84" i="3"/>
  <c r="AQ83" i="3"/>
  <c r="AQ82" i="3"/>
  <c r="AQ80" i="3"/>
  <c r="AQ79" i="3"/>
  <c r="AQ78" i="3"/>
  <c r="AQ77" i="3"/>
  <c r="AQ76" i="3"/>
  <c r="AQ72" i="3"/>
  <c r="AQ71" i="3"/>
  <c r="AQ70" i="3"/>
  <c r="AQ66" i="3"/>
  <c r="AQ64" i="3"/>
  <c r="AQ57" i="3"/>
  <c r="AQ55" i="3"/>
  <c r="AQ54" i="3"/>
  <c r="AQ53" i="3"/>
  <c r="AQ51" i="3"/>
  <c r="AQ50" i="3"/>
  <c r="AQ49" i="3"/>
  <c r="AQ47" i="3"/>
  <c r="AQ46" i="3"/>
  <c r="AQ45" i="3"/>
  <c r="AP32" i="3"/>
  <c r="AP42" i="3"/>
  <c r="AQ39" i="3"/>
  <c r="AQ38" i="3"/>
  <c r="AQ35" i="3"/>
  <c r="AQ33" i="3"/>
  <c r="AQ32" i="3"/>
  <c r="AQ30" i="3"/>
  <c r="AQ29" i="3"/>
  <c r="AP22" i="3"/>
  <c r="AP23" i="3"/>
  <c r="AQ14" i="3"/>
  <c r="AP7" i="3"/>
  <c r="S131" i="2" l="1"/>
  <c r="S119" i="2"/>
  <c r="S113" i="2"/>
  <c r="S106" i="2"/>
  <c r="S91" i="2"/>
  <c r="S92" i="2"/>
  <c r="S93" i="2"/>
  <c r="S79" i="2"/>
  <c r="S78" i="2"/>
  <c r="S75" i="2"/>
  <c r="S74" i="2"/>
  <c r="S73" i="2"/>
  <c r="S71" i="2"/>
  <c r="S70" i="2"/>
  <c r="S65" i="2"/>
  <c r="S59" i="2"/>
  <c r="S56" i="2"/>
  <c r="S55" i="2"/>
  <c r="S52" i="2"/>
  <c r="T62" i="2"/>
  <c r="S51" i="2"/>
  <c r="S49" i="2"/>
  <c r="S48" i="2"/>
  <c r="S45" i="2"/>
  <c r="S44" i="2"/>
  <c r="S43" i="2"/>
  <c r="S33" i="2"/>
  <c r="S24" i="2" l="1"/>
  <c r="S16" i="2"/>
  <c r="S18" i="2"/>
  <c r="S19" i="2"/>
  <c r="S21" i="2"/>
  <c r="S23" i="2"/>
  <c r="AF22" i="3" l="1"/>
  <c r="U113" i="3" l="1"/>
  <c r="U87" i="3"/>
  <c r="U51" i="3"/>
  <c r="U45" i="3"/>
  <c r="U95" i="3"/>
  <c r="U103" i="3"/>
  <c r="U6" i="3"/>
  <c r="U108" i="3"/>
  <c r="U112" i="3"/>
  <c r="U115" i="3"/>
  <c r="AP115" i="3" s="1"/>
  <c r="U116" i="3"/>
  <c r="AP116" i="3" s="1"/>
  <c r="M69" i="2" l="1"/>
  <c r="S69" i="2" s="1"/>
  <c r="M50" i="2"/>
  <c r="S50" i="2" s="1"/>
  <c r="M25" i="2" l="1"/>
  <c r="M20" i="2"/>
  <c r="S20" i="2" s="1"/>
  <c r="M31" i="2"/>
  <c r="V114" i="3" l="1"/>
  <c r="U114" i="3" s="1"/>
  <c r="V110" i="3"/>
  <c r="U110" i="3" s="1"/>
  <c r="U104" i="3"/>
  <c r="U99" i="3" l="1"/>
  <c r="V93" i="3"/>
  <c r="U93" i="3"/>
  <c r="V75" i="3" l="1"/>
  <c r="U75" i="3"/>
  <c r="V61" i="3" l="1"/>
  <c r="W60" i="3"/>
  <c r="U59" i="3"/>
  <c r="U63" i="3"/>
  <c r="V62" i="3" s="1"/>
  <c r="U62" i="3"/>
  <c r="M58" i="2"/>
  <c r="S58" i="2" s="1"/>
  <c r="M53" i="2"/>
  <c r="M72" i="2"/>
  <c r="S72" i="2" s="1"/>
  <c r="M54" i="2"/>
  <c r="S54" i="2" s="1"/>
  <c r="V52" i="3" l="1"/>
  <c r="U52" i="3"/>
  <c r="V48" i="3"/>
  <c r="U48" i="3"/>
  <c r="U42" i="3"/>
  <c r="V42" i="3"/>
  <c r="U36" i="3"/>
  <c r="U35" i="3"/>
  <c r="U33" i="3"/>
  <c r="U29" i="3"/>
  <c r="W22" i="3"/>
  <c r="V17" i="3"/>
  <c r="M77" i="2" l="1"/>
  <c r="M130" i="2"/>
  <c r="M117" i="2"/>
  <c r="S117" i="2" s="1"/>
  <c r="M80" i="2"/>
  <c r="S80" i="2" s="1"/>
  <c r="M60" i="2"/>
  <c r="H147" i="2"/>
  <c r="T147" i="2" l="1"/>
  <c r="Q147" i="2"/>
  <c r="P147" i="2"/>
  <c r="N147" i="2"/>
  <c r="M76" i="2"/>
  <c r="S77" i="2"/>
  <c r="M63" i="2"/>
  <c r="S63" i="2" s="1"/>
  <c r="M66" i="2" l="1"/>
  <c r="S66" i="2" s="1"/>
  <c r="M95" i="2"/>
  <c r="S95" i="2" s="1"/>
  <c r="M57" i="2"/>
  <c r="S57" i="2" s="1"/>
  <c r="M98" i="2"/>
  <c r="S98" i="2" s="1"/>
  <c r="T98" i="2" s="1"/>
  <c r="H133" i="2"/>
  <c r="S133" i="2" l="1"/>
  <c r="T133" i="2" s="1"/>
  <c r="Q133" i="2"/>
  <c r="P133" i="2"/>
  <c r="N133" i="2"/>
  <c r="M114" i="2"/>
  <c r="M22" i="2"/>
  <c r="S22" i="2" s="1"/>
  <c r="M83" i="2"/>
  <c r="M35" i="2"/>
  <c r="M30" i="2" s="1"/>
  <c r="M17" i="2"/>
  <c r="S17" i="2" s="1"/>
  <c r="M15" i="2"/>
  <c r="S15" i="2" s="1"/>
  <c r="H139" i="2" l="1"/>
  <c r="H29" i="3"/>
  <c r="G123" i="2"/>
  <c r="S139" i="2" l="1"/>
  <c r="T139" i="2" s="1"/>
  <c r="Q139" i="2"/>
  <c r="P139" i="2"/>
  <c r="N139" i="2"/>
  <c r="I12" i="3" l="1"/>
  <c r="H18" i="3"/>
  <c r="H128" i="2" l="1"/>
  <c r="H104" i="3"/>
  <c r="G137" i="2"/>
  <c r="S128" i="2" l="1"/>
  <c r="T128" i="2" s="1"/>
  <c r="Q128" i="2"/>
  <c r="P128" i="2"/>
  <c r="N128" i="2"/>
  <c r="H38" i="3" l="1"/>
  <c r="G140" i="2"/>
  <c r="H126" i="2"/>
  <c r="S126" i="2" l="1"/>
  <c r="T126" i="2" s="1"/>
  <c r="Q126" i="2"/>
  <c r="P126" i="2"/>
  <c r="N126" i="2"/>
  <c r="I25" i="1" l="1"/>
  <c r="Q6" i="3" l="1"/>
  <c r="Q87" i="3"/>
  <c r="Q57" i="3"/>
  <c r="Q51" i="3"/>
  <c r="Q45" i="3"/>
  <c r="Q95" i="3"/>
  <c r="Q103" i="3"/>
  <c r="Q108" i="3"/>
  <c r="Q112" i="3"/>
  <c r="Q115" i="3"/>
  <c r="Q116" i="3"/>
  <c r="Q114" i="3"/>
  <c r="K77" i="2" l="1"/>
  <c r="K131" i="2"/>
  <c r="K130" i="2" s="1"/>
  <c r="K58" i="2"/>
  <c r="K70" i="2"/>
  <c r="K69" i="2"/>
  <c r="K50" i="2"/>
  <c r="K117" i="2"/>
  <c r="K54" i="2"/>
  <c r="K80" i="2"/>
  <c r="L126" i="2"/>
  <c r="K63" i="2"/>
  <c r="K66" i="2"/>
  <c r="K95" i="2"/>
  <c r="K57" i="2"/>
  <c r="K76" i="2" l="1"/>
  <c r="K22" i="2"/>
  <c r="K83" i="2"/>
  <c r="K35" i="2"/>
  <c r="K17" i="2"/>
  <c r="K15" i="2"/>
  <c r="K29" i="2"/>
  <c r="K30" i="2" l="1"/>
  <c r="R48" i="3"/>
  <c r="Q48" i="3" s="1"/>
  <c r="Q110" i="3"/>
  <c r="Q104" i="3"/>
  <c r="Q99" i="3"/>
  <c r="Q89" i="3"/>
  <c r="Q75" i="3"/>
  <c r="Q64" i="3"/>
  <c r="Q63" i="3"/>
  <c r="Q62" i="3"/>
  <c r="S60" i="3"/>
  <c r="S61" i="3"/>
  <c r="Q59" i="3"/>
  <c r="Q52" i="3"/>
  <c r="Q36" i="3"/>
  <c r="Q32" i="3"/>
  <c r="Q29" i="3"/>
  <c r="H36" i="3"/>
  <c r="S22" i="3"/>
  <c r="R20" i="3"/>
  <c r="H91" i="2" l="1"/>
  <c r="H125" i="2"/>
  <c r="S125" i="2" l="1"/>
  <c r="T125" i="2" s="1"/>
  <c r="Q125" i="2"/>
  <c r="P125" i="2"/>
  <c r="T91" i="2"/>
  <c r="P91" i="2"/>
  <c r="Q91" i="2"/>
  <c r="N125" i="2"/>
  <c r="N91" i="2"/>
  <c r="L125" i="2"/>
  <c r="L91" i="2"/>
  <c r="I52" i="3"/>
  <c r="K52" i="3" s="1"/>
  <c r="AQ52" i="3" s="1"/>
  <c r="H52" i="2"/>
  <c r="T52" i="2" l="1"/>
  <c r="P52" i="2"/>
  <c r="Q52" i="2"/>
  <c r="N52" i="2"/>
  <c r="H140" i="2"/>
  <c r="H124" i="2"/>
  <c r="S140" i="2" l="1"/>
  <c r="T140" i="2" s="1"/>
  <c r="Q140" i="2"/>
  <c r="S124" i="2"/>
  <c r="T124" i="2" s="1"/>
  <c r="Q124" i="2"/>
  <c r="P124" i="2"/>
  <c r="N124" i="2"/>
  <c r="L124" i="2"/>
  <c r="H134" i="2" l="1"/>
  <c r="G95" i="2"/>
  <c r="H95" i="2" s="1"/>
  <c r="T95" i="2" l="1"/>
  <c r="P95" i="2"/>
  <c r="Q95" i="2"/>
  <c r="S134" i="2"/>
  <c r="T134" i="2" s="1"/>
  <c r="Q134" i="2"/>
  <c r="P134" i="2"/>
  <c r="N95" i="2"/>
  <c r="N134" i="2"/>
  <c r="L95" i="2"/>
  <c r="L134" i="2"/>
  <c r="M14" i="3"/>
  <c r="M87" i="3"/>
  <c r="M51" i="3"/>
  <c r="M45" i="3"/>
  <c r="M95" i="3"/>
  <c r="M103" i="3"/>
  <c r="M6" i="3"/>
  <c r="M108" i="3"/>
  <c r="M112" i="3"/>
  <c r="M115" i="3"/>
  <c r="M116" i="3"/>
  <c r="M114" i="3"/>
  <c r="M52" i="3" l="1"/>
  <c r="M104" i="3"/>
  <c r="M89" i="3"/>
  <c r="M70" i="3"/>
  <c r="O41" i="3"/>
  <c r="M32" i="3"/>
  <c r="O22" i="3"/>
  <c r="I83" i="2"/>
  <c r="I131" i="2"/>
  <c r="I130" i="2" s="1"/>
  <c r="I77" i="2"/>
  <c r="I76" i="2" s="1"/>
  <c r="I58" i="2"/>
  <c r="I69" i="2"/>
  <c r="I50" i="2"/>
  <c r="I117" i="2"/>
  <c r="I54" i="2"/>
  <c r="I63" i="2"/>
  <c r="I30" i="2"/>
  <c r="I57" i="2"/>
  <c r="I22" i="2"/>
  <c r="I17" i="2"/>
  <c r="I64" i="2" l="1"/>
  <c r="I15" i="2"/>
  <c r="H93" i="2" l="1"/>
  <c r="H150" i="2"/>
  <c r="H123" i="2"/>
  <c r="H132" i="2"/>
  <c r="S123" i="2" l="1"/>
  <c r="T123" i="2" s="1"/>
  <c r="Q123" i="2"/>
  <c r="P123" i="2"/>
  <c r="Q150" i="2"/>
  <c r="P150" i="2"/>
  <c r="T93" i="2"/>
  <c r="P93" i="2"/>
  <c r="Q93" i="2"/>
  <c r="S132" i="2"/>
  <c r="T132" i="2" s="1"/>
  <c r="Q132" i="2"/>
  <c r="P132" i="2"/>
  <c r="S150" i="2"/>
  <c r="T150" i="2" s="1"/>
  <c r="N132" i="2"/>
  <c r="N150" i="2"/>
  <c r="N123" i="2"/>
  <c r="N93" i="2"/>
  <c r="L132" i="2"/>
  <c r="L123" i="2"/>
  <c r="L150" i="2"/>
  <c r="L93" i="2"/>
  <c r="J123" i="2"/>
  <c r="J150" i="2"/>
  <c r="J132" i="2"/>
  <c r="F99" i="3"/>
  <c r="E99" i="3"/>
  <c r="F125" i="3"/>
  <c r="E125" i="3"/>
  <c r="K22" i="3" l="1"/>
  <c r="F23" i="3"/>
  <c r="G22" i="3"/>
  <c r="O60" i="3"/>
  <c r="J60" i="3"/>
  <c r="AP60" i="3" s="1"/>
  <c r="K60" i="3"/>
  <c r="AQ60" i="3" s="1"/>
  <c r="G60" i="3"/>
  <c r="AG60" i="3" s="1"/>
  <c r="H61" i="2"/>
  <c r="Q61" i="2" s="1"/>
  <c r="AI22" i="3" l="1"/>
  <c r="AG22" i="3"/>
  <c r="L22" i="3"/>
  <c r="AB22" i="3" s="1"/>
  <c r="AQ22" i="3"/>
  <c r="S61" i="2"/>
  <c r="T61" i="2" s="1"/>
  <c r="L60" i="3"/>
  <c r="P61" i="2"/>
  <c r="N61" i="2"/>
  <c r="AQ90" i="3"/>
  <c r="AQ67" i="3"/>
  <c r="AP67" i="3"/>
  <c r="AQ5" i="3"/>
  <c r="K99" i="3"/>
  <c r="J94" i="3"/>
  <c r="L94" i="3" s="1"/>
  <c r="J96" i="3"/>
  <c r="J97" i="3"/>
  <c r="L97" i="3" s="1"/>
  <c r="J98" i="3"/>
  <c r="L98" i="3" s="1"/>
  <c r="J75" i="3"/>
  <c r="AP75" i="3" s="1"/>
  <c r="J76" i="3"/>
  <c r="J77" i="3"/>
  <c r="J78" i="3"/>
  <c r="J59" i="3"/>
  <c r="AP59" i="3" s="1"/>
  <c r="K59" i="3"/>
  <c r="AQ59" i="3" s="1"/>
  <c r="J61" i="3"/>
  <c r="AP61" i="3" s="1"/>
  <c r="J62" i="3"/>
  <c r="AP62" i="3" s="1"/>
  <c r="K62" i="3"/>
  <c r="AQ62" i="3" s="1"/>
  <c r="J63" i="3"/>
  <c r="AP63" i="3" s="1"/>
  <c r="K63" i="3"/>
  <c r="AQ63" i="3" s="1"/>
  <c r="K48" i="3"/>
  <c r="AQ48" i="3" s="1"/>
  <c r="AQ44" i="3" s="1"/>
  <c r="J49" i="3"/>
  <c r="J50" i="3"/>
  <c r="J52" i="3"/>
  <c r="J53" i="3"/>
  <c r="J54" i="3"/>
  <c r="K41" i="3"/>
  <c r="AQ41" i="3" s="1"/>
  <c r="K42" i="3"/>
  <c r="L42" i="3" s="1"/>
  <c r="K43" i="3"/>
  <c r="AQ43" i="3" s="1"/>
  <c r="K37" i="3"/>
  <c r="K36" i="3"/>
  <c r="J37" i="3"/>
  <c r="AP37" i="3" s="1"/>
  <c r="K12" i="3"/>
  <c r="AQ12" i="3" s="1"/>
  <c r="K7" i="3"/>
  <c r="L7" i="3" s="1"/>
  <c r="AH118" i="3"/>
  <c r="AH106" i="3"/>
  <c r="AH101" i="3"/>
  <c r="AH90" i="3"/>
  <c r="AH69" i="3"/>
  <c r="AH67" i="3"/>
  <c r="AH58" i="3"/>
  <c r="AH44" i="3"/>
  <c r="AH28" i="3"/>
  <c r="AH16" i="3"/>
  <c r="AH10" i="3"/>
  <c r="AH5" i="3"/>
  <c r="AF125" i="3"/>
  <c r="AF124" i="3"/>
  <c r="AF123" i="3"/>
  <c r="AF122" i="3"/>
  <c r="AF121" i="3"/>
  <c r="AF120" i="3"/>
  <c r="AF119" i="3"/>
  <c r="AE118" i="3"/>
  <c r="AD118" i="3"/>
  <c r="AF117" i="3"/>
  <c r="AF116" i="3"/>
  <c r="AF115" i="3"/>
  <c r="AF113" i="3"/>
  <c r="AF112" i="3"/>
  <c r="AF110" i="3"/>
  <c r="AF109" i="3"/>
  <c r="AF108" i="3"/>
  <c r="AF107" i="3"/>
  <c r="AE106" i="3"/>
  <c r="AD106" i="3"/>
  <c r="AF105" i="3"/>
  <c r="AF104" i="3"/>
  <c r="AF103" i="3"/>
  <c r="AF102" i="3"/>
  <c r="AE101" i="3"/>
  <c r="AD101" i="3"/>
  <c r="AF100" i="3"/>
  <c r="AF99" i="3"/>
  <c r="AF98" i="3"/>
  <c r="AF97" i="3"/>
  <c r="AF96" i="3"/>
  <c r="AF95" i="3"/>
  <c r="AF94" i="3"/>
  <c r="AF93" i="3"/>
  <c r="AF92" i="3"/>
  <c r="AF91" i="3"/>
  <c r="AE90" i="3"/>
  <c r="AD90" i="3"/>
  <c r="AF89" i="3"/>
  <c r="AF88" i="3"/>
  <c r="AF87" i="3"/>
  <c r="AF85" i="3"/>
  <c r="AF84" i="3"/>
  <c r="AF83" i="3"/>
  <c r="AF82" i="3"/>
  <c r="AF81" i="3"/>
  <c r="AF80" i="3"/>
  <c r="AF79" i="3"/>
  <c r="AF78" i="3"/>
  <c r="AF77" i="3"/>
  <c r="AF76" i="3"/>
  <c r="AF75" i="3"/>
  <c r="AF73" i="3"/>
  <c r="AF72" i="3"/>
  <c r="AF71" i="3"/>
  <c r="AF70" i="3"/>
  <c r="AE69" i="3"/>
  <c r="AD69" i="3"/>
  <c r="AF68" i="3"/>
  <c r="AE67" i="3"/>
  <c r="AD67" i="3"/>
  <c r="AF66" i="3"/>
  <c r="AF64" i="3"/>
  <c r="AF63" i="3"/>
  <c r="AF62" i="3"/>
  <c r="AF61" i="3"/>
  <c r="AF59" i="3"/>
  <c r="AE58" i="3"/>
  <c r="AD58" i="3"/>
  <c r="AF57" i="3"/>
  <c r="AF55" i="3"/>
  <c r="AF54" i="3"/>
  <c r="AF53" i="3"/>
  <c r="AF52" i="3"/>
  <c r="AF51" i="3"/>
  <c r="AF50" i="3"/>
  <c r="AF49" i="3"/>
  <c r="AF48" i="3"/>
  <c r="AF47" i="3"/>
  <c r="AF46" i="3"/>
  <c r="AF45" i="3"/>
  <c r="AE44" i="3"/>
  <c r="AD44" i="3"/>
  <c r="AF43" i="3"/>
  <c r="AF42" i="3"/>
  <c r="AF41" i="3"/>
  <c r="AF40" i="3"/>
  <c r="AF39" i="3"/>
  <c r="AF38" i="3"/>
  <c r="AF37" i="3"/>
  <c r="AF36" i="3"/>
  <c r="AF35" i="3"/>
  <c r="AF33" i="3"/>
  <c r="AF32" i="3"/>
  <c r="AF30" i="3"/>
  <c r="AF29" i="3"/>
  <c r="AE28" i="3"/>
  <c r="AD28" i="3"/>
  <c r="AF27" i="3"/>
  <c r="AF26" i="3"/>
  <c r="AF25" i="3"/>
  <c r="AF24" i="3"/>
  <c r="AF23" i="3"/>
  <c r="AF21" i="3"/>
  <c r="AF20" i="3"/>
  <c r="AF19" i="3"/>
  <c r="AF18" i="3"/>
  <c r="AF17" i="3"/>
  <c r="AE16" i="3"/>
  <c r="AD16" i="3"/>
  <c r="AF15" i="3"/>
  <c r="AF14" i="3"/>
  <c r="AF13" i="3"/>
  <c r="AF12" i="3"/>
  <c r="AF11" i="3"/>
  <c r="AE10" i="3"/>
  <c r="AD10" i="3"/>
  <c r="AF9" i="3"/>
  <c r="AF8" i="3"/>
  <c r="AF7" i="3"/>
  <c r="AF6" i="3"/>
  <c r="AE5" i="3"/>
  <c r="AD5" i="3"/>
  <c r="AA125" i="3"/>
  <c r="AA124" i="3"/>
  <c r="AA123" i="3"/>
  <c r="AA122" i="3"/>
  <c r="AA121" i="3"/>
  <c r="AA120" i="3"/>
  <c r="AA119" i="3"/>
  <c r="Z118" i="3"/>
  <c r="Y118" i="3"/>
  <c r="AA117" i="3"/>
  <c r="AA116" i="3"/>
  <c r="AA115" i="3"/>
  <c r="AA114" i="3"/>
  <c r="AA113" i="3"/>
  <c r="AA112" i="3"/>
  <c r="Z111" i="3"/>
  <c r="Y111" i="3"/>
  <c r="AA110" i="3"/>
  <c r="AA109" i="3"/>
  <c r="AA108" i="3"/>
  <c r="AA107" i="3"/>
  <c r="Z106" i="3"/>
  <c r="Y106" i="3"/>
  <c r="AA105" i="3"/>
  <c r="AA104" i="3"/>
  <c r="AA103" i="3"/>
  <c r="AA102" i="3"/>
  <c r="Z101" i="3"/>
  <c r="Y101" i="3"/>
  <c r="AA100" i="3"/>
  <c r="AA99" i="3"/>
  <c r="AA98" i="3"/>
  <c r="AA97" i="3"/>
  <c r="AC97" i="3" s="1"/>
  <c r="AA96" i="3"/>
  <c r="AA95" i="3"/>
  <c r="AA94" i="3"/>
  <c r="AA93" i="3"/>
  <c r="AA92" i="3"/>
  <c r="AA91" i="3"/>
  <c r="Z90" i="3"/>
  <c r="Y90" i="3"/>
  <c r="AA89" i="3"/>
  <c r="AA88" i="3"/>
  <c r="AA87" i="3"/>
  <c r="AA85" i="3"/>
  <c r="AA84" i="3"/>
  <c r="AA82" i="3"/>
  <c r="AA81" i="3"/>
  <c r="AA80" i="3"/>
  <c r="AA79" i="3"/>
  <c r="AA78" i="3"/>
  <c r="AA77" i="3"/>
  <c r="AA76" i="3"/>
  <c r="AA75" i="3"/>
  <c r="AA73" i="3"/>
  <c r="AA72" i="3"/>
  <c r="AA71" i="3"/>
  <c r="Z69" i="3"/>
  <c r="Y69" i="3"/>
  <c r="AA68" i="3"/>
  <c r="Z67" i="3"/>
  <c r="Y67" i="3"/>
  <c r="AA66" i="3"/>
  <c r="AA64" i="3"/>
  <c r="AA63" i="3"/>
  <c r="AA62" i="3"/>
  <c r="AA61" i="3"/>
  <c r="AA59" i="3"/>
  <c r="Z58" i="3"/>
  <c r="Y58" i="3"/>
  <c r="AA57" i="3"/>
  <c r="AA55" i="3"/>
  <c r="AA54" i="3"/>
  <c r="AA53" i="3"/>
  <c r="AA52" i="3"/>
  <c r="AA51" i="3"/>
  <c r="AA50" i="3"/>
  <c r="AA49" i="3"/>
  <c r="AA48" i="3"/>
  <c r="AA47" i="3"/>
  <c r="AA46" i="3"/>
  <c r="AA45" i="3"/>
  <c r="Z44" i="3"/>
  <c r="Y44" i="3"/>
  <c r="AA43" i="3"/>
  <c r="AA42" i="3"/>
  <c r="AA41" i="3"/>
  <c r="AA40" i="3"/>
  <c r="AA39" i="3"/>
  <c r="AA38" i="3"/>
  <c r="AA37" i="3"/>
  <c r="AA36" i="3"/>
  <c r="AA35" i="3"/>
  <c r="AA33" i="3"/>
  <c r="AA32" i="3"/>
  <c r="AA30" i="3"/>
  <c r="AA29" i="3"/>
  <c r="Z28" i="3"/>
  <c r="Y28" i="3"/>
  <c r="AA27" i="3"/>
  <c r="AA26" i="3"/>
  <c r="AA25" i="3"/>
  <c r="AA24" i="3"/>
  <c r="AA21" i="3"/>
  <c r="AA20" i="3"/>
  <c r="AA19" i="3"/>
  <c r="AA18" i="3"/>
  <c r="AA17" i="3"/>
  <c r="Z16" i="3"/>
  <c r="Y16" i="3"/>
  <c r="AA15" i="3"/>
  <c r="AA14" i="3"/>
  <c r="AA13" i="3"/>
  <c r="AA12" i="3"/>
  <c r="AA11" i="3"/>
  <c r="Z10" i="3"/>
  <c r="Y10" i="3"/>
  <c r="AA9" i="3"/>
  <c r="AA8" i="3"/>
  <c r="AA7" i="3"/>
  <c r="AC7" i="3" s="1"/>
  <c r="AA6" i="3"/>
  <c r="Z5" i="3"/>
  <c r="Y5" i="3"/>
  <c r="S125" i="3"/>
  <c r="S124" i="3"/>
  <c r="S123" i="3"/>
  <c r="S122" i="3"/>
  <c r="S121" i="3"/>
  <c r="S120" i="3"/>
  <c r="S119" i="3"/>
  <c r="R118" i="3"/>
  <c r="Q118" i="3"/>
  <c r="S117" i="3"/>
  <c r="S116" i="3"/>
  <c r="S115" i="3"/>
  <c r="S114" i="3"/>
  <c r="S113" i="3"/>
  <c r="S112" i="3"/>
  <c r="R111" i="3"/>
  <c r="Q111" i="3"/>
  <c r="S110" i="3"/>
  <c r="S109" i="3"/>
  <c r="S108" i="3"/>
  <c r="S107" i="3"/>
  <c r="R106" i="3"/>
  <c r="Q106" i="3"/>
  <c r="S105" i="3"/>
  <c r="S104" i="3"/>
  <c r="S103" i="3"/>
  <c r="S102" i="3"/>
  <c r="R101" i="3"/>
  <c r="Q101" i="3"/>
  <c r="S100" i="3"/>
  <c r="S99" i="3"/>
  <c r="S98" i="3"/>
  <c r="T98" i="3" s="1"/>
  <c r="S97" i="3"/>
  <c r="T97" i="3" s="1"/>
  <c r="S96" i="3"/>
  <c r="S95" i="3"/>
  <c r="S94" i="3"/>
  <c r="T94" i="3" s="1"/>
  <c r="S93" i="3"/>
  <c r="S92" i="3"/>
  <c r="S91" i="3"/>
  <c r="R90" i="3"/>
  <c r="Q90" i="3"/>
  <c r="S89" i="3"/>
  <c r="S88" i="3"/>
  <c r="S87" i="3"/>
  <c r="S85" i="3"/>
  <c r="S84" i="3"/>
  <c r="S83" i="3"/>
  <c r="S82" i="3"/>
  <c r="S81" i="3"/>
  <c r="S80" i="3"/>
  <c r="S79" i="3"/>
  <c r="S78" i="3"/>
  <c r="S77" i="3"/>
  <c r="S76" i="3"/>
  <c r="S75" i="3"/>
  <c r="S73" i="3"/>
  <c r="S72" i="3"/>
  <c r="S71" i="3"/>
  <c r="S70" i="3"/>
  <c r="R69" i="3"/>
  <c r="Q69" i="3"/>
  <c r="S68" i="3"/>
  <c r="R67" i="3"/>
  <c r="Q67" i="3"/>
  <c r="S66" i="3"/>
  <c r="S64" i="3"/>
  <c r="S63" i="3"/>
  <c r="S62" i="3"/>
  <c r="S59" i="3"/>
  <c r="R58" i="3"/>
  <c r="Q58" i="3"/>
  <c r="S57" i="3"/>
  <c r="S55" i="3"/>
  <c r="S54" i="3"/>
  <c r="S53" i="3"/>
  <c r="S52" i="3"/>
  <c r="S51" i="3"/>
  <c r="S50" i="3"/>
  <c r="S49" i="3"/>
  <c r="S48" i="3"/>
  <c r="S47" i="3"/>
  <c r="S46" i="3"/>
  <c r="S45" i="3"/>
  <c r="R44" i="3"/>
  <c r="Q44" i="3"/>
  <c r="S43" i="3"/>
  <c r="S42" i="3"/>
  <c r="T42" i="3" s="1"/>
  <c r="S41" i="3"/>
  <c r="S40" i="3"/>
  <c r="S39" i="3"/>
  <c r="S38" i="3"/>
  <c r="S37" i="3"/>
  <c r="S36" i="3"/>
  <c r="S35" i="3"/>
  <c r="S33" i="3"/>
  <c r="S32" i="3"/>
  <c r="S30" i="3"/>
  <c r="S29" i="3"/>
  <c r="R28" i="3"/>
  <c r="Q28" i="3"/>
  <c r="S27" i="3"/>
  <c r="S26" i="3"/>
  <c r="S25" i="3"/>
  <c r="S24" i="3"/>
  <c r="S23" i="3"/>
  <c r="S21" i="3"/>
  <c r="S20" i="3"/>
  <c r="S19" i="3"/>
  <c r="S18" i="3"/>
  <c r="S17" i="3"/>
  <c r="R16" i="3"/>
  <c r="Q16" i="3"/>
  <c r="S15" i="3"/>
  <c r="S14" i="3"/>
  <c r="S13" i="3"/>
  <c r="S12" i="3"/>
  <c r="S11" i="3"/>
  <c r="R10" i="3"/>
  <c r="Q10" i="3"/>
  <c r="S9" i="3"/>
  <c r="S8" i="3"/>
  <c r="S7" i="3"/>
  <c r="S6" i="3"/>
  <c r="R5" i="3"/>
  <c r="Q5" i="3"/>
  <c r="O125" i="3"/>
  <c r="O124" i="3"/>
  <c r="O123" i="3"/>
  <c r="O122" i="3"/>
  <c r="O121" i="3"/>
  <c r="O120" i="3"/>
  <c r="O119" i="3"/>
  <c r="N118" i="3"/>
  <c r="M118" i="3"/>
  <c r="O117" i="3"/>
  <c r="O116" i="3"/>
  <c r="O115" i="3"/>
  <c r="O114" i="3"/>
  <c r="O113" i="3"/>
  <c r="O112" i="3"/>
  <c r="N111" i="3"/>
  <c r="M111" i="3"/>
  <c r="O110" i="3"/>
  <c r="O109" i="3"/>
  <c r="O108" i="3"/>
  <c r="O107" i="3"/>
  <c r="N106" i="3"/>
  <c r="M106" i="3"/>
  <c r="O105" i="3"/>
  <c r="O104" i="3"/>
  <c r="O103" i="3"/>
  <c r="O102" i="3"/>
  <c r="N101" i="3"/>
  <c r="M101" i="3"/>
  <c r="O100" i="3"/>
  <c r="O99" i="3"/>
  <c r="O98" i="3"/>
  <c r="P98" i="3" s="1"/>
  <c r="O97" i="3"/>
  <c r="P97" i="3" s="1"/>
  <c r="O96" i="3"/>
  <c r="O95" i="3"/>
  <c r="O94" i="3"/>
  <c r="O93" i="3"/>
  <c r="O92" i="3"/>
  <c r="O91" i="3"/>
  <c r="N90" i="3"/>
  <c r="M90" i="3"/>
  <c r="O89" i="3"/>
  <c r="O88" i="3"/>
  <c r="O87" i="3"/>
  <c r="O85" i="3"/>
  <c r="O84" i="3"/>
  <c r="O83" i="3"/>
  <c r="O82" i="3"/>
  <c r="O81" i="3"/>
  <c r="O80" i="3"/>
  <c r="O79" i="3"/>
  <c r="O78" i="3"/>
  <c r="O77" i="3"/>
  <c r="O76" i="3"/>
  <c r="O75" i="3"/>
  <c r="O73" i="3"/>
  <c r="O72" i="3"/>
  <c r="O71" i="3"/>
  <c r="O70" i="3"/>
  <c r="N69" i="3"/>
  <c r="M69" i="3"/>
  <c r="O68" i="3"/>
  <c r="O67" i="3" s="1"/>
  <c r="N67" i="3"/>
  <c r="M67" i="3"/>
  <c r="O66" i="3"/>
  <c r="O64" i="3"/>
  <c r="O63" i="3"/>
  <c r="O62" i="3"/>
  <c r="O61" i="3"/>
  <c r="O59" i="3"/>
  <c r="N58" i="3"/>
  <c r="M58" i="3"/>
  <c r="O57" i="3"/>
  <c r="O55" i="3"/>
  <c r="O54" i="3"/>
  <c r="O53" i="3"/>
  <c r="O52" i="3"/>
  <c r="O51" i="3"/>
  <c r="O50" i="3"/>
  <c r="O49" i="3"/>
  <c r="O48" i="3"/>
  <c r="O47" i="3"/>
  <c r="O46" i="3"/>
  <c r="O45" i="3"/>
  <c r="N44" i="3"/>
  <c r="M44" i="3"/>
  <c r="O43" i="3"/>
  <c r="O42" i="3"/>
  <c r="O40" i="3"/>
  <c r="O39" i="3"/>
  <c r="O38" i="3"/>
  <c r="O37" i="3"/>
  <c r="O36" i="3"/>
  <c r="O35" i="3"/>
  <c r="O33" i="3"/>
  <c r="O32" i="3"/>
  <c r="O30" i="3"/>
  <c r="O29" i="3"/>
  <c r="N28" i="3"/>
  <c r="M28" i="3"/>
  <c r="O27" i="3"/>
  <c r="O26" i="3"/>
  <c r="O25" i="3"/>
  <c r="O24" i="3"/>
  <c r="O23" i="3"/>
  <c r="O21" i="3"/>
  <c r="O20" i="3"/>
  <c r="O19" i="3"/>
  <c r="O18" i="3"/>
  <c r="O17" i="3"/>
  <c r="N16" i="3"/>
  <c r="M16" i="3"/>
  <c r="O15" i="3"/>
  <c r="O14" i="3"/>
  <c r="O13" i="3"/>
  <c r="O12" i="3"/>
  <c r="O11" i="3"/>
  <c r="N10" i="3"/>
  <c r="M10" i="3"/>
  <c r="O9" i="3"/>
  <c r="O8" i="3"/>
  <c r="O7" i="3"/>
  <c r="O6" i="3"/>
  <c r="N5" i="3"/>
  <c r="M5" i="3"/>
  <c r="W98" i="3"/>
  <c r="W99" i="3"/>
  <c r="W93" i="3"/>
  <c r="W94" i="3"/>
  <c r="W79" i="3"/>
  <c r="W80" i="3"/>
  <c r="W61" i="3"/>
  <c r="W62" i="3"/>
  <c r="W63" i="3"/>
  <c r="W47" i="3"/>
  <c r="W48" i="3"/>
  <c r="W49" i="3"/>
  <c r="W50" i="3"/>
  <c r="W51" i="3"/>
  <c r="W52" i="3"/>
  <c r="W53" i="3"/>
  <c r="W54" i="3"/>
  <c r="W55" i="3"/>
  <c r="W57" i="3"/>
  <c r="W37" i="3"/>
  <c r="W38" i="3"/>
  <c r="W39" i="3"/>
  <c r="W40" i="3"/>
  <c r="W41" i="3"/>
  <c r="W42" i="3"/>
  <c r="W23" i="3"/>
  <c r="W7" i="3"/>
  <c r="W8" i="3"/>
  <c r="G125" i="3"/>
  <c r="G124" i="3"/>
  <c r="G123" i="3"/>
  <c r="AI123" i="3" s="1"/>
  <c r="G122" i="3"/>
  <c r="G121" i="3"/>
  <c r="G120" i="3"/>
  <c r="G119" i="3"/>
  <c r="F118" i="3"/>
  <c r="G117" i="3"/>
  <c r="G116" i="3"/>
  <c r="G115" i="3"/>
  <c r="G113" i="3"/>
  <c r="E112" i="3"/>
  <c r="G112" i="3" s="1"/>
  <c r="F110" i="3"/>
  <c r="G110" i="3" s="1"/>
  <c r="G109" i="3"/>
  <c r="E108" i="3"/>
  <c r="G108" i="3" s="1"/>
  <c r="E107" i="3"/>
  <c r="G107" i="3" s="1"/>
  <c r="G105" i="3"/>
  <c r="F104" i="3"/>
  <c r="K104" i="3" s="1"/>
  <c r="AQ104" i="3" s="1"/>
  <c r="E104" i="3"/>
  <c r="F103" i="3"/>
  <c r="K103" i="3" s="1"/>
  <c r="AQ103" i="3" s="1"/>
  <c r="E103" i="3"/>
  <c r="E102" i="3"/>
  <c r="G102" i="3" s="1"/>
  <c r="G100" i="3"/>
  <c r="G99" i="3"/>
  <c r="G98" i="3"/>
  <c r="G97" i="3"/>
  <c r="G96" i="3"/>
  <c r="E95" i="3"/>
  <c r="G95" i="3" s="1"/>
  <c r="G94" i="3"/>
  <c r="G93" i="3"/>
  <c r="E92" i="3"/>
  <c r="G92" i="3" s="1"/>
  <c r="G91" i="3"/>
  <c r="F90" i="3"/>
  <c r="E89" i="3"/>
  <c r="G89" i="3" s="1"/>
  <c r="G88" i="3"/>
  <c r="E87" i="3"/>
  <c r="G87" i="3" s="1"/>
  <c r="G85" i="3"/>
  <c r="G84" i="3"/>
  <c r="G83" i="3"/>
  <c r="G82" i="3"/>
  <c r="G81" i="3"/>
  <c r="G80" i="3"/>
  <c r="E79" i="3"/>
  <c r="J79" i="3" s="1"/>
  <c r="G78" i="3"/>
  <c r="G77" i="3"/>
  <c r="G76" i="3"/>
  <c r="F75" i="3"/>
  <c r="G75" i="3" s="1"/>
  <c r="AI75" i="3" s="1"/>
  <c r="G73" i="3"/>
  <c r="G72" i="3"/>
  <c r="G71" i="3"/>
  <c r="G70" i="3"/>
  <c r="G68" i="3"/>
  <c r="F67" i="3"/>
  <c r="E67" i="3"/>
  <c r="G66" i="3"/>
  <c r="E64" i="3"/>
  <c r="G64" i="3" s="1"/>
  <c r="G63" i="3"/>
  <c r="G62" i="3"/>
  <c r="F61" i="3"/>
  <c r="F58" i="3" s="1"/>
  <c r="G59" i="3"/>
  <c r="G57" i="3"/>
  <c r="G55" i="3"/>
  <c r="G54" i="3"/>
  <c r="G53" i="3"/>
  <c r="G52" i="3"/>
  <c r="E51" i="3"/>
  <c r="G51" i="3" s="1"/>
  <c r="G50" i="3"/>
  <c r="G49" i="3"/>
  <c r="AI49" i="3" s="1"/>
  <c r="G48" i="3"/>
  <c r="E47" i="3"/>
  <c r="G47" i="3" s="1"/>
  <c r="G46" i="3"/>
  <c r="E45" i="3"/>
  <c r="G45" i="3" s="1"/>
  <c r="F44" i="3"/>
  <c r="G43" i="3"/>
  <c r="G42" i="3"/>
  <c r="AI42" i="3" s="1"/>
  <c r="G41" i="3"/>
  <c r="AI41" i="3" s="1"/>
  <c r="G40" i="3"/>
  <c r="AI40" i="3" s="1"/>
  <c r="G39" i="3"/>
  <c r="AI39" i="3" s="1"/>
  <c r="G38" i="3"/>
  <c r="AI38" i="3" s="1"/>
  <c r="G37" i="3"/>
  <c r="AI37" i="3" s="1"/>
  <c r="G36" i="3"/>
  <c r="E35" i="3"/>
  <c r="G35" i="3" s="1"/>
  <c r="G33" i="3"/>
  <c r="E32" i="3"/>
  <c r="G30" i="3"/>
  <c r="G29" i="3"/>
  <c r="F28" i="3"/>
  <c r="G27" i="3"/>
  <c r="G26" i="3"/>
  <c r="G25" i="3"/>
  <c r="AI25" i="3" s="1"/>
  <c r="G24" i="3"/>
  <c r="AI24" i="3" s="1"/>
  <c r="G23" i="3"/>
  <c r="AI23" i="3" s="1"/>
  <c r="G21" i="3"/>
  <c r="AI21" i="3" s="1"/>
  <c r="F20" i="3"/>
  <c r="G19" i="3"/>
  <c r="E18" i="3"/>
  <c r="E16" i="3" s="1"/>
  <c r="F17" i="3"/>
  <c r="G17" i="3" s="1"/>
  <c r="G15" i="3"/>
  <c r="G14" i="3"/>
  <c r="E13" i="3"/>
  <c r="G13" i="3" s="1"/>
  <c r="E12" i="3"/>
  <c r="G12" i="3" s="1"/>
  <c r="G11" i="3"/>
  <c r="F10" i="3"/>
  <c r="G9" i="3"/>
  <c r="G8" i="3"/>
  <c r="AI8" i="3" s="1"/>
  <c r="G7" i="3"/>
  <c r="AI7" i="3" s="1"/>
  <c r="E6" i="3"/>
  <c r="G6" i="3" s="1"/>
  <c r="F5" i="3"/>
  <c r="V156" i="2"/>
  <c r="H28" i="2"/>
  <c r="Q28" i="2" s="1"/>
  <c r="H116" i="2"/>
  <c r="H118" i="2"/>
  <c r="H119" i="2"/>
  <c r="H120" i="2"/>
  <c r="H121" i="2"/>
  <c r="H122" i="2"/>
  <c r="H135" i="2"/>
  <c r="H136" i="2"/>
  <c r="H137" i="2"/>
  <c r="H138" i="2"/>
  <c r="H143" i="2"/>
  <c r="H115" i="2"/>
  <c r="G156" i="2"/>
  <c r="G144" i="2"/>
  <c r="G162" i="2" s="1"/>
  <c r="G112" i="2"/>
  <c r="G159" i="2" s="1"/>
  <c r="G110" i="2"/>
  <c r="G161" i="2" s="1"/>
  <c r="G100" i="2"/>
  <c r="G89" i="2"/>
  <c r="G81" i="2"/>
  <c r="G64" i="2"/>
  <c r="G41" i="2"/>
  <c r="G36" i="2"/>
  <c r="G26" i="2"/>
  <c r="G14" i="2"/>
  <c r="G5" i="2"/>
  <c r="H107" i="2"/>
  <c r="H108" i="2"/>
  <c r="H67" i="2"/>
  <c r="H68" i="2"/>
  <c r="H69" i="2"/>
  <c r="H44" i="2"/>
  <c r="H45" i="2"/>
  <c r="U156" i="2"/>
  <c r="U144" i="2"/>
  <c r="U162" i="2" s="1"/>
  <c r="U112" i="2"/>
  <c r="U159" i="2" s="1"/>
  <c r="U110" i="2"/>
  <c r="U161" i="2" s="1"/>
  <c r="U100" i="2"/>
  <c r="U89" i="2"/>
  <c r="U81" i="2"/>
  <c r="U64" i="2"/>
  <c r="U41" i="2"/>
  <c r="U36" i="2"/>
  <c r="U26" i="2"/>
  <c r="U14" i="2"/>
  <c r="U5" i="2"/>
  <c r="O156" i="2"/>
  <c r="O144" i="2"/>
  <c r="O162" i="2" s="1"/>
  <c r="O112" i="2"/>
  <c r="O159" i="2" s="1"/>
  <c r="O110" i="2"/>
  <c r="O161" i="2" s="1"/>
  <c r="M11" i="1" s="1"/>
  <c r="O100" i="2"/>
  <c r="O89" i="2"/>
  <c r="O81" i="2"/>
  <c r="O64" i="2"/>
  <c r="O41" i="2"/>
  <c r="O36" i="2"/>
  <c r="O26" i="2"/>
  <c r="O14" i="2"/>
  <c r="O5" i="2"/>
  <c r="M156" i="2"/>
  <c r="M144" i="2"/>
  <c r="M162" i="2" s="1"/>
  <c r="M112" i="2"/>
  <c r="M159" i="2" s="1"/>
  <c r="M110" i="2"/>
  <c r="M100" i="2"/>
  <c r="M89" i="2"/>
  <c r="M81" i="2"/>
  <c r="M64" i="2"/>
  <c r="M41" i="2"/>
  <c r="M36" i="2"/>
  <c r="M26" i="2"/>
  <c r="M14" i="2"/>
  <c r="M5" i="2"/>
  <c r="K156" i="2"/>
  <c r="K144" i="2"/>
  <c r="K162" i="2" s="1"/>
  <c r="K112" i="2"/>
  <c r="K159" i="2" s="1"/>
  <c r="K110" i="2"/>
  <c r="K161" i="2" s="1"/>
  <c r="K100" i="2"/>
  <c r="K89" i="2"/>
  <c r="K81" i="2"/>
  <c r="K64" i="2"/>
  <c r="K41" i="2"/>
  <c r="K36" i="2"/>
  <c r="K26" i="2"/>
  <c r="K14" i="2"/>
  <c r="K5" i="2"/>
  <c r="I156" i="2"/>
  <c r="F144" i="2"/>
  <c r="F162" i="2" s="1"/>
  <c r="F131" i="2"/>
  <c r="H131" i="2" s="1"/>
  <c r="F130" i="2"/>
  <c r="H130" i="2" s="1"/>
  <c r="F117" i="2"/>
  <c r="H117" i="2" s="1"/>
  <c r="F106" i="2"/>
  <c r="F110" i="2" s="1"/>
  <c r="F161" i="2" s="1"/>
  <c r="F100" i="2"/>
  <c r="F89" i="2"/>
  <c r="F83" i="2"/>
  <c r="F81" i="2" s="1"/>
  <c r="F76" i="2"/>
  <c r="F72" i="2"/>
  <c r="F66" i="2"/>
  <c r="F63" i="2"/>
  <c r="F58" i="2"/>
  <c r="F57" i="2"/>
  <c r="F54" i="2"/>
  <c r="F36" i="2"/>
  <c r="F30" i="2"/>
  <c r="F26" i="2"/>
  <c r="F22" i="2"/>
  <c r="F17" i="2"/>
  <c r="F9" i="2"/>
  <c r="F7" i="2"/>
  <c r="F6" i="2"/>
  <c r="T131" i="2" l="1"/>
  <c r="Q131" i="2"/>
  <c r="P131" i="2"/>
  <c r="T117" i="2"/>
  <c r="Q117" i="2"/>
  <c r="P117" i="2"/>
  <c r="T68" i="2"/>
  <c r="Q68" i="2"/>
  <c r="S137" i="2"/>
  <c r="T137" i="2" s="1"/>
  <c r="Q137" i="2"/>
  <c r="P137" i="2"/>
  <c r="S121" i="2"/>
  <c r="T121" i="2" s="1"/>
  <c r="Q121" i="2"/>
  <c r="P121" i="2"/>
  <c r="S116" i="2"/>
  <c r="T116" i="2" s="1"/>
  <c r="Q116" i="2"/>
  <c r="P116" i="2"/>
  <c r="T130" i="2"/>
  <c r="Q130" i="2"/>
  <c r="P130" i="2"/>
  <c r="T45" i="2"/>
  <c r="P45" i="2"/>
  <c r="Q45" i="2"/>
  <c r="S67" i="2"/>
  <c r="T67" i="2" s="1"/>
  <c r="P67" i="2"/>
  <c r="Q67" i="2"/>
  <c r="S115" i="2"/>
  <c r="T115" i="2" s="1"/>
  <c r="Q115" i="2"/>
  <c r="P115" i="2"/>
  <c r="T136" i="2"/>
  <c r="Q136" i="2"/>
  <c r="T44" i="2"/>
  <c r="P44" i="2"/>
  <c r="Q44" i="2"/>
  <c r="T108" i="2"/>
  <c r="Q108" i="2"/>
  <c r="Q143" i="2"/>
  <c r="Q119" i="2"/>
  <c r="P119" i="2"/>
  <c r="P69" i="2"/>
  <c r="Q69" i="2"/>
  <c r="T107" i="2"/>
  <c r="P107" i="2"/>
  <c r="Q107" i="2"/>
  <c r="Q138" i="2"/>
  <c r="P138" i="2"/>
  <c r="S122" i="2"/>
  <c r="T122" i="2" s="1"/>
  <c r="Q122" i="2"/>
  <c r="P122" i="2"/>
  <c r="S118" i="2"/>
  <c r="T118" i="2" s="1"/>
  <c r="Q118" i="2"/>
  <c r="P118" i="2"/>
  <c r="AE111" i="3"/>
  <c r="AE126" i="3" s="1"/>
  <c r="AC60" i="3"/>
  <c r="AB60" i="3"/>
  <c r="AC94" i="3"/>
  <c r="AB94" i="3"/>
  <c r="AC98" i="3"/>
  <c r="AB98" i="3"/>
  <c r="AC42" i="3"/>
  <c r="AB42" i="3"/>
  <c r="P22" i="3"/>
  <c r="AC22" i="3"/>
  <c r="S135" i="2"/>
  <c r="T135" i="2" s="1"/>
  <c r="Q135" i="2"/>
  <c r="T120" i="2"/>
  <c r="Q120" i="2"/>
  <c r="P120" i="2"/>
  <c r="AG8" i="3"/>
  <c r="L78" i="3"/>
  <c r="AB78" i="3" s="1"/>
  <c r="AP78" i="3"/>
  <c r="L77" i="3"/>
  <c r="AC77" i="3" s="1"/>
  <c r="AP77" i="3"/>
  <c r="AG7" i="3"/>
  <c r="L76" i="3"/>
  <c r="T76" i="3" s="1"/>
  <c r="AP76" i="3"/>
  <c r="L96" i="3"/>
  <c r="T96" i="3" s="1"/>
  <c r="AP96" i="3"/>
  <c r="AG23" i="3"/>
  <c r="AQ58" i="3"/>
  <c r="X98" i="3"/>
  <c r="AG63" i="3"/>
  <c r="X94" i="3"/>
  <c r="AG59" i="3"/>
  <c r="AG64" i="3"/>
  <c r="AG66" i="3"/>
  <c r="X60" i="3"/>
  <c r="AG38" i="3"/>
  <c r="AG42" i="3"/>
  <c r="AG49" i="3"/>
  <c r="L53" i="3"/>
  <c r="AB53" i="3" s="1"/>
  <c r="AP53" i="3"/>
  <c r="X42" i="3"/>
  <c r="AG39" i="3"/>
  <c r="AG50" i="3"/>
  <c r="AG40" i="3"/>
  <c r="L50" i="3"/>
  <c r="X50" i="3" s="1"/>
  <c r="AP50" i="3"/>
  <c r="AG37" i="3"/>
  <c r="AG41" i="3"/>
  <c r="AG48" i="3"/>
  <c r="L54" i="3"/>
  <c r="X54" i="3" s="1"/>
  <c r="AP54" i="3"/>
  <c r="L49" i="3"/>
  <c r="X49" i="3" s="1"/>
  <c r="AP49" i="3"/>
  <c r="X22" i="3"/>
  <c r="L52" i="3"/>
  <c r="X52" i="3" s="1"/>
  <c r="AP52" i="3"/>
  <c r="T28" i="2"/>
  <c r="N28" i="2"/>
  <c r="T143" i="2"/>
  <c r="T119" i="2"/>
  <c r="T138" i="2"/>
  <c r="M161" i="2"/>
  <c r="K11" i="1" s="1"/>
  <c r="N117" i="2"/>
  <c r="N68" i="2"/>
  <c r="N137" i="2"/>
  <c r="N121" i="2"/>
  <c r="N116" i="2"/>
  <c r="N130" i="2"/>
  <c r="M12" i="1"/>
  <c r="N45" i="2"/>
  <c r="N67" i="2"/>
  <c r="N115" i="2"/>
  <c r="N136" i="2"/>
  <c r="N120" i="2"/>
  <c r="N131" i="2"/>
  <c r="N44" i="2"/>
  <c r="N108" i="2"/>
  <c r="N135" i="2"/>
  <c r="N119" i="2"/>
  <c r="N107" i="2"/>
  <c r="N138" i="2"/>
  <c r="N122" i="2"/>
  <c r="N118" i="2"/>
  <c r="K12" i="1"/>
  <c r="T60" i="3"/>
  <c r="P60" i="3"/>
  <c r="L107" i="2"/>
  <c r="L138" i="2"/>
  <c r="L117" i="2"/>
  <c r="L137" i="2"/>
  <c r="L121" i="2"/>
  <c r="L118" i="2"/>
  <c r="L45" i="2"/>
  <c r="L67" i="2"/>
  <c r="L115" i="2"/>
  <c r="L136" i="2"/>
  <c r="L120" i="2"/>
  <c r="L116" i="2"/>
  <c r="L130" i="2"/>
  <c r="L131" i="2"/>
  <c r="L44" i="2"/>
  <c r="L135" i="2"/>
  <c r="L119" i="2"/>
  <c r="L28" i="2"/>
  <c r="L79" i="3"/>
  <c r="X79" i="3" s="1"/>
  <c r="F111" i="3"/>
  <c r="P94" i="3"/>
  <c r="J117" i="2"/>
  <c r="J115" i="2"/>
  <c r="J136" i="2"/>
  <c r="J120" i="2"/>
  <c r="J131" i="2"/>
  <c r="J135" i="2"/>
  <c r="J119" i="2"/>
  <c r="J121" i="2"/>
  <c r="J118" i="2"/>
  <c r="J130" i="2"/>
  <c r="J116" i="2"/>
  <c r="E118" i="3"/>
  <c r="E28" i="3"/>
  <c r="J95" i="3"/>
  <c r="L63" i="3"/>
  <c r="X63" i="3" s="1"/>
  <c r="L59" i="3"/>
  <c r="AC59" i="3" s="1"/>
  <c r="L37" i="3"/>
  <c r="AC37" i="3" s="1"/>
  <c r="K75" i="3"/>
  <c r="L75" i="3" s="1"/>
  <c r="T75" i="3" s="1"/>
  <c r="L62" i="3"/>
  <c r="AC62" i="3" s="1"/>
  <c r="M126" i="3"/>
  <c r="AA58" i="3"/>
  <c r="F69" i="3"/>
  <c r="G104" i="3"/>
  <c r="AA118" i="3"/>
  <c r="AF118" i="3"/>
  <c r="J51" i="3"/>
  <c r="G103" i="3"/>
  <c r="X7" i="3"/>
  <c r="S101" i="3"/>
  <c r="Z126" i="3"/>
  <c r="AA16" i="3"/>
  <c r="K61" i="3"/>
  <c r="L61" i="3" s="1"/>
  <c r="P61" i="3" s="1"/>
  <c r="F16" i="3"/>
  <c r="G67" i="3"/>
  <c r="E69" i="3"/>
  <c r="O5" i="3"/>
  <c r="O90" i="3"/>
  <c r="O101" i="3"/>
  <c r="AA10" i="3"/>
  <c r="AA44" i="3"/>
  <c r="AA111" i="3"/>
  <c r="AF58" i="3"/>
  <c r="AF67" i="3"/>
  <c r="AF69" i="3"/>
  <c r="AF106" i="3"/>
  <c r="F101" i="3"/>
  <c r="G106" i="3"/>
  <c r="O58" i="3"/>
  <c r="O69" i="3"/>
  <c r="S5" i="3"/>
  <c r="S44" i="3"/>
  <c r="AA67" i="3"/>
  <c r="AA90" i="3"/>
  <c r="O111" i="3"/>
  <c r="S16" i="3"/>
  <c r="E58" i="3"/>
  <c r="G61" i="3"/>
  <c r="N126" i="3"/>
  <c r="O44" i="3"/>
  <c r="O118" i="3"/>
  <c r="R126" i="3"/>
  <c r="E90" i="3"/>
  <c r="O10" i="3"/>
  <c r="O28" i="3"/>
  <c r="O106" i="3"/>
  <c r="S58" i="3"/>
  <c r="S67" i="3"/>
  <c r="Y126" i="3"/>
  <c r="M14" i="1" s="1"/>
  <c r="AA101" i="3"/>
  <c r="AF16" i="3"/>
  <c r="AF44" i="3"/>
  <c r="AF101" i="3"/>
  <c r="G118" i="3"/>
  <c r="Q126" i="3"/>
  <c r="S90" i="3"/>
  <c r="S106" i="3"/>
  <c r="AA69" i="3"/>
  <c r="AF10" i="3"/>
  <c r="AF28" i="3"/>
  <c r="G20" i="3"/>
  <c r="G90" i="3"/>
  <c r="G5" i="3"/>
  <c r="G10" i="3"/>
  <c r="O16" i="3"/>
  <c r="S10" i="3"/>
  <c r="S28" i="3"/>
  <c r="S69" i="3"/>
  <c r="S111" i="3"/>
  <c r="S118" i="3"/>
  <c r="AA5" i="3"/>
  <c r="AA28" i="3"/>
  <c r="AA106" i="3"/>
  <c r="AF5" i="3"/>
  <c r="AF90" i="3"/>
  <c r="K23" i="3"/>
  <c r="G44" i="3"/>
  <c r="E5" i="3"/>
  <c r="G32" i="3"/>
  <c r="G28" i="3" s="1"/>
  <c r="E44" i="3"/>
  <c r="G79" i="3"/>
  <c r="G69" i="3" s="1"/>
  <c r="E101" i="3"/>
  <c r="E106" i="3"/>
  <c r="E10" i="3"/>
  <c r="G18" i="3"/>
  <c r="F106" i="3"/>
  <c r="F41" i="2"/>
  <c r="G38" i="2"/>
  <c r="G157" i="2" s="1"/>
  <c r="G102" i="2"/>
  <c r="G158" i="2" s="1"/>
  <c r="U38" i="2"/>
  <c r="U157" i="2" s="1"/>
  <c r="U102" i="2"/>
  <c r="U158" i="2" s="1"/>
  <c r="H106" i="2"/>
  <c r="G153" i="2"/>
  <c r="O38" i="2"/>
  <c r="O157" i="2" s="1"/>
  <c r="M9" i="1" s="1"/>
  <c r="O102" i="2"/>
  <c r="O158" i="2" s="1"/>
  <c r="M10" i="1" s="1"/>
  <c r="M38" i="2"/>
  <c r="M157" i="2" s="1"/>
  <c r="K9" i="1" s="1"/>
  <c r="M102" i="2"/>
  <c r="M158" i="2" s="1"/>
  <c r="K10" i="1" s="1"/>
  <c r="K38" i="2"/>
  <c r="K157" i="2" s="1"/>
  <c r="K102" i="2"/>
  <c r="K158" i="2" s="1"/>
  <c r="U153" i="2"/>
  <c r="O153" i="2"/>
  <c r="M153" i="2"/>
  <c r="K153" i="2"/>
  <c r="F112" i="2"/>
  <c r="F153" i="2" s="1"/>
  <c r="F14" i="2"/>
  <c r="F5" i="2"/>
  <c r="F64" i="2"/>
  <c r="P77" i="3" l="1"/>
  <c r="T106" i="2"/>
  <c r="P106" i="2"/>
  <c r="Q106" i="2"/>
  <c r="AB77" i="3"/>
  <c r="AF114" i="3"/>
  <c r="AF111" i="3" s="1"/>
  <c r="AF126" i="3" s="1"/>
  <c r="AB52" i="3"/>
  <c r="P76" i="3"/>
  <c r="AB49" i="3"/>
  <c r="AB59" i="3"/>
  <c r="AC52" i="3"/>
  <c r="AC49" i="3"/>
  <c r="AB75" i="3"/>
  <c r="T77" i="3"/>
  <c r="AC50" i="3"/>
  <c r="AC53" i="3"/>
  <c r="AC75" i="3"/>
  <c r="AC79" i="3"/>
  <c r="AC61" i="3"/>
  <c r="AC96" i="3"/>
  <c r="M15" i="1"/>
  <c r="T78" i="3"/>
  <c r="P78" i="3"/>
  <c r="AC54" i="3"/>
  <c r="AC76" i="3"/>
  <c r="AC78" i="3"/>
  <c r="AB63" i="3"/>
  <c r="AB54" i="3"/>
  <c r="AB76" i="3"/>
  <c r="AC63" i="3"/>
  <c r="AB50" i="3"/>
  <c r="AB79" i="3"/>
  <c r="AB61" i="3"/>
  <c r="P79" i="3"/>
  <c r="P96" i="3"/>
  <c r="G58" i="3"/>
  <c r="X53" i="3"/>
  <c r="AG61" i="3"/>
  <c r="X62" i="3"/>
  <c r="X61" i="3"/>
  <c r="L23" i="3"/>
  <c r="AQ23" i="3"/>
  <c r="X37" i="3"/>
  <c r="L51" i="3"/>
  <c r="AP51" i="3"/>
  <c r="L95" i="3"/>
  <c r="AP95" i="3"/>
  <c r="M13" i="1"/>
  <c r="N106" i="2"/>
  <c r="K13" i="1"/>
  <c r="T59" i="3"/>
  <c r="T63" i="3"/>
  <c r="P63" i="3"/>
  <c r="T95" i="3"/>
  <c r="T61" i="3"/>
  <c r="T79" i="3"/>
  <c r="P59" i="3"/>
  <c r="F159" i="2"/>
  <c r="L106" i="2"/>
  <c r="P75" i="3"/>
  <c r="AH114" i="3"/>
  <c r="AH111" i="3" s="1"/>
  <c r="AH126" i="3" s="1"/>
  <c r="O127" i="3"/>
  <c r="G160" i="2"/>
  <c r="G163" i="2" s="1"/>
  <c r="G101" i="3"/>
  <c r="S126" i="3"/>
  <c r="AA127" i="3"/>
  <c r="F126" i="3"/>
  <c r="AA126" i="3"/>
  <c r="G16" i="3"/>
  <c r="O126" i="3"/>
  <c r="S127" i="3"/>
  <c r="F102" i="2"/>
  <c r="F158" i="2" s="1"/>
  <c r="G154" i="2"/>
  <c r="U160" i="2"/>
  <c r="U163" i="2" s="1"/>
  <c r="U154" i="2"/>
  <c r="M160" i="2"/>
  <c r="M163" i="2" s="1"/>
  <c r="K154" i="2"/>
  <c r="O154" i="2"/>
  <c r="K160" i="2"/>
  <c r="K163" i="2" s="1"/>
  <c r="O160" i="2"/>
  <c r="O163" i="2" s="1"/>
  <c r="F38" i="2"/>
  <c r="M154" i="2"/>
  <c r="AD111" i="3" l="1"/>
  <c r="AD126" i="3" s="1"/>
  <c r="AF127" i="3" s="1"/>
  <c r="P95" i="3"/>
  <c r="AC95" i="3"/>
  <c r="AB95" i="3"/>
  <c r="AB51" i="3"/>
  <c r="AC51" i="3"/>
  <c r="AC23" i="3"/>
  <c r="AB23" i="3"/>
  <c r="X23" i="3"/>
  <c r="AI51" i="3"/>
  <c r="X51" i="3"/>
  <c r="F154" i="2"/>
  <c r="G114" i="3"/>
  <c r="G111" i="3" s="1"/>
  <c r="G126" i="3" s="1"/>
  <c r="E111" i="3"/>
  <c r="E126" i="3" s="1"/>
  <c r="G127" i="3" s="1"/>
  <c r="F157" i="2"/>
  <c r="F160" i="2" s="1"/>
  <c r="F163" i="2" s="1"/>
  <c r="AI13" i="3" l="1"/>
  <c r="AG13" i="3"/>
  <c r="H99" i="2" l="1"/>
  <c r="Q99" i="2" s="1"/>
  <c r="W113" i="3" l="1"/>
  <c r="V114" i="2" l="1"/>
  <c r="V116" i="2"/>
  <c r="V117" i="2"/>
  <c r="V119" i="2"/>
  <c r="V121" i="2"/>
  <c r="W72" i="2" l="1"/>
  <c r="K93" i="3" l="1"/>
  <c r="R24" i="1" l="1"/>
  <c r="S24" i="1" s="1"/>
  <c r="R22" i="1"/>
  <c r="S22" i="1" s="1"/>
  <c r="S105" i="2" l="1"/>
  <c r="S99" i="2" l="1"/>
  <c r="S88" i="2"/>
  <c r="S87" i="2"/>
  <c r="S85" i="2"/>
  <c r="S84" i="2"/>
  <c r="S82" i="2"/>
  <c r="S27" i="2"/>
  <c r="S26" i="2" s="1"/>
  <c r="J113" i="3" l="1"/>
  <c r="AP113" i="3" s="1"/>
  <c r="H114" i="2"/>
  <c r="Q114" i="2" l="1"/>
  <c r="P114" i="2"/>
  <c r="S114" i="2"/>
  <c r="T114" i="2" s="1"/>
  <c r="L114" i="2"/>
  <c r="J114" i="2"/>
  <c r="L113" i="3"/>
  <c r="AC113" i="3" s="1"/>
  <c r="W123" i="3"/>
  <c r="W75" i="3"/>
  <c r="V67" i="3"/>
  <c r="U67" i="3"/>
  <c r="W68" i="3"/>
  <c r="X113" i="3" l="1"/>
  <c r="X75" i="3"/>
  <c r="T113" i="3"/>
  <c r="AB113" i="3"/>
  <c r="S90" i="2" l="1"/>
  <c r="N114" i="2" l="1"/>
  <c r="S83" i="2"/>
  <c r="S86" i="2"/>
  <c r="J93" i="3" l="1"/>
  <c r="L93" i="3" s="1"/>
  <c r="AC93" i="3" s="1"/>
  <c r="X93" i="3" l="1"/>
  <c r="T93" i="3"/>
  <c r="P93" i="3"/>
  <c r="AB93" i="3"/>
  <c r="H92" i="2" l="1"/>
  <c r="H90" i="2"/>
  <c r="P90" i="2" l="1"/>
  <c r="Q90" i="2"/>
  <c r="T92" i="2"/>
  <c r="P92" i="2"/>
  <c r="Q92" i="2"/>
  <c r="H89" i="2"/>
  <c r="P89" i="2" s="1"/>
  <c r="N90" i="2"/>
  <c r="N92" i="2"/>
  <c r="L90" i="2"/>
  <c r="L92" i="2"/>
  <c r="S12" i="2"/>
  <c r="L89" i="2" l="1"/>
  <c r="N89" i="2"/>
  <c r="J125" i="3" l="1"/>
  <c r="AP125" i="3" l="1"/>
  <c r="J55" i="3"/>
  <c r="AP55" i="3" s="1"/>
  <c r="L55" i="3" l="1"/>
  <c r="AC55" i="3" l="1"/>
  <c r="AB55" i="3"/>
  <c r="X55" i="3"/>
  <c r="T55" i="3"/>
  <c r="J123" i="3" l="1"/>
  <c r="AP123" i="3" s="1"/>
  <c r="L123" i="3" l="1"/>
  <c r="AC123" i="3" s="1"/>
  <c r="AK118" i="3"/>
  <c r="AK111" i="3"/>
  <c r="AK106" i="3"/>
  <c r="AK101" i="3"/>
  <c r="AK90" i="3"/>
  <c r="AK69" i="3"/>
  <c r="AK67" i="3"/>
  <c r="AK58" i="3"/>
  <c r="AK44" i="3"/>
  <c r="AK28" i="3"/>
  <c r="AK16" i="3"/>
  <c r="AK10" i="3"/>
  <c r="AK5" i="3"/>
  <c r="W125" i="3"/>
  <c r="W124" i="3"/>
  <c r="W122" i="3"/>
  <c r="W121" i="3"/>
  <c r="W120" i="3"/>
  <c r="W119" i="3"/>
  <c r="V118" i="3"/>
  <c r="U118" i="3"/>
  <c r="W117" i="3"/>
  <c r="W116" i="3"/>
  <c r="W115" i="3"/>
  <c r="W114" i="3"/>
  <c r="W112" i="3"/>
  <c r="V111" i="3"/>
  <c r="U111" i="3"/>
  <c r="W110" i="3"/>
  <c r="W109" i="3"/>
  <c r="W108" i="3"/>
  <c r="W107" i="3"/>
  <c r="V106" i="3"/>
  <c r="U106" i="3"/>
  <c r="W104" i="3"/>
  <c r="W105" i="3"/>
  <c r="W103" i="3"/>
  <c r="W102" i="3"/>
  <c r="V101" i="3"/>
  <c r="U101" i="3"/>
  <c r="W100" i="3"/>
  <c r="W97" i="3"/>
  <c r="W96" i="3"/>
  <c r="W95" i="3"/>
  <c r="W92" i="3"/>
  <c r="W91" i="3"/>
  <c r="V90" i="3"/>
  <c r="U90" i="3"/>
  <c r="W89" i="3"/>
  <c r="W88" i="3"/>
  <c r="W87" i="3"/>
  <c r="W85" i="3"/>
  <c r="W84" i="3"/>
  <c r="W83" i="3"/>
  <c r="W82" i="3"/>
  <c r="W81" i="3"/>
  <c r="W78" i="3"/>
  <c r="W77" i="3"/>
  <c r="W76" i="3"/>
  <c r="W73" i="3"/>
  <c r="W72" i="3"/>
  <c r="W71" i="3"/>
  <c r="W70" i="3"/>
  <c r="V69" i="3"/>
  <c r="U69" i="3"/>
  <c r="W67" i="3"/>
  <c r="W66" i="3"/>
  <c r="W64" i="3"/>
  <c r="W59" i="3"/>
  <c r="V58" i="3"/>
  <c r="U58" i="3"/>
  <c r="W46" i="3"/>
  <c r="W45" i="3"/>
  <c r="V44" i="3"/>
  <c r="U44" i="3"/>
  <c r="W43" i="3"/>
  <c r="W36" i="3"/>
  <c r="W35" i="3"/>
  <c r="W33" i="3"/>
  <c r="W32" i="3"/>
  <c r="W30" i="3"/>
  <c r="W29" i="3"/>
  <c r="V28" i="3"/>
  <c r="U28" i="3"/>
  <c r="W27" i="3"/>
  <c r="W26" i="3"/>
  <c r="W25" i="3"/>
  <c r="W24" i="3"/>
  <c r="W21" i="3"/>
  <c r="W19" i="3"/>
  <c r="W20" i="3"/>
  <c r="W18" i="3"/>
  <c r="W17" i="3"/>
  <c r="V16" i="3"/>
  <c r="U16" i="3"/>
  <c r="W15" i="3"/>
  <c r="W14" i="3"/>
  <c r="W13" i="3"/>
  <c r="W12" i="3"/>
  <c r="W11" i="3"/>
  <c r="V10" i="3"/>
  <c r="U10" i="3"/>
  <c r="W9" i="3"/>
  <c r="W6" i="3"/>
  <c r="V5" i="3"/>
  <c r="U5" i="3"/>
  <c r="J48" i="3"/>
  <c r="AP48" i="3" s="1"/>
  <c r="J8" i="3"/>
  <c r="K8" i="3"/>
  <c r="J19" i="3"/>
  <c r="AP19" i="3" s="1"/>
  <c r="K19" i="3"/>
  <c r="J21" i="3"/>
  <c r="AP21" i="3" s="1"/>
  <c r="K21" i="3"/>
  <c r="J24" i="3"/>
  <c r="AP24" i="3" s="1"/>
  <c r="K24" i="3"/>
  <c r="AQ24" i="3" s="1"/>
  <c r="J115" i="3"/>
  <c r="J116" i="3"/>
  <c r="J105" i="3"/>
  <c r="AP105" i="3" s="1"/>
  <c r="K105" i="3"/>
  <c r="AQ105" i="3" s="1"/>
  <c r="AQ101" i="3" s="1"/>
  <c r="X59" i="3" l="1"/>
  <c r="X78" i="3"/>
  <c r="X77" i="3"/>
  <c r="X76" i="3"/>
  <c r="T123" i="3"/>
  <c r="P123" i="3"/>
  <c r="AB123" i="3"/>
  <c r="L48" i="3"/>
  <c r="AC48" i="3" s="1"/>
  <c r="X123" i="3"/>
  <c r="W44" i="3"/>
  <c r="V126" i="3"/>
  <c r="W118" i="3"/>
  <c r="L8" i="3"/>
  <c r="AC8" i="3" s="1"/>
  <c r="AK126" i="3"/>
  <c r="W69" i="3"/>
  <c r="L24" i="3"/>
  <c r="U126" i="3"/>
  <c r="W111" i="3"/>
  <c r="L105" i="3"/>
  <c r="AC105" i="3" s="1"/>
  <c r="W10" i="3"/>
  <c r="W28" i="3"/>
  <c r="W16" i="3"/>
  <c r="W5" i="3"/>
  <c r="W58" i="3"/>
  <c r="W101" i="3"/>
  <c r="W106" i="3"/>
  <c r="W90" i="3"/>
  <c r="L21" i="3"/>
  <c r="AC21" i="3" s="1"/>
  <c r="L116" i="3"/>
  <c r="AC116" i="3" s="1"/>
  <c r="L19" i="3"/>
  <c r="AC19" i="3" s="1"/>
  <c r="L115" i="3"/>
  <c r="AC115" i="3" s="1"/>
  <c r="X24" i="3" l="1"/>
  <c r="AC24" i="3"/>
  <c r="K14" i="1"/>
  <c r="K15" i="1"/>
  <c r="T48" i="3"/>
  <c r="AB48" i="3"/>
  <c r="X48" i="3"/>
  <c r="P48" i="3"/>
  <c r="P115" i="3"/>
  <c r="T8" i="3"/>
  <c r="AB8" i="3"/>
  <c r="W127" i="3"/>
  <c r="T105" i="3"/>
  <c r="X105" i="3"/>
  <c r="T115" i="3"/>
  <c r="T19" i="3"/>
  <c r="AB116" i="3"/>
  <c r="AB24" i="3"/>
  <c r="P105" i="3"/>
  <c r="P21" i="3"/>
  <c r="AB105" i="3"/>
  <c r="P8" i="3"/>
  <c r="X115" i="3"/>
  <c r="X8" i="3"/>
  <c r="T24" i="3"/>
  <c r="X21" i="3"/>
  <c r="P116" i="3"/>
  <c r="P19" i="3"/>
  <c r="X19" i="3"/>
  <c r="AB21" i="3"/>
  <c r="AB115" i="3"/>
  <c r="X116" i="3"/>
  <c r="T116" i="3"/>
  <c r="T21" i="3"/>
  <c r="AB19" i="3"/>
  <c r="W126" i="3"/>
  <c r="M16" i="1" l="1"/>
  <c r="M18" i="1" s="1"/>
  <c r="K16" i="1"/>
  <c r="K18" i="1" s="1"/>
  <c r="K29" i="1" s="1"/>
  <c r="H5" i="3"/>
  <c r="I5" i="3"/>
  <c r="H10" i="3"/>
  <c r="I10" i="3"/>
  <c r="H16" i="3"/>
  <c r="I16" i="3"/>
  <c r="I28" i="3"/>
  <c r="H28" i="3"/>
  <c r="H44" i="3"/>
  <c r="I44" i="3"/>
  <c r="H58" i="3"/>
  <c r="I58" i="3"/>
  <c r="I67" i="3"/>
  <c r="H67" i="3"/>
  <c r="H69" i="3"/>
  <c r="I69" i="3"/>
  <c r="I90" i="3"/>
  <c r="H90" i="3"/>
  <c r="I101" i="3"/>
  <c r="H101" i="3"/>
  <c r="I106" i="3"/>
  <c r="H106" i="3"/>
  <c r="I111" i="3"/>
  <c r="H111" i="3"/>
  <c r="I118" i="3"/>
  <c r="H118" i="3"/>
  <c r="AG116" i="3"/>
  <c r="AG115" i="3"/>
  <c r="AG78" i="3"/>
  <c r="AG77" i="3"/>
  <c r="AG73" i="3"/>
  <c r="AG72" i="3"/>
  <c r="AI48" i="3"/>
  <c r="AG24" i="3"/>
  <c r="AG21" i="3"/>
  <c r="H149" i="2"/>
  <c r="S149" i="2" l="1"/>
  <c r="T149" i="2" s="1"/>
  <c r="Q149" i="2"/>
  <c r="P149" i="2"/>
  <c r="M29" i="1"/>
  <c r="N149" i="2"/>
  <c r="L149" i="2"/>
  <c r="J149" i="2"/>
  <c r="P108" i="2"/>
  <c r="AI17" i="3"/>
  <c r="AG17" i="3"/>
  <c r="AI62" i="3"/>
  <c r="AG62" i="3"/>
  <c r="AG19" i="3"/>
  <c r="AI19" i="3"/>
  <c r="L108" i="2"/>
  <c r="J108" i="2"/>
  <c r="J137" i="2"/>
  <c r="AI28" i="3"/>
  <c r="AI10" i="3"/>
  <c r="I126" i="3"/>
  <c r="D15" i="1" s="1"/>
  <c r="H126" i="3"/>
  <c r="D14" i="1" s="1"/>
  <c r="P10" i="1"/>
  <c r="D9" i="1"/>
  <c r="I10" i="1"/>
  <c r="D10" i="1"/>
  <c r="AG18" i="3"/>
  <c r="AG25" i="3"/>
  <c r="F35" i="14"/>
  <c r="F30" i="14"/>
  <c r="F20" i="14"/>
  <c r="F17" i="14"/>
  <c r="F19" i="14" s="1"/>
  <c r="H15" i="14"/>
  <c r="H14" i="14"/>
  <c r="AG112" i="3"/>
  <c r="W73" i="2"/>
  <c r="W110" i="2" s="1"/>
  <c r="K68" i="3"/>
  <c r="L68" i="3" s="1"/>
  <c r="AC68" i="3" s="1"/>
  <c r="T99" i="2"/>
  <c r="T78" i="2"/>
  <c r="I144" i="2"/>
  <c r="I162" i="2" s="1"/>
  <c r="H152" i="2"/>
  <c r="I41" i="2"/>
  <c r="I89" i="2"/>
  <c r="F7" i="14"/>
  <c r="F8" i="14" s="1"/>
  <c r="F10" i="14"/>
  <c r="F12" i="14"/>
  <c r="F14" i="14"/>
  <c r="F15" i="14"/>
  <c r="F21" i="14"/>
  <c r="F23" i="14"/>
  <c r="F24" i="14"/>
  <c r="E27" i="14"/>
  <c r="F27" i="14"/>
  <c r="F29" i="14"/>
  <c r="H29" i="14"/>
  <c r="F32" i="14"/>
  <c r="F34" i="14"/>
  <c r="J6" i="3"/>
  <c r="AP6" i="3" s="1"/>
  <c r="K6" i="3"/>
  <c r="H7" i="14"/>
  <c r="H8" i="14" s="1"/>
  <c r="J9" i="3"/>
  <c r="AP9" i="3" s="1"/>
  <c r="K9" i="3"/>
  <c r="J11" i="3"/>
  <c r="AP11" i="3" s="1"/>
  <c r="K11" i="3"/>
  <c r="J13" i="3"/>
  <c r="K13" i="3"/>
  <c r="AQ13" i="3" s="1"/>
  <c r="AI14" i="3"/>
  <c r="J14" i="3"/>
  <c r="AP14" i="3" s="1"/>
  <c r="AG14" i="3"/>
  <c r="AI15" i="3"/>
  <c r="J15" i="3"/>
  <c r="AP15" i="3" s="1"/>
  <c r="K15" i="3"/>
  <c r="AQ15" i="3" s="1"/>
  <c r="AG15" i="3"/>
  <c r="K17" i="3"/>
  <c r="AQ17" i="3" s="1"/>
  <c r="J17" i="3"/>
  <c r="AP17" i="3" s="1"/>
  <c r="K20" i="3"/>
  <c r="AQ20" i="3" s="1"/>
  <c r="J20" i="3"/>
  <c r="AP20" i="3" s="1"/>
  <c r="J18" i="3"/>
  <c r="AP18" i="3" s="1"/>
  <c r="K18" i="3"/>
  <c r="AQ18" i="3" s="1"/>
  <c r="J25" i="3"/>
  <c r="AP25" i="3" s="1"/>
  <c r="K25" i="3"/>
  <c r="AI26" i="3"/>
  <c r="J26" i="3"/>
  <c r="AP26" i="3" s="1"/>
  <c r="K26" i="3"/>
  <c r="AQ26" i="3" s="1"/>
  <c r="AI27" i="3"/>
  <c r="J27" i="3"/>
  <c r="AP27" i="3" s="1"/>
  <c r="K27" i="3"/>
  <c r="AQ27" i="3" s="1"/>
  <c r="AI29" i="3"/>
  <c r="AI30" i="3"/>
  <c r="J30" i="3"/>
  <c r="AP30" i="3" s="1"/>
  <c r="J32" i="3"/>
  <c r="AI33" i="3"/>
  <c r="J33" i="3"/>
  <c r="AP33" i="3" s="1"/>
  <c r="AG33" i="3"/>
  <c r="J35" i="3"/>
  <c r="AP35" i="3" s="1"/>
  <c r="J36" i="3"/>
  <c r="AP36" i="3" s="1"/>
  <c r="J38" i="3"/>
  <c r="J39" i="3"/>
  <c r="AP39" i="3" s="1"/>
  <c r="J40" i="3"/>
  <c r="AP40" i="3" s="1"/>
  <c r="K40" i="3"/>
  <c r="J41" i="3"/>
  <c r="AI43" i="3"/>
  <c r="J43" i="3"/>
  <c r="AG43" i="3"/>
  <c r="K44" i="3"/>
  <c r="J45" i="3"/>
  <c r="AP45" i="3" s="1"/>
  <c r="AI46" i="3"/>
  <c r="J46" i="3"/>
  <c r="AP46" i="3" s="1"/>
  <c r="AG46" i="3"/>
  <c r="AI47" i="3"/>
  <c r="J47" i="3"/>
  <c r="AP47" i="3" s="1"/>
  <c r="AI50" i="3"/>
  <c r="H22" i="14"/>
  <c r="AI52" i="3"/>
  <c r="AG52" i="3"/>
  <c r="AI53" i="3"/>
  <c r="AI57" i="3"/>
  <c r="J57" i="3"/>
  <c r="AP57" i="3" s="1"/>
  <c r="AI64" i="3"/>
  <c r="J64" i="3"/>
  <c r="AP64" i="3" s="1"/>
  <c r="AI66" i="3"/>
  <c r="J66" i="3"/>
  <c r="AP66" i="3" s="1"/>
  <c r="J70" i="3"/>
  <c r="AP70" i="3" s="1"/>
  <c r="H12" i="14"/>
  <c r="AI71" i="3"/>
  <c r="J71" i="3"/>
  <c r="AG71" i="3"/>
  <c r="AI72" i="3"/>
  <c r="J72" i="3"/>
  <c r="J73" i="3"/>
  <c r="AP73" i="3" s="1"/>
  <c r="K73" i="3"/>
  <c r="AI78" i="3"/>
  <c r="AI76" i="3"/>
  <c r="AI80" i="3"/>
  <c r="J80" i="3"/>
  <c r="AP80" i="3" s="1"/>
  <c r="AI81" i="3"/>
  <c r="J81" i="3"/>
  <c r="AP81" i="3" s="1"/>
  <c r="K81" i="3"/>
  <c r="AQ81" i="3" s="1"/>
  <c r="AQ69" i="3" s="1"/>
  <c r="AI82" i="3"/>
  <c r="J82" i="3"/>
  <c r="AP82" i="3" s="1"/>
  <c r="AI83" i="3"/>
  <c r="J83" i="3"/>
  <c r="AP83" i="3" s="1"/>
  <c r="AG83" i="3"/>
  <c r="AI84" i="3"/>
  <c r="J84" i="3"/>
  <c r="AP84" i="3" s="1"/>
  <c r="AI85" i="3"/>
  <c r="J85" i="3"/>
  <c r="AP85" i="3" s="1"/>
  <c r="J87" i="3"/>
  <c r="AP87" i="3" s="1"/>
  <c r="J88" i="3"/>
  <c r="AP88" i="3" s="1"/>
  <c r="AI89" i="3"/>
  <c r="J89" i="3"/>
  <c r="AP89" i="3" s="1"/>
  <c r="AG89" i="3"/>
  <c r="AG91" i="3"/>
  <c r="J100" i="3"/>
  <c r="AI96" i="3"/>
  <c r="AI99" i="3"/>
  <c r="J99" i="3"/>
  <c r="L99" i="3" s="1"/>
  <c r="AC99" i="3" s="1"/>
  <c r="AG99" i="3"/>
  <c r="AI102" i="3"/>
  <c r="J102" i="3"/>
  <c r="AI103" i="3"/>
  <c r="K101" i="3"/>
  <c r="H33" i="14"/>
  <c r="J104" i="3"/>
  <c r="AP104" i="3" s="1"/>
  <c r="J107" i="3"/>
  <c r="AP107" i="3" s="1"/>
  <c r="K107" i="3"/>
  <c r="AQ107" i="3" s="1"/>
  <c r="J108" i="3"/>
  <c r="AP108" i="3" s="1"/>
  <c r="K108" i="3"/>
  <c r="AQ108" i="3" s="1"/>
  <c r="AI108" i="3"/>
  <c r="AI109" i="3"/>
  <c r="J109" i="3"/>
  <c r="AP109" i="3" s="1"/>
  <c r="AG109" i="3"/>
  <c r="J110" i="3"/>
  <c r="AP110" i="3" s="1"/>
  <c r="J112" i="3"/>
  <c r="AP112" i="3" s="1"/>
  <c r="AI117" i="3"/>
  <c r="J117" i="3"/>
  <c r="AP117" i="3" s="1"/>
  <c r="K117" i="3"/>
  <c r="AQ117" i="3" s="1"/>
  <c r="AG117" i="3"/>
  <c r="AI118" i="3"/>
  <c r="AI119" i="3"/>
  <c r="J119" i="3"/>
  <c r="AP119" i="3" s="1"/>
  <c r="AI120" i="3"/>
  <c r="J120" i="3"/>
  <c r="AP120" i="3" s="1"/>
  <c r="AG120" i="3"/>
  <c r="AI121" i="3"/>
  <c r="J121" i="3"/>
  <c r="AP121" i="3" s="1"/>
  <c r="AG121" i="3"/>
  <c r="AI122" i="3"/>
  <c r="J122" i="3"/>
  <c r="AG122" i="3"/>
  <c r="AI124" i="3"/>
  <c r="J124" i="3"/>
  <c r="AP124" i="3" s="1"/>
  <c r="I5" i="2"/>
  <c r="H6" i="2"/>
  <c r="Q6" i="2" s="1"/>
  <c r="V6" i="2"/>
  <c r="H7" i="2"/>
  <c r="Q7" i="2" s="1"/>
  <c r="V7" i="2"/>
  <c r="H8" i="2"/>
  <c r="Q8" i="2" s="1"/>
  <c r="V8" i="2"/>
  <c r="H9" i="2"/>
  <c r="Q9" i="2" s="1"/>
  <c r="V9" i="2"/>
  <c r="H10" i="2"/>
  <c r="Q10" i="2" s="1"/>
  <c r="V10" i="2"/>
  <c r="H11" i="2"/>
  <c r="Q11" i="2" s="1"/>
  <c r="V11" i="2"/>
  <c r="H12" i="2"/>
  <c r="Q12" i="2" s="1"/>
  <c r="V12" i="2"/>
  <c r="I14" i="2"/>
  <c r="H15" i="2"/>
  <c r="Q15" i="2" s="1"/>
  <c r="V15" i="2"/>
  <c r="H16" i="2"/>
  <c r="Q16" i="2" s="1"/>
  <c r="V16" i="2"/>
  <c r="H17" i="2"/>
  <c r="Q17" i="2" s="1"/>
  <c r="V17" i="2"/>
  <c r="H18" i="2"/>
  <c r="Q18" i="2" s="1"/>
  <c r="V18" i="2"/>
  <c r="H19" i="2"/>
  <c r="Q19" i="2" s="1"/>
  <c r="V19" i="2"/>
  <c r="H20" i="2"/>
  <c r="Q20" i="2" s="1"/>
  <c r="V20" i="2"/>
  <c r="H21" i="2"/>
  <c r="Q21" i="2" s="1"/>
  <c r="V21" i="2"/>
  <c r="H22" i="2"/>
  <c r="Q22" i="2" s="1"/>
  <c r="V22" i="2"/>
  <c r="H23" i="2"/>
  <c r="Q23" i="2" s="1"/>
  <c r="V23" i="2"/>
  <c r="H24" i="2"/>
  <c r="Q24" i="2" s="1"/>
  <c r="V24" i="2"/>
  <c r="H25" i="2"/>
  <c r="Q25" i="2" s="1"/>
  <c r="I26" i="2"/>
  <c r="V26" i="2"/>
  <c r="H27" i="2"/>
  <c r="Q27" i="2" s="1"/>
  <c r="H29" i="2"/>
  <c r="Q29" i="2" s="1"/>
  <c r="V29" i="2"/>
  <c r="V30" i="2"/>
  <c r="H31" i="2"/>
  <c r="Q31" i="2" s="1"/>
  <c r="V31" i="2"/>
  <c r="H32" i="2"/>
  <c r="Q32" i="2" s="1"/>
  <c r="V32" i="2"/>
  <c r="H33" i="2"/>
  <c r="Q33" i="2" s="1"/>
  <c r="V33" i="2"/>
  <c r="H34" i="2"/>
  <c r="Q34" i="2" s="1"/>
  <c r="V34" i="2"/>
  <c r="H35" i="2"/>
  <c r="Q35" i="2" s="1"/>
  <c r="V35" i="2"/>
  <c r="I36" i="2"/>
  <c r="H37" i="2"/>
  <c r="Q37" i="2" s="1"/>
  <c r="V37" i="2"/>
  <c r="H42" i="2"/>
  <c r="Q42" i="2" s="1"/>
  <c r="V42" i="2"/>
  <c r="H43" i="2"/>
  <c r="Q43" i="2" s="1"/>
  <c r="V43" i="2"/>
  <c r="H47" i="2"/>
  <c r="V47" i="2"/>
  <c r="H48" i="2"/>
  <c r="Q48" i="2" s="1"/>
  <c r="V48" i="2"/>
  <c r="H49" i="2"/>
  <c r="Q49" i="2" s="1"/>
  <c r="V49" i="2"/>
  <c r="H50" i="2"/>
  <c r="Q50" i="2" s="1"/>
  <c r="V50" i="2"/>
  <c r="H51" i="2"/>
  <c r="Q51" i="2" s="1"/>
  <c r="V51" i="2"/>
  <c r="H53" i="2"/>
  <c r="Q53" i="2" s="1"/>
  <c r="V53" i="2"/>
  <c r="H54" i="2"/>
  <c r="Q54" i="2" s="1"/>
  <c r="V54" i="2"/>
  <c r="H55" i="2"/>
  <c r="Q55" i="2" s="1"/>
  <c r="V55" i="2"/>
  <c r="H56" i="2"/>
  <c r="Q56" i="2" s="1"/>
  <c r="V56" i="2"/>
  <c r="H57" i="2"/>
  <c r="Q57" i="2" s="1"/>
  <c r="V57" i="2"/>
  <c r="H58" i="2"/>
  <c r="Q58" i="2" s="1"/>
  <c r="H59" i="2"/>
  <c r="Q59" i="2" s="1"/>
  <c r="V59" i="2"/>
  <c r="H60" i="2"/>
  <c r="Q60" i="2" s="1"/>
  <c r="V60" i="2"/>
  <c r="V63" i="2"/>
  <c r="H63" i="2"/>
  <c r="Q63" i="2" s="1"/>
  <c r="H65" i="2"/>
  <c r="Q65" i="2" s="1"/>
  <c r="V65" i="2"/>
  <c r="H66" i="2"/>
  <c r="Q66" i="2" s="1"/>
  <c r="V66" i="2"/>
  <c r="V69" i="2"/>
  <c r="H70" i="2"/>
  <c r="Q70" i="2" s="1"/>
  <c r="V70" i="2"/>
  <c r="H71" i="2"/>
  <c r="Q71" i="2" s="1"/>
  <c r="V71" i="2"/>
  <c r="H73" i="2"/>
  <c r="Q73" i="2" s="1"/>
  <c r="V73" i="2"/>
  <c r="H74" i="2"/>
  <c r="Q74" i="2" s="1"/>
  <c r="V74" i="2"/>
  <c r="H75" i="2"/>
  <c r="Q75" i="2" s="1"/>
  <c r="V75" i="2"/>
  <c r="V76" i="2"/>
  <c r="H77" i="2"/>
  <c r="Q77" i="2" s="1"/>
  <c r="V77" i="2"/>
  <c r="H79" i="2"/>
  <c r="Q79" i="2" s="1"/>
  <c r="V79" i="2"/>
  <c r="H80" i="2"/>
  <c r="Q80" i="2" s="1"/>
  <c r="V80" i="2"/>
  <c r="I81" i="2"/>
  <c r="H82" i="2"/>
  <c r="Q82" i="2" s="1"/>
  <c r="V82" i="2"/>
  <c r="H83" i="2"/>
  <c r="Q83" i="2" s="1"/>
  <c r="V83" i="2"/>
  <c r="H84" i="2"/>
  <c r="Q84" i="2" s="1"/>
  <c r="V84" i="2"/>
  <c r="H85" i="2"/>
  <c r="Q85" i="2" s="1"/>
  <c r="V85" i="2"/>
  <c r="H86" i="2"/>
  <c r="Q86" i="2" s="1"/>
  <c r="V86" i="2"/>
  <c r="H87" i="2"/>
  <c r="Q87" i="2" s="1"/>
  <c r="H88" i="2"/>
  <c r="Q88" i="2" s="1"/>
  <c r="V88" i="2"/>
  <c r="I100" i="2"/>
  <c r="V100" i="2"/>
  <c r="H101" i="2"/>
  <c r="Q101" i="2" s="1"/>
  <c r="S101" i="2"/>
  <c r="S100" i="2" s="1"/>
  <c r="H105" i="2"/>
  <c r="Q105" i="2" s="1"/>
  <c r="V105" i="2"/>
  <c r="V107" i="2"/>
  <c r="H109" i="2"/>
  <c r="Q109" i="2" s="1"/>
  <c r="V109" i="2"/>
  <c r="I110" i="2"/>
  <c r="I161" i="2" s="1"/>
  <c r="I112" i="2"/>
  <c r="I159" i="2" s="1"/>
  <c r="H113" i="2"/>
  <c r="Q113" i="2" s="1"/>
  <c r="V113" i="2"/>
  <c r="V138" i="2"/>
  <c r="V130" i="2"/>
  <c r="V131" i="2"/>
  <c r="V162" i="2"/>
  <c r="V144" i="2"/>
  <c r="H145" i="2"/>
  <c r="Q145" i="2" s="1"/>
  <c r="C11" i="1"/>
  <c r="D11" i="1"/>
  <c r="E21" i="1"/>
  <c r="R21" i="1" s="1"/>
  <c r="S21" i="1" s="1"/>
  <c r="E23" i="1"/>
  <c r="S23" i="1" s="1"/>
  <c r="E25" i="1"/>
  <c r="K25" i="1" s="1"/>
  <c r="L25" i="1" s="1"/>
  <c r="AI88" i="3"/>
  <c r="AI77" i="3"/>
  <c r="AG81" i="3"/>
  <c r="AG53" i="3"/>
  <c r="H17" i="14"/>
  <c r="H19" i="14" s="1"/>
  <c r="AG29" i="3"/>
  <c r="J29" i="3"/>
  <c r="AP29" i="3" s="1"/>
  <c r="AG26" i="3"/>
  <c r="AG12" i="3"/>
  <c r="AI11" i="3"/>
  <c r="J12" i="3"/>
  <c r="AP12" i="3" s="1"/>
  <c r="AG11" i="3"/>
  <c r="AI73" i="3"/>
  <c r="AG47" i="3"/>
  <c r="D12" i="1"/>
  <c r="C12" i="1"/>
  <c r="I12" i="1"/>
  <c r="I11" i="1"/>
  <c r="H72" i="2"/>
  <c r="Q72" i="2" s="1"/>
  <c r="V58" i="2"/>
  <c r="V72" i="2"/>
  <c r="P71" i="2"/>
  <c r="V14" i="2"/>
  <c r="S5" i="2"/>
  <c r="AG88" i="3"/>
  <c r="K90" i="3"/>
  <c r="AI125" i="3"/>
  <c r="AI35" i="3"/>
  <c r="AI18" i="3"/>
  <c r="AI20" i="3"/>
  <c r="AI36" i="3"/>
  <c r="AG84" i="3"/>
  <c r="AG51" i="3"/>
  <c r="AG36" i="3"/>
  <c r="AG27" i="3"/>
  <c r="V36" i="2"/>
  <c r="V5" i="2"/>
  <c r="V159" i="2"/>
  <c r="V110" i="2"/>
  <c r="V161" i="2"/>
  <c r="P11" i="1"/>
  <c r="V81" i="2"/>
  <c r="AG30" i="3"/>
  <c r="V41" i="2"/>
  <c r="AG82" i="3"/>
  <c r="AG57" i="3"/>
  <c r="P12" i="1"/>
  <c r="S14" i="2"/>
  <c r="H27" i="14"/>
  <c r="H10" i="14"/>
  <c r="F13" i="14"/>
  <c r="AG35" i="3"/>
  <c r="AG6" i="3"/>
  <c r="AG103" i="3"/>
  <c r="J92" i="3"/>
  <c r="AP92" i="3" s="1"/>
  <c r="AG92" i="3"/>
  <c r="J91" i="3"/>
  <c r="AP91" i="3" s="1"/>
  <c r="AG110" i="3"/>
  <c r="K110" i="3"/>
  <c r="AQ110" i="3" s="1"/>
  <c r="AI32" i="3"/>
  <c r="H13" i="14"/>
  <c r="H34" i="14"/>
  <c r="H36" i="14" s="1"/>
  <c r="AI110" i="3"/>
  <c r="AI92" i="3"/>
  <c r="AI91" i="3"/>
  <c r="T47" i="2" l="1"/>
  <c r="Q47" i="2"/>
  <c r="S152" i="2"/>
  <c r="Q152" i="2"/>
  <c r="AQ106" i="3"/>
  <c r="AP118" i="3"/>
  <c r="AP58" i="3"/>
  <c r="K28" i="3"/>
  <c r="AQ40" i="3"/>
  <c r="AQ28" i="3" s="1"/>
  <c r="AP44" i="3"/>
  <c r="L43" i="3"/>
  <c r="AC43" i="3" s="1"/>
  <c r="AP43" i="3"/>
  <c r="AQ10" i="3"/>
  <c r="AP5" i="3"/>
  <c r="J10" i="14"/>
  <c r="L100" i="3"/>
  <c r="AC100" i="3" s="1"/>
  <c r="AP100" i="3"/>
  <c r="AP90" i="3" s="1"/>
  <c r="AP69" i="3"/>
  <c r="X99" i="3"/>
  <c r="AP16" i="3"/>
  <c r="AP10" i="3"/>
  <c r="L41" i="3"/>
  <c r="AC41" i="3" s="1"/>
  <c r="AP41" i="3"/>
  <c r="AQ16" i="3"/>
  <c r="AP106" i="3"/>
  <c r="T58" i="2"/>
  <c r="T54" i="2"/>
  <c r="S37" i="2"/>
  <c r="S36" i="2" s="1"/>
  <c r="S109" i="2"/>
  <c r="T109" i="2" s="1"/>
  <c r="T55" i="2"/>
  <c r="S35" i="2"/>
  <c r="T35" i="2" s="1"/>
  <c r="S31" i="2"/>
  <c r="T59" i="2"/>
  <c r="T56" i="2"/>
  <c r="S32" i="2"/>
  <c r="S60" i="2"/>
  <c r="T60" i="2" s="1"/>
  <c r="T57" i="2"/>
  <c r="S53" i="2"/>
  <c r="T53" i="2" s="1"/>
  <c r="N21" i="1"/>
  <c r="L21" i="1"/>
  <c r="J21" i="1"/>
  <c r="K27" i="1"/>
  <c r="N152" i="2"/>
  <c r="N47" i="2"/>
  <c r="T99" i="3"/>
  <c r="T100" i="3"/>
  <c r="S25" i="1"/>
  <c r="G25" i="1"/>
  <c r="H25" i="1" s="1"/>
  <c r="Q76" i="2"/>
  <c r="I38" i="2"/>
  <c r="I157" i="2" s="1"/>
  <c r="L152" i="2"/>
  <c r="T16" i="2"/>
  <c r="P99" i="3"/>
  <c r="J25" i="2"/>
  <c r="J152" i="2"/>
  <c r="J105" i="2"/>
  <c r="P145" i="2"/>
  <c r="S144" i="2"/>
  <c r="S162" i="2" s="1"/>
  <c r="P152" i="2"/>
  <c r="S76" i="2"/>
  <c r="AG70" i="3"/>
  <c r="AI70" i="3"/>
  <c r="AB68" i="3"/>
  <c r="P22" i="2"/>
  <c r="P88" i="2"/>
  <c r="J9" i="2"/>
  <c r="L71" i="2"/>
  <c r="J69" i="2"/>
  <c r="J12" i="14"/>
  <c r="L12" i="3"/>
  <c r="AC12" i="3" s="1"/>
  <c r="L124" i="3"/>
  <c r="AC124" i="3" s="1"/>
  <c r="L120" i="3"/>
  <c r="AC120" i="3" s="1"/>
  <c r="K106" i="3"/>
  <c r="L112" i="3"/>
  <c r="AC112" i="3" s="1"/>
  <c r="L119" i="3"/>
  <c r="AC119" i="3" s="1"/>
  <c r="L102" i="3"/>
  <c r="AC102" i="3" s="1"/>
  <c r="J67" i="3"/>
  <c r="L122" i="3"/>
  <c r="AC122" i="3" s="1"/>
  <c r="L66" i="3"/>
  <c r="AC66" i="3" s="1"/>
  <c r="L121" i="3"/>
  <c r="AC121" i="3" s="1"/>
  <c r="T23" i="2"/>
  <c r="P10" i="2"/>
  <c r="F33" i="14"/>
  <c r="J33" i="14" s="1"/>
  <c r="L26" i="3"/>
  <c r="AC26" i="3" s="1"/>
  <c r="L57" i="2"/>
  <c r="T113" i="2"/>
  <c r="T75" i="2"/>
  <c r="L104" i="3"/>
  <c r="AC104" i="3" s="1"/>
  <c r="L14" i="3"/>
  <c r="AC14" i="3" s="1"/>
  <c r="L60" i="2"/>
  <c r="L64" i="3"/>
  <c r="AC64" i="3" s="1"/>
  <c r="L92" i="3"/>
  <c r="AC92" i="3" s="1"/>
  <c r="L29" i="3"/>
  <c r="AC29" i="3" s="1"/>
  <c r="AL96" i="3"/>
  <c r="L88" i="3"/>
  <c r="AC88" i="3" s="1"/>
  <c r="AL76" i="3"/>
  <c r="L57" i="3"/>
  <c r="AC57" i="3" s="1"/>
  <c r="L39" i="3"/>
  <c r="AC39" i="3" s="1"/>
  <c r="L35" i="3"/>
  <c r="AC35" i="3" s="1"/>
  <c r="L30" i="3"/>
  <c r="AC30" i="3" s="1"/>
  <c r="L89" i="3"/>
  <c r="AC89" i="3" s="1"/>
  <c r="L80" i="3"/>
  <c r="L72" i="3"/>
  <c r="AC72" i="3" s="1"/>
  <c r="L71" i="3"/>
  <c r="AC71" i="3" s="1"/>
  <c r="L87" i="3"/>
  <c r="AC87" i="3" s="1"/>
  <c r="L82" i="3"/>
  <c r="AC82" i="3" s="1"/>
  <c r="L70" i="3"/>
  <c r="AC70" i="3" s="1"/>
  <c r="L45" i="3"/>
  <c r="AC45" i="3" s="1"/>
  <c r="L84" i="3"/>
  <c r="AC84" i="3" s="1"/>
  <c r="L83" i="3"/>
  <c r="AC83" i="3" s="1"/>
  <c r="L46" i="3"/>
  <c r="AC46" i="3" s="1"/>
  <c r="L38" i="3"/>
  <c r="AC38" i="3" s="1"/>
  <c r="L85" i="3"/>
  <c r="AC85" i="3" s="1"/>
  <c r="L33" i="3"/>
  <c r="AC33" i="3" s="1"/>
  <c r="L32" i="3"/>
  <c r="AC32" i="3" s="1"/>
  <c r="L36" i="3"/>
  <c r="AC36" i="3" s="1"/>
  <c r="L47" i="3"/>
  <c r="AC47" i="3" s="1"/>
  <c r="L25" i="3"/>
  <c r="AC25" i="3" s="1"/>
  <c r="L15" i="3"/>
  <c r="AC15" i="3" s="1"/>
  <c r="K10" i="3"/>
  <c r="N18" i="2"/>
  <c r="N80" i="2"/>
  <c r="T69" i="2"/>
  <c r="L72" i="2"/>
  <c r="L86" i="2"/>
  <c r="P57" i="2"/>
  <c r="N74" i="2"/>
  <c r="L69" i="2"/>
  <c r="N17" i="2"/>
  <c r="P16" i="2"/>
  <c r="I9" i="1"/>
  <c r="I13" i="1" s="1"/>
  <c r="G29" i="14"/>
  <c r="J27" i="14"/>
  <c r="E11" i="1"/>
  <c r="O11" i="1" s="1"/>
  <c r="K114" i="3"/>
  <c r="AL100" i="3"/>
  <c r="J15" i="14"/>
  <c r="N71" i="2"/>
  <c r="L15" i="2"/>
  <c r="T22" i="2"/>
  <c r="J22" i="2"/>
  <c r="E20" i="14"/>
  <c r="N50" i="2"/>
  <c r="J16" i="2"/>
  <c r="T71" i="2"/>
  <c r="N58" i="2"/>
  <c r="J109" i="2"/>
  <c r="T20" i="2"/>
  <c r="F16" i="14"/>
  <c r="L19" i="2"/>
  <c r="V38" i="2"/>
  <c r="L43" i="2"/>
  <c r="N66" i="2"/>
  <c r="P9" i="2"/>
  <c r="J20" i="2"/>
  <c r="T6" i="2"/>
  <c r="J72" i="2"/>
  <c r="L58" i="2"/>
  <c r="P72" i="2"/>
  <c r="J88" i="2"/>
  <c r="N105" i="2"/>
  <c r="J138" i="2"/>
  <c r="S81" i="2"/>
  <c r="P80" i="2"/>
  <c r="L79" i="2"/>
  <c r="N65" i="2"/>
  <c r="N54" i="2"/>
  <c r="E7" i="14"/>
  <c r="E8" i="14" s="1"/>
  <c r="H36" i="2"/>
  <c r="L36" i="2" s="1"/>
  <c r="P86" i="2"/>
  <c r="L70" i="2"/>
  <c r="N72" i="2"/>
  <c r="J74" i="2"/>
  <c r="N69" i="2"/>
  <c r="L56" i="2"/>
  <c r="T51" i="2"/>
  <c r="E17" i="14"/>
  <c r="E19" i="14" s="1"/>
  <c r="H100" i="2"/>
  <c r="Q100" i="2" s="1"/>
  <c r="N77" i="2"/>
  <c r="J57" i="2"/>
  <c r="N53" i="2"/>
  <c r="T29" i="2"/>
  <c r="Q26" i="2"/>
  <c r="N23" i="2"/>
  <c r="L18" i="2"/>
  <c r="L10" i="2"/>
  <c r="N16" i="2"/>
  <c r="J21" i="2"/>
  <c r="J17" i="2"/>
  <c r="L7" i="2"/>
  <c r="J5" i="3"/>
  <c r="J6" i="2"/>
  <c r="J19" i="14"/>
  <c r="J23" i="2"/>
  <c r="N22" i="2"/>
  <c r="P6" i="2"/>
  <c r="T10" i="2"/>
  <c r="E12" i="1"/>
  <c r="O12" i="1" s="1"/>
  <c r="G12" i="1"/>
  <c r="N88" i="2"/>
  <c r="E14" i="14"/>
  <c r="T18" i="2"/>
  <c r="N57" i="2"/>
  <c r="J53" i="2"/>
  <c r="L47" i="2"/>
  <c r="N113" i="2"/>
  <c r="P21" i="2"/>
  <c r="J8" i="2"/>
  <c r="J7" i="2"/>
  <c r="P54" i="2"/>
  <c r="N43" i="2"/>
  <c r="H76" i="2"/>
  <c r="E29" i="14"/>
  <c r="I102" i="2"/>
  <c r="I158" i="2" s="1"/>
  <c r="G10" i="1" s="1"/>
  <c r="X92" i="3"/>
  <c r="N24" i="2"/>
  <c r="P24" i="2"/>
  <c r="T9" i="2"/>
  <c r="L9" i="2"/>
  <c r="P59" i="2"/>
  <c r="AB99" i="3"/>
  <c r="L27" i="3"/>
  <c r="AC27" i="3" s="1"/>
  <c r="F25" i="14"/>
  <c r="J14" i="14"/>
  <c r="J25" i="1"/>
  <c r="L13" i="3"/>
  <c r="AC13" i="3" s="1"/>
  <c r="L11" i="3"/>
  <c r="AC11" i="3" s="1"/>
  <c r="L20" i="3"/>
  <c r="AC20" i="3" s="1"/>
  <c r="D16" i="1"/>
  <c r="K5" i="3"/>
  <c r="J106" i="3"/>
  <c r="J16" i="3"/>
  <c r="K16" i="3"/>
  <c r="K67" i="3"/>
  <c r="L17" i="3"/>
  <c r="AC17" i="3" s="1"/>
  <c r="L40" i="3"/>
  <c r="AC40" i="3" s="1"/>
  <c r="AG90" i="3"/>
  <c r="AG118" i="3"/>
  <c r="AG10" i="3"/>
  <c r="AI112" i="3"/>
  <c r="AG28" i="3"/>
  <c r="H16" i="14"/>
  <c r="J118" i="3"/>
  <c r="AG108" i="3"/>
  <c r="J28" i="3"/>
  <c r="I14" i="1"/>
  <c r="L117" i="3"/>
  <c r="AC117" i="3" s="1"/>
  <c r="L73" i="3"/>
  <c r="AC73" i="3" s="1"/>
  <c r="I15" i="1"/>
  <c r="G14" i="1"/>
  <c r="L110" i="3"/>
  <c r="AC110" i="3" s="1"/>
  <c r="J90" i="3"/>
  <c r="J10" i="3"/>
  <c r="P24" i="3"/>
  <c r="L108" i="3"/>
  <c r="AC108" i="3" s="1"/>
  <c r="L81" i="3"/>
  <c r="AC81" i="3" s="1"/>
  <c r="L6" i="3"/>
  <c r="AC6" i="3" s="1"/>
  <c r="L109" i="3"/>
  <c r="AC109" i="3" s="1"/>
  <c r="L18" i="3"/>
  <c r="AC18" i="3" s="1"/>
  <c r="J58" i="3"/>
  <c r="J114" i="3"/>
  <c r="AP114" i="3" s="1"/>
  <c r="AP111" i="3" s="1"/>
  <c r="AI90" i="3"/>
  <c r="AG104" i="3"/>
  <c r="AG95" i="3"/>
  <c r="AI95" i="3"/>
  <c r="AI12" i="3"/>
  <c r="J44" i="3"/>
  <c r="AG119" i="3"/>
  <c r="L107" i="3"/>
  <c r="AC107" i="3" s="1"/>
  <c r="AG102" i="3"/>
  <c r="L91" i="3"/>
  <c r="AC91" i="3" s="1"/>
  <c r="AL99" i="3"/>
  <c r="K125" i="3"/>
  <c r="J13" i="14"/>
  <c r="K69" i="3"/>
  <c r="AI45" i="3"/>
  <c r="AG85" i="3"/>
  <c r="J8" i="14"/>
  <c r="AG101" i="3"/>
  <c r="K58" i="3"/>
  <c r="L9" i="3"/>
  <c r="AC9" i="3" s="1"/>
  <c r="J29" i="14"/>
  <c r="AG96" i="3"/>
  <c r="P53" i="2"/>
  <c r="T50" i="2"/>
  <c r="L88" i="2"/>
  <c r="L23" i="2"/>
  <c r="P19" i="2"/>
  <c r="T24" i="2"/>
  <c r="E10" i="14"/>
  <c r="P47" i="2"/>
  <c r="E12" i="14"/>
  <c r="H110" i="2"/>
  <c r="H161" i="2" s="1"/>
  <c r="J24" i="2"/>
  <c r="E32" i="14"/>
  <c r="L105" i="2"/>
  <c r="N8" i="2"/>
  <c r="N9" i="2"/>
  <c r="T8" i="2"/>
  <c r="L20" i="2"/>
  <c r="T15" i="2"/>
  <c r="J19" i="2"/>
  <c r="V112" i="2"/>
  <c r="P105" i="2"/>
  <c r="P56" i="2"/>
  <c r="L53" i="2"/>
  <c r="P50" i="2"/>
  <c r="L37" i="2"/>
  <c r="D13" i="1"/>
  <c r="T88" i="2"/>
  <c r="P9" i="1"/>
  <c r="P13" i="1" s="1"/>
  <c r="Q12" i="1"/>
  <c r="Q11" i="1"/>
  <c r="L49" i="2"/>
  <c r="J65" i="2"/>
  <c r="L109" i="2"/>
  <c r="N109" i="2"/>
  <c r="L51" i="2"/>
  <c r="E34" i="14"/>
  <c r="P49" i="2"/>
  <c r="P65" i="2"/>
  <c r="L80" i="2"/>
  <c r="J113" i="2"/>
  <c r="P15" i="2"/>
  <c r="N10" i="2"/>
  <c r="L8" i="2"/>
  <c r="J50" i="2"/>
  <c r="N20" i="2"/>
  <c r="L6" i="2"/>
  <c r="N6" i="2"/>
  <c r="L16" i="2"/>
  <c r="J10" i="2"/>
  <c r="P77" i="2"/>
  <c r="J47" i="2"/>
  <c r="T43" i="2"/>
  <c r="N37" i="2"/>
  <c r="V153" i="2"/>
  <c r="P113" i="2"/>
  <c r="P60" i="2"/>
  <c r="Q89" i="2"/>
  <c r="F22" i="14"/>
  <c r="J22" i="14" s="1"/>
  <c r="F36" i="14"/>
  <c r="J36" i="14" s="1"/>
  <c r="S89" i="2"/>
  <c r="T90" i="2"/>
  <c r="T84" i="2"/>
  <c r="N84" i="2"/>
  <c r="N83" i="2"/>
  <c r="H81" i="2"/>
  <c r="J81" i="2" s="1"/>
  <c r="H41" i="2"/>
  <c r="L41" i="2" s="1"/>
  <c r="N42" i="2"/>
  <c r="J31" i="2"/>
  <c r="N31" i="2"/>
  <c r="E23" i="14"/>
  <c r="L31" i="2"/>
  <c r="T25" i="2"/>
  <c r="N21" i="2"/>
  <c r="L21" i="2"/>
  <c r="P17" i="2"/>
  <c r="H14" i="2"/>
  <c r="J14" i="2" s="1"/>
  <c r="L17" i="2"/>
  <c r="J12" i="2"/>
  <c r="L12" i="2"/>
  <c r="P12" i="2"/>
  <c r="N12" i="2"/>
  <c r="T12" i="2"/>
  <c r="J85" i="2"/>
  <c r="P85" i="2"/>
  <c r="L85" i="2"/>
  <c r="N85" i="2"/>
  <c r="N75" i="2"/>
  <c r="L75" i="2"/>
  <c r="P75" i="2"/>
  <c r="E24" i="14"/>
  <c r="P63" i="2"/>
  <c r="L63" i="2"/>
  <c r="N63" i="2"/>
  <c r="P48" i="2"/>
  <c r="L48" i="2"/>
  <c r="E21" i="14"/>
  <c r="J29" i="2"/>
  <c r="P29" i="2"/>
  <c r="L29" i="2"/>
  <c r="N29" i="2"/>
  <c r="V102" i="2"/>
  <c r="H112" i="2"/>
  <c r="P112" i="2" s="1"/>
  <c r="P73" i="2"/>
  <c r="L73" i="2"/>
  <c r="N73" i="2"/>
  <c r="L33" i="2"/>
  <c r="N33" i="2"/>
  <c r="T33" i="2"/>
  <c r="P33" i="2"/>
  <c r="N11" i="2"/>
  <c r="L11" i="2"/>
  <c r="J11" i="2"/>
  <c r="T11" i="2"/>
  <c r="N7" i="2"/>
  <c r="H5" i="2"/>
  <c r="T7" i="2"/>
  <c r="P7" i="2"/>
  <c r="T87" i="2"/>
  <c r="N51" i="2"/>
  <c r="T65" i="2"/>
  <c r="P43" i="2"/>
  <c r="P51" i="2"/>
  <c r="E15" i="14"/>
  <c r="E13" i="14"/>
  <c r="H64" i="2"/>
  <c r="J64" i="2" s="1"/>
  <c r="N79" i="2"/>
  <c r="T77" i="2"/>
  <c r="T19" i="2"/>
  <c r="N19" i="2"/>
  <c r="P23" i="2"/>
  <c r="L22" i="2"/>
  <c r="P8" i="2"/>
  <c r="J15" i="2"/>
  <c r="N15" i="2"/>
  <c r="P18" i="2"/>
  <c r="J18" i="2"/>
  <c r="V64" i="2"/>
  <c r="V157" i="2"/>
  <c r="C9" i="1"/>
  <c r="I153" i="2"/>
  <c r="T21" i="2"/>
  <c r="T101" i="2"/>
  <c r="T100" i="2" s="1"/>
  <c r="P109" i="2"/>
  <c r="T105" i="2"/>
  <c r="N86" i="2"/>
  <c r="T85" i="2"/>
  <c r="J84" i="2"/>
  <c r="T83" i="2"/>
  <c r="J83" i="2"/>
  <c r="T82" i="2"/>
  <c r="L82" i="2"/>
  <c r="L74" i="2"/>
  <c r="P70" i="2"/>
  <c r="J66" i="2"/>
  <c r="N55" i="2"/>
  <c r="L42" i="2"/>
  <c r="T27" i="2"/>
  <c r="T86" i="2"/>
  <c r="P84" i="2"/>
  <c r="P83" i="2"/>
  <c r="P82" i="2"/>
  <c r="T42" i="2"/>
  <c r="P35" i="2"/>
  <c r="P32" i="2"/>
  <c r="H30" i="2"/>
  <c r="Q30" i="2" s="1"/>
  <c r="P11" i="2"/>
  <c r="L113" i="2"/>
  <c r="L84" i="2"/>
  <c r="L83" i="2"/>
  <c r="N82" i="2"/>
  <c r="J77" i="2"/>
  <c r="P74" i="2"/>
  <c r="T73" i="2"/>
  <c r="J73" i="2"/>
  <c r="L66" i="2"/>
  <c r="T63" i="2"/>
  <c r="N56" i="2"/>
  <c r="P55" i="2"/>
  <c r="L50" i="2"/>
  <c r="T49" i="2"/>
  <c r="P42" i="2"/>
  <c r="N35" i="2"/>
  <c r="P34" i="2"/>
  <c r="N32" i="2"/>
  <c r="P31" i="2"/>
  <c r="P25" i="2"/>
  <c r="T17" i="2"/>
  <c r="G11" i="1"/>
  <c r="H144" i="2"/>
  <c r="J86" i="2"/>
  <c r="J80" i="2"/>
  <c r="T79" i="2"/>
  <c r="J79" i="2"/>
  <c r="L77" i="2"/>
  <c r="J70" i="2"/>
  <c r="L65" i="2"/>
  <c r="J60" i="2"/>
  <c r="J59" i="2"/>
  <c r="J58" i="2"/>
  <c r="J56" i="2"/>
  <c r="J55" i="2"/>
  <c r="L54" i="2"/>
  <c r="J51" i="2"/>
  <c r="N49" i="2"/>
  <c r="J48" i="2"/>
  <c r="J43" i="2"/>
  <c r="P37" i="2"/>
  <c r="J35" i="2"/>
  <c r="T34" i="2"/>
  <c r="J34" i="2"/>
  <c r="J33" i="2"/>
  <c r="T32" i="2"/>
  <c r="J32" i="2"/>
  <c r="H26" i="2"/>
  <c r="L24" i="2"/>
  <c r="P58" i="2"/>
  <c r="J54" i="2"/>
  <c r="J49" i="2"/>
  <c r="T48" i="2"/>
  <c r="N48" i="2"/>
  <c r="P20" i="2"/>
  <c r="T152" i="2"/>
  <c r="E30" i="14"/>
  <c r="E35" i="14"/>
  <c r="T80" i="2"/>
  <c r="P79" i="2"/>
  <c r="N70" i="2"/>
  <c r="N60" i="2"/>
  <c r="N59" i="2"/>
  <c r="Q36" i="2"/>
  <c r="J82" i="2"/>
  <c r="J75" i="2"/>
  <c r="T74" i="2"/>
  <c r="J71" i="2"/>
  <c r="T70" i="2"/>
  <c r="T66" i="2"/>
  <c r="P66" i="2"/>
  <c r="J63" i="2"/>
  <c r="L59" i="2"/>
  <c r="L55" i="2"/>
  <c r="J42" i="2"/>
  <c r="J37" i="2"/>
  <c r="L35" i="2"/>
  <c r="L32" i="2"/>
  <c r="AI101" i="3"/>
  <c r="AI104" i="3"/>
  <c r="AG20" i="3"/>
  <c r="AG125" i="3"/>
  <c r="AG87" i="3"/>
  <c r="AI6" i="3"/>
  <c r="J103" i="3"/>
  <c r="AP103" i="3" s="1"/>
  <c r="AP101" i="3" s="1"/>
  <c r="AG32" i="3"/>
  <c r="AG124" i="3"/>
  <c r="J69" i="3"/>
  <c r="H25" i="14"/>
  <c r="AG80" i="3"/>
  <c r="S30" i="2" l="1"/>
  <c r="S38" i="2" s="1"/>
  <c r="S157" i="2" s="1"/>
  <c r="R9" i="1" s="1"/>
  <c r="AL124" i="3"/>
  <c r="T124" i="3"/>
  <c r="AP28" i="3"/>
  <c r="AP126" i="3" s="1"/>
  <c r="AB124" i="3"/>
  <c r="X124" i="3"/>
  <c r="AC80" i="3"/>
  <c r="AB80" i="3"/>
  <c r="K118" i="3"/>
  <c r="AQ125" i="3"/>
  <c r="AQ118" i="3" s="1"/>
  <c r="AO122" i="3"/>
  <c r="AB12" i="3"/>
  <c r="G10" i="14"/>
  <c r="AL12" i="3"/>
  <c r="K111" i="3"/>
  <c r="AQ114" i="3"/>
  <c r="AQ111" i="3" s="1"/>
  <c r="T31" i="2"/>
  <c r="N36" i="2"/>
  <c r="S41" i="2"/>
  <c r="N25" i="1"/>
  <c r="M27" i="1"/>
  <c r="J11" i="1"/>
  <c r="L11" i="1"/>
  <c r="N11" i="1"/>
  <c r="N12" i="1"/>
  <c r="L12" i="1"/>
  <c r="T64" i="3"/>
  <c r="P64" i="3"/>
  <c r="T73" i="3"/>
  <c r="T80" i="3"/>
  <c r="P80" i="3"/>
  <c r="P81" i="3"/>
  <c r="T85" i="3"/>
  <c r="X89" i="3"/>
  <c r="AB121" i="3"/>
  <c r="AL102" i="3"/>
  <c r="X120" i="3"/>
  <c r="AL92" i="3"/>
  <c r="P14" i="3"/>
  <c r="X66" i="3"/>
  <c r="T119" i="3"/>
  <c r="X72" i="3"/>
  <c r="AL64" i="3"/>
  <c r="X122" i="3"/>
  <c r="T112" i="3"/>
  <c r="X12" i="3"/>
  <c r="N76" i="2"/>
  <c r="P121" i="3"/>
  <c r="AL122" i="3"/>
  <c r="P12" i="3"/>
  <c r="P46" i="3"/>
  <c r="AB122" i="3"/>
  <c r="P112" i="3"/>
  <c r="T121" i="3"/>
  <c r="X112" i="3"/>
  <c r="X32" i="3"/>
  <c r="T120" i="3"/>
  <c r="AB14" i="3"/>
  <c r="P120" i="3"/>
  <c r="X15" i="3"/>
  <c r="X102" i="3"/>
  <c r="X104" i="3"/>
  <c r="T102" i="3"/>
  <c r="P102" i="3"/>
  <c r="AL121" i="3"/>
  <c r="AB112" i="3"/>
  <c r="N81" i="2"/>
  <c r="T37" i="2"/>
  <c r="T36" i="2" s="1"/>
  <c r="Q110" i="2"/>
  <c r="Q161" i="2" s="1"/>
  <c r="T145" i="2"/>
  <c r="T144" i="2" s="1"/>
  <c r="T162" i="2" s="1"/>
  <c r="L30" i="2"/>
  <c r="T110" i="2"/>
  <c r="T161" i="2" s="1"/>
  <c r="S110" i="2"/>
  <c r="P15" i="3"/>
  <c r="AL15" i="3"/>
  <c r="X95" i="3"/>
  <c r="AL83" i="3"/>
  <c r="P85" i="3"/>
  <c r="P104" i="3"/>
  <c r="AL112" i="3"/>
  <c r="AB15" i="3"/>
  <c r="AB26" i="3"/>
  <c r="AB66" i="3"/>
  <c r="AB96" i="3"/>
  <c r="X14" i="3"/>
  <c r="AB120" i="3"/>
  <c r="G12" i="14"/>
  <c r="I12" i="14" s="1"/>
  <c r="AB29" i="3"/>
  <c r="X84" i="3"/>
  <c r="T104" i="3"/>
  <c r="X45" i="3"/>
  <c r="X121" i="3"/>
  <c r="AL119" i="3"/>
  <c r="X85" i="3"/>
  <c r="X119" i="3"/>
  <c r="T14" i="3"/>
  <c r="X70" i="3"/>
  <c r="AL72" i="3"/>
  <c r="AL104" i="3"/>
  <c r="AB104" i="3"/>
  <c r="AL33" i="3"/>
  <c r="AL35" i="3"/>
  <c r="T36" i="3"/>
  <c r="AL30" i="3"/>
  <c r="AL32" i="3"/>
  <c r="P50" i="3"/>
  <c r="X29" i="3"/>
  <c r="X25" i="3"/>
  <c r="P26" i="3"/>
  <c r="T25" i="3"/>
  <c r="X36" i="3"/>
  <c r="P92" i="3"/>
  <c r="P52" i="3"/>
  <c r="T66" i="3"/>
  <c r="X88" i="3"/>
  <c r="T46" i="3"/>
  <c r="AB83" i="3"/>
  <c r="T53" i="3"/>
  <c r="X83" i="3"/>
  <c r="P51" i="3"/>
  <c r="AB92" i="3"/>
  <c r="AL29" i="3"/>
  <c r="P29" i="3"/>
  <c r="AB30" i="3"/>
  <c r="AL38" i="3"/>
  <c r="G22" i="14"/>
  <c r="X26" i="3"/>
  <c r="I10" i="14"/>
  <c r="K10" i="14" s="1"/>
  <c r="P119" i="3"/>
  <c r="P87" i="3"/>
  <c r="T122" i="3"/>
  <c r="T92" i="3"/>
  <c r="X64" i="3"/>
  <c r="AL66" i="3"/>
  <c r="AB119" i="3"/>
  <c r="AB46" i="3"/>
  <c r="P66" i="3"/>
  <c r="T84" i="3"/>
  <c r="AB45" i="3"/>
  <c r="AB102" i="3"/>
  <c r="T12" i="3"/>
  <c r="P45" i="3"/>
  <c r="P124" i="3"/>
  <c r="P122" i="3"/>
  <c r="AL120" i="3"/>
  <c r="P83" i="3"/>
  <c r="AL26" i="3"/>
  <c r="AL51" i="3"/>
  <c r="AB41" i="3"/>
  <c r="AB64" i="3"/>
  <c r="T38" i="3"/>
  <c r="T51" i="3"/>
  <c r="T83" i="3"/>
  <c r="T26" i="3"/>
  <c r="T82" i="3"/>
  <c r="AB38" i="3"/>
  <c r="X38" i="3"/>
  <c r="AL14" i="3"/>
  <c r="AL43" i="3"/>
  <c r="AL87" i="3"/>
  <c r="X71" i="3"/>
  <c r="X80" i="3"/>
  <c r="T39" i="3"/>
  <c r="AB43" i="3"/>
  <c r="AB57" i="3"/>
  <c r="AB88" i="3"/>
  <c r="X87" i="3"/>
  <c r="AL88" i="3"/>
  <c r="X33" i="3"/>
  <c r="AL53" i="3"/>
  <c r="AL39" i="3"/>
  <c r="AL57" i="3"/>
  <c r="P57" i="3"/>
  <c r="T71" i="3"/>
  <c r="T30" i="3"/>
  <c r="X39" i="3"/>
  <c r="X43" i="3"/>
  <c r="X57" i="3"/>
  <c r="T47" i="3"/>
  <c r="AB87" i="3"/>
  <c r="AL71" i="3"/>
  <c r="AL36" i="3"/>
  <c r="X35" i="3"/>
  <c r="P30" i="3"/>
  <c r="P39" i="3"/>
  <c r="P47" i="3"/>
  <c r="AL78" i="3"/>
  <c r="AB71" i="3"/>
  <c r="X30" i="3"/>
  <c r="AB39" i="3"/>
  <c r="T43" i="3"/>
  <c r="T57" i="3"/>
  <c r="T88" i="3"/>
  <c r="AL47" i="3"/>
  <c r="P88" i="3"/>
  <c r="G15" i="14"/>
  <c r="I15" i="14" s="1"/>
  <c r="T87" i="3"/>
  <c r="P43" i="3"/>
  <c r="AL80" i="3"/>
  <c r="G13" i="14"/>
  <c r="I13" i="14" s="1"/>
  <c r="P71" i="3"/>
  <c r="I29" i="14"/>
  <c r="K29" i="14" s="1"/>
  <c r="J16" i="14"/>
  <c r="AB36" i="3"/>
  <c r="AB33" i="3"/>
  <c r="T33" i="3"/>
  <c r="AL82" i="3"/>
  <c r="AL50" i="3"/>
  <c r="AL89" i="3"/>
  <c r="T89" i="3"/>
  <c r="AB35" i="3"/>
  <c r="T41" i="3"/>
  <c r="AB70" i="3"/>
  <c r="P82" i="3"/>
  <c r="AL52" i="3"/>
  <c r="AL45" i="3"/>
  <c r="G17" i="14"/>
  <c r="G19" i="14" s="1"/>
  <c r="I19" i="14" s="1"/>
  <c r="K19" i="14" s="1"/>
  <c r="P89" i="3"/>
  <c r="L44" i="3"/>
  <c r="X44" i="3" s="1"/>
  <c r="P25" i="3"/>
  <c r="AL25" i="3"/>
  <c r="P32" i="3"/>
  <c r="P41" i="3"/>
  <c r="P70" i="3"/>
  <c r="P84" i="3"/>
  <c r="AB72" i="3"/>
  <c r="AB89" i="3"/>
  <c r="T35" i="3"/>
  <c r="AB85" i="3"/>
  <c r="T29" i="3"/>
  <c r="X47" i="3"/>
  <c r="T32" i="3"/>
  <c r="T45" i="3"/>
  <c r="AB82" i="3"/>
  <c r="P53" i="3"/>
  <c r="AL84" i="3"/>
  <c r="AL70" i="3"/>
  <c r="T50" i="3"/>
  <c r="AL85" i="3"/>
  <c r="AL46" i="3"/>
  <c r="P35" i="3"/>
  <c r="P72" i="3"/>
  <c r="T72" i="3"/>
  <c r="AB25" i="3"/>
  <c r="X41" i="3"/>
  <c r="X96" i="3"/>
  <c r="X46" i="3"/>
  <c r="AB47" i="3"/>
  <c r="T52" i="3"/>
  <c r="AB84" i="3"/>
  <c r="AB32" i="3"/>
  <c r="T70" i="3"/>
  <c r="X82" i="3"/>
  <c r="AL41" i="3"/>
  <c r="P38" i="3"/>
  <c r="AL95" i="3"/>
  <c r="P33" i="3"/>
  <c r="P36" i="3"/>
  <c r="J111" i="3"/>
  <c r="AL11" i="3"/>
  <c r="T15" i="3"/>
  <c r="H11" i="1"/>
  <c r="AL17" i="3"/>
  <c r="P27" i="3"/>
  <c r="P20" i="3"/>
  <c r="P62" i="3"/>
  <c r="AG114" i="3"/>
  <c r="T26" i="2"/>
  <c r="E22" i="14"/>
  <c r="H102" i="2"/>
  <c r="H158" i="2" s="1"/>
  <c r="J158" i="2" s="1"/>
  <c r="L76" i="2"/>
  <c r="V154" i="2"/>
  <c r="N64" i="2"/>
  <c r="P110" i="2"/>
  <c r="J76" i="2"/>
  <c r="P76" i="2"/>
  <c r="P36" i="2"/>
  <c r="J36" i="2"/>
  <c r="J25" i="14"/>
  <c r="J12" i="1"/>
  <c r="H12" i="1"/>
  <c r="D18" i="1"/>
  <c r="L64" i="2"/>
  <c r="E36" i="14"/>
  <c r="T14" i="2"/>
  <c r="AB6" i="3"/>
  <c r="T6" i="3"/>
  <c r="X6" i="3"/>
  <c r="X73" i="3"/>
  <c r="AB73" i="3"/>
  <c r="AB13" i="3"/>
  <c r="X13" i="3"/>
  <c r="T13" i="3"/>
  <c r="AB81" i="3"/>
  <c r="T81" i="3"/>
  <c r="X81" i="3"/>
  <c r="L10" i="3"/>
  <c r="P10" i="3" s="1"/>
  <c r="T117" i="3"/>
  <c r="X117" i="3"/>
  <c r="AB117" i="3"/>
  <c r="Q9" i="1"/>
  <c r="X97" i="3"/>
  <c r="AB97" i="3"/>
  <c r="AB107" i="3"/>
  <c r="X107" i="3"/>
  <c r="T107" i="3"/>
  <c r="X18" i="3"/>
  <c r="AB18" i="3"/>
  <c r="T18" i="3"/>
  <c r="T108" i="3"/>
  <c r="X108" i="3"/>
  <c r="AB108" i="3"/>
  <c r="L58" i="3"/>
  <c r="P58" i="3" s="1"/>
  <c r="L28" i="3"/>
  <c r="AB40" i="3"/>
  <c r="X40" i="3"/>
  <c r="T40" i="3"/>
  <c r="AL13" i="3"/>
  <c r="T20" i="3"/>
  <c r="AB20" i="3"/>
  <c r="X20" i="3"/>
  <c r="J30" i="2"/>
  <c r="AB91" i="3"/>
  <c r="T91" i="3"/>
  <c r="X91" i="3"/>
  <c r="P109" i="3"/>
  <c r="X109" i="3"/>
  <c r="AB109" i="3"/>
  <c r="T109" i="3"/>
  <c r="AB110" i="3"/>
  <c r="T110" i="3"/>
  <c r="X110" i="3"/>
  <c r="AB17" i="3"/>
  <c r="X17" i="3"/>
  <c r="T17" i="3"/>
  <c r="AB62" i="3"/>
  <c r="T62" i="3"/>
  <c r="T11" i="3"/>
  <c r="AB11" i="3"/>
  <c r="X11" i="3"/>
  <c r="X27" i="3"/>
  <c r="T27" i="3"/>
  <c r="AB27" i="3"/>
  <c r="AL27" i="3"/>
  <c r="P15" i="1"/>
  <c r="AL62" i="3"/>
  <c r="P11" i="3"/>
  <c r="P13" i="3"/>
  <c r="AL20" i="3"/>
  <c r="AL109" i="3"/>
  <c r="I16" i="1"/>
  <c r="I18" i="1" s="1"/>
  <c r="I29" i="1" s="1"/>
  <c r="I27" i="1" s="1"/>
  <c r="P40" i="3"/>
  <c r="L67" i="3"/>
  <c r="AC67" i="3"/>
  <c r="P17" i="3"/>
  <c r="AG16" i="3"/>
  <c r="P73" i="3"/>
  <c r="AL73" i="3"/>
  <c r="P117" i="3"/>
  <c r="AL117" i="3"/>
  <c r="AL24" i="3"/>
  <c r="L90" i="3"/>
  <c r="G25" i="14"/>
  <c r="AL110" i="3"/>
  <c r="P6" i="3"/>
  <c r="L114" i="3"/>
  <c r="AC114" i="3" s="1"/>
  <c r="P110" i="3"/>
  <c r="G7" i="14"/>
  <c r="G8" i="14" s="1"/>
  <c r="I8" i="14" s="1"/>
  <c r="K8" i="14" s="1"/>
  <c r="AC5" i="3"/>
  <c r="AL6" i="3"/>
  <c r="AL18" i="3"/>
  <c r="P18" i="3"/>
  <c r="L16" i="3"/>
  <c r="AL81" i="3"/>
  <c r="G27" i="14"/>
  <c r="I27" i="14" s="1"/>
  <c r="K27" i="14" s="1"/>
  <c r="G34" i="14"/>
  <c r="G36" i="14" s="1"/>
  <c r="P108" i="3"/>
  <c r="C15" i="1"/>
  <c r="L5" i="3"/>
  <c r="AL97" i="3"/>
  <c r="AI87" i="3"/>
  <c r="L125" i="3"/>
  <c r="AC125" i="3" s="1"/>
  <c r="AL107" i="3"/>
  <c r="AG107" i="3"/>
  <c r="AI107" i="3"/>
  <c r="AI44" i="3"/>
  <c r="L106" i="3"/>
  <c r="P107" i="3"/>
  <c r="P91" i="3"/>
  <c r="AG45" i="3"/>
  <c r="AG44" i="3"/>
  <c r="G15" i="1"/>
  <c r="G16" i="1" s="1"/>
  <c r="N161" i="2"/>
  <c r="J161" i="2"/>
  <c r="Q81" i="2"/>
  <c r="L110" i="2"/>
  <c r="E33" i="14"/>
  <c r="Q5" i="2"/>
  <c r="P64" i="2"/>
  <c r="E25" i="14"/>
  <c r="J110" i="2"/>
  <c r="N110" i="2"/>
  <c r="I154" i="2"/>
  <c r="E9" i="1"/>
  <c r="O9" i="1" s="1"/>
  <c r="V158" i="2"/>
  <c r="C10" i="1"/>
  <c r="C13" i="1" s="1"/>
  <c r="L81" i="2"/>
  <c r="P81" i="2"/>
  <c r="L112" i="2"/>
  <c r="T89" i="2"/>
  <c r="P14" i="2"/>
  <c r="N14" i="2"/>
  <c r="L14" i="2"/>
  <c r="E16" i="14"/>
  <c r="T5" i="2"/>
  <c r="J112" i="2"/>
  <c r="H159" i="2"/>
  <c r="N112" i="2"/>
  <c r="J41" i="2"/>
  <c r="P41" i="2"/>
  <c r="N41" i="2"/>
  <c r="P5" i="2"/>
  <c r="N5" i="2"/>
  <c r="J5" i="2"/>
  <c r="L5" i="2"/>
  <c r="P161" i="2"/>
  <c r="L161" i="2"/>
  <c r="T81" i="2"/>
  <c r="Q144" i="2"/>
  <c r="Q162" i="2" s="1"/>
  <c r="Q14" i="2"/>
  <c r="T41" i="2"/>
  <c r="P30" i="2"/>
  <c r="N30" i="2"/>
  <c r="G9" i="1"/>
  <c r="G13" i="1" s="1"/>
  <c r="I160" i="2"/>
  <c r="I163" i="2" s="1"/>
  <c r="T30" i="2"/>
  <c r="T76" i="2"/>
  <c r="S64" i="2"/>
  <c r="S102" i="2" s="1"/>
  <c r="T72" i="2"/>
  <c r="T64" i="2" s="1"/>
  <c r="Q64" i="2"/>
  <c r="T112" i="2"/>
  <c r="S112" i="2"/>
  <c r="J26" i="2"/>
  <c r="L26" i="2"/>
  <c r="N26" i="2"/>
  <c r="P26" i="2"/>
  <c r="H38" i="2"/>
  <c r="Q41" i="2"/>
  <c r="N144" i="2"/>
  <c r="H162" i="2"/>
  <c r="P144" i="2"/>
  <c r="J144" i="2"/>
  <c r="L144" i="2"/>
  <c r="H153" i="2"/>
  <c r="Q112" i="2"/>
  <c r="C14" i="1"/>
  <c r="G14" i="14"/>
  <c r="L69" i="3"/>
  <c r="AI16" i="3"/>
  <c r="L103" i="3"/>
  <c r="AC103" i="3" s="1"/>
  <c r="J101" i="3"/>
  <c r="AG5" i="3"/>
  <c r="AI5" i="3"/>
  <c r="AG58" i="3"/>
  <c r="AI58" i="3"/>
  <c r="K126" i="3" l="1"/>
  <c r="AQ126" i="3"/>
  <c r="AC118" i="3"/>
  <c r="S161" i="2"/>
  <c r="R11" i="1"/>
  <c r="S11" i="1" s="1"/>
  <c r="N9" i="1"/>
  <c r="L9" i="1"/>
  <c r="AC10" i="3"/>
  <c r="AL10" i="3"/>
  <c r="AC90" i="3"/>
  <c r="P14" i="1"/>
  <c r="Q14" i="1" s="1"/>
  <c r="AC44" i="3"/>
  <c r="AB67" i="3"/>
  <c r="P28" i="3"/>
  <c r="AC58" i="3"/>
  <c r="I22" i="14"/>
  <c r="K22" i="14" s="1"/>
  <c r="I36" i="14"/>
  <c r="K36" i="14" s="1"/>
  <c r="GP51" i="3"/>
  <c r="P44" i="3"/>
  <c r="S9" i="1"/>
  <c r="AL44" i="3"/>
  <c r="AC28" i="3"/>
  <c r="T44" i="3"/>
  <c r="J126" i="3"/>
  <c r="AB44" i="3"/>
  <c r="L102" i="2"/>
  <c r="L158" i="2"/>
  <c r="AC111" i="3"/>
  <c r="P158" i="2"/>
  <c r="N102" i="2"/>
  <c r="N158" i="2"/>
  <c r="J102" i="2"/>
  <c r="P102" i="2"/>
  <c r="D29" i="1"/>
  <c r="D27" i="1" s="1"/>
  <c r="AL58" i="3"/>
  <c r="Q15" i="1"/>
  <c r="F9" i="1"/>
  <c r="F11" i="1"/>
  <c r="X90" i="3"/>
  <c r="AB90" i="3"/>
  <c r="T90" i="3"/>
  <c r="T69" i="3"/>
  <c r="X69" i="3"/>
  <c r="AB69" i="3"/>
  <c r="T58" i="3"/>
  <c r="AB58" i="3"/>
  <c r="X58" i="3"/>
  <c r="P106" i="3"/>
  <c r="T106" i="3"/>
  <c r="AB106" i="3"/>
  <c r="X106" i="3"/>
  <c r="X114" i="3"/>
  <c r="AB114" i="3"/>
  <c r="T114" i="3"/>
  <c r="AB125" i="3"/>
  <c r="T125" i="3"/>
  <c r="X125" i="3"/>
  <c r="T28" i="3"/>
  <c r="X28" i="3"/>
  <c r="AB28" i="3"/>
  <c r="T16" i="3"/>
  <c r="AB16" i="3"/>
  <c r="X16" i="3"/>
  <c r="AB103" i="3"/>
  <c r="T103" i="3"/>
  <c r="X103" i="3"/>
  <c r="T5" i="3"/>
  <c r="X5" i="3"/>
  <c r="AB5" i="3"/>
  <c r="I25" i="14"/>
  <c r="K25" i="14" s="1"/>
  <c r="AB10" i="3"/>
  <c r="X10" i="3"/>
  <c r="T10" i="3"/>
  <c r="AC16" i="3"/>
  <c r="AL67" i="3"/>
  <c r="AL16" i="3"/>
  <c r="AL40" i="3"/>
  <c r="AL28" i="3" s="1"/>
  <c r="AC69" i="3"/>
  <c r="P114" i="3"/>
  <c r="P90" i="3"/>
  <c r="G18" i="1"/>
  <c r="G29" i="1" s="1"/>
  <c r="G27" i="1" s="1"/>
  <c r="AL9" i="3"/>
  <c r="AL5" i="3" s="1"/>
  <c r="AG111" i="3"/>
  <c r="L111" i="3"/>
  <c r="AL114" i="3"/>
  <c r="AL111" i="3" s="1"/>
  <c r="AC106" i="3"/>
  <c r="AL108" i="3"/>
  <c r="AL106" i="3" s="1"/>
  <c r="P16" i="3"/>
  <c r="E15" i="1"/>
  <c r="AL91" i="3"/>
  <c r="AL90" i="3" s="1"/>
  <c r="P125" i="3"/>
  <c r="L118" i="3"/>
  <c r="AL125" i="3"/>
  <c r="AL118" i="3" s="1"/>
  <c r="AI106" i="3"/>
  <c r="AG106" i="3"/>
  <c r="AI69" i="3"/>
  <c r="AG69" i="3"/>
  <c r="P5" i="3"/>
  <c r="L127" i="3"/>
  <c r="F12" i="1"/>
  <c r="Q13" i="1"/>
  <c r="T38" i="2"/>
  <c r="T157" i="2" s="1"/>
  <c r="H9" i="1"/>
  <c r="Q38" i="2"/>
  <c r="Q157" i="2" s="1"/>
  <c r="L159" i="2"/>
  <c r="N159" i="2"/>
  <c r="P159" i="2"/>
  <c r="J159" i="2"/>
  <c r="J9" i="1"/>
  <c r="Q10" i="1"/>
  <c r="E10" i="1"/>
  <c r="O10" i="1" s="1"/>
  <c r="F10" i="1"/>
  <c r="L38" i="2"/>
  <c r="V163" i="2"/>
  <c r="V160" i="2"/>
  <c r="Q102" i="2"/>
  <c r="Q158" i="2" s="1"/>
  <c r="P38" i="2"/>
  <c r="T102" i="2"/>
  <c r="T158" i="2" s="1"/>
  <c r="N38" i="2"/>
  <c r="T159" i="2"/>
  <c r="T153" i="2"/>
  <c r="J153" i="2"/>
  <c r="L153" i="2"/>
  <c r="N153" i="2"/>
  <c r="P153" i="2"/>
  <c r="L162" i="2"/>
  <c r="J162" i="2"/>
  <c r="P162" i="2"/>
  <c r="N162" i="2"/>
  <c r="S158" i="2"/>
  <c r="R10" i="1" s="1"/>
  <c r="H157" i="2"/>
  <c r="H154" i="2"/>
  <c r="J38" i="2"/>
  <c r="S159" i="2"/>
  <c r="R12" i="1" s="1"/>
  <c r="S153" i="2"/>
  <c r="S154" i="2" s="1"/>
  <c r="Q153" i="2"/>
  <c r="Q159" i="2"/>
  <c r="C16" i="1"/>
  <c r="F14" i="1" s="1"/>
  <c r="E14" i="1"/>
  <c r="O14" i="1" s="1"/>
  <c r="P69" i="3"/>
  <c r="G16" i="14"/>
  <c r="I16" i="14" s="1"/>
  <c r="K16" i="14" s="1"/>
  <c r="I14" i="14"/>
  <c r="P103" i="3"/>
  <c r="G33" i="14"/>
  <c r="I33" i="14" s="1"/>
  <c r="K33" i="14" s="1"/>
  <c r="AC101" i="3"/>
  <c r="L101" i="3"/>
  <c r="AL77" i="3"/>
  <c r="AL69" i="3" s="1"/>
  <c r="AG126" i="3"/>
  <c r="O15" i="1" l="1"/>
  <c r="L15" i="1"/>
  <c r="N15" i="1"/>
  <c r="L14" i="1"/>
  <c r="N14" i="1"/>
  <c r="L10" i="1"/>
  <c r="N10" i="1"/>
  <c r="P16" i="1"/>
  <c r="P18" i="1" s="1"/>
  <c r="P29" i="1" s="1"/>
  <c r="P27" i="1" s="1"/>
  <c r="R14" i="1"/>
  <c r="S14" i="1" s="1"/>
  <c r="S10" i="1"/>
  <c r="R13" i="1"/>
  <c r="S12" i="1"/>
  <c r="AQ127" i="3"/>
  <c r="R15" i="1"/>
  <c r="H15" i="1"/>
  <c r="AP127" i="3"/>
  <c r="F13" i="1"/>
  <c r="P111" i="3"/>
  <c r="AB111" i="3"/>
  <c r="T111" i="3"/>
  <c r="X111" i="3"/>
  <c r="X101" i="3"/>
  <c r="T101" i="3"/>
  <c r="AB101" i="3"/>
  <c r="AB118" i="3"/>
  <c r="T118" i="3"/>
  <c r="X118" i="3"/>
  <c r="AI114" i="3"/>
  <c r="AC126" i="3"/>
  <c r="J15" i="1"/>
  <c r="P118" i="3"/>
  <c r="L126" i="3"/>
  <c r="AL103" i="3"/>
  <c r="AL101" i="3" s="1"/>
  <c r="AL126" i="3" s="1"/>
  <c r="J10" i="1"/>
  <c r="H10" i="1"/>
  <c r="E13" i="1"/>
  <c r="O13" i="1" s="1"/>
  <c r="Q154" i="2"/>
  <c r="T154" i="2"/>
  <c r="T160" i="2"/>
  <c r="T163" i="2" s="1"/>
  <c r="J154" i="2"/>
  <c r="P154" i="2"/>
  <c r="N154" i="2"/>
  <c r="L154" i="2"/>
  <c r="N157" i="2"/>
  <c r="L157" i="2"/>
  <c r="H160" i="2"/>
  <c r="J157" i="2"/>
  <c r="P157" i="2"/>
  <c r="Q160" i="2"/>
  <c r="Q163" i="2" s="1"/>
  <c r="S160" i="2"/>
  <c r="S163" i="2" s="1"/>
  <c r="J14" i="1"/>
  <c r="E16" i="1"/>
  <c r="O16" i="1" s="1"/>
  <c r="H14" i="1"/>
  <c r="C18" i="1"/>
  <c r="C29" i="1" s="1"/>
  <c r="C27" i="1" s="1"/>
  <c r="F15" i="1"/>
  <c r="P101" i="3"/>
  <c r="AI111" i="3"/>
  <c r="L16" i="1" l="1"/>
  <c r="N16" i="1"/>
  <c r="N13" i="1"/>
  <c r="L13" i="1"/>
  <c r="Q16" i="1"/>
  <c r="R16" i="1"/>
  <c r="R18" i="1" s="1"/>
  <c r="R29" i="1" s="1"/>
  <c r="S13" i="1"/>
  <c r="S15" i="1"/>
  <c r="S16" i="1" s="1"/>
  <c r="AB126" i="3"/>
  <c r="T126" i="3"/>
  <c r="X126" i="3"/>
  <c r="P126" i="3"/>
  <c r="J13" i="1"/>
  <c r="H13" i="1"/>
  <c r="P160" i="2"/>
  <c r="H163" i="2"/>
  <c r="N160" i="2"/>
  <c r="L160" i="2"/>
  <c r="J160" i="2"/>
  <c r="E18" i="1"/>
  <c r="O18" i="1" s="1"/>
  <c r="J16" i="1"/>
  <c r="H16" i="1"/>
  <c r="S18" i="1" l="1"/>
  <c r="S29" i="1"/>
  <c r="R27" i="1"/>
  <c r="L163" i="2"/>
  <c r="J163" i="2"/>
  <c r="P163" i="2"/>
  <c r="N163" i="2"/>
  <c r="E29" i="1"/>
  <c r="E27" i="1" s="1"/>
  <c r="S27" i="1" l="1"/>
</calcChain>
</file>

<file path=xl/comments1.xml><?xml version="1.0" encoding="utf-8"?>
<comments xmlns="http://schemas.openxmlformats.org/spreadsheetml/2006/main">
  <authors>
    <author>Město Jilemnice</author>
  </authors>
  <commentList>
    <comment ref="D2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-24000 zrušeno RO č.9/2018 ZM</t>
        </r>
      </text>
    </comment>
  </commentList>
</comments>
</file>

<file path=xl/comments2.xml><?xml version="1.0" encoding="utf-8"?>
<comments xmlns="http://schemas.openxmlformats.org/spreadsheetml/2006/main">
  <authors>
    <author>Ing. Miroslava Kynčlová</author>
    <author>Kynčlová</author>
    <author>Město Jilemnice</author>
  </authors>
  <commentList>
    <comment ref="E15" authorId="0">
      <text>
        <r>
          <rPr>
            <sz val="8"/>
            <color indexed="81"/>
            <rFont val="Tahoma"/>
            <family val="2"/>
            <charset val="238"/>
          </rPr>
          <t>3-trvalý pobyt
4-ověřování
6-změna jména
8-sňatky
9-video</t>
        </r>
      </text>
    </comment>
    <comment ref="E17" authorId="1">
      <text>
        <r>
          <rPr>
            <sz val="10"/>
            <color indexed="81"/>
            <rFont val="Tahoma"/>
            <family val="2"/>
            <charset val="238"/>
          </rPr>
          <t>10 rybářské lístky</t>
        </r>
        <r>
          <rPr>
            <sz val="10"/>
            <color indexed="81"/>
            <rFont val="Tahoma"/>
            <family val="2"/>
            <charset val="238"/>
          </rPr>
          <t xml:space="preserve">
23 životní prostředí </t>
        </r>
      </text>
    </comment>
    <comment ref="E22" authorId="0">
      <text>
        <r>
          <rPr>
            <sz val="8"/>
            <color indexed="81"/>
            <rFont val="Tahoma"/>
            <family val="2"/>
            <charset val="238"/>
          </rPr>
          <t xml:space="preserve">32-pasy
33-občanské průkazy
</t>
        </r>
      </text>
    </comment>
    <comment ref="U2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pouze 1 herna, povolení platné do r. 2020</t>
        </r>
      </text>
    </comment>
    <comment ref="E25" authorId="0">
      <text>
        <r>
          <rPr>
            <sz val="8"/>
            <color indexed="81"/>
            <rFont val="Tahoma"/>
            <family val="2"/>
            <charset val="238"/>
          </rPr>
          <t xml:space="preserve">13- 
19-vydání průkazů-soc
27-povolení tomboly
314-správa
</t>
        </r>
      </text>
    </comment>
    <comment ref="E27" authorId="0">
      <text>
        <r>
          <rPr>
            <sz val="8"/>
            <color indexed="81"/>
            <rFont val="Tahoma"/>
            <family val="2"/>
            <charset val="238"/>
          </rPr>
          <t xml:space="preserve">23 1332- za znečištní žp
12 1334 org 12 za odnětí půdy
</t>
        </r>
      </text>
    </comment>
    <comment ref="G5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-568 RO ZM č. 12/2018</t>
        </r>
      </text>
    </comment>
    <comment ref="O52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vč. DPH
</t>
        </r>
      </text>
    </comment>
    <comment ref="O5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156,186 služby
33,516 náhrady</t>
        </r>
      </text>
    </comment>
    <comment ref="F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 org. 21
69 org. 319
</t>
        </r>
      </text>
    </comment>
    <comment ref="O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30,823 org. 21
6,8058 org 319</t>
        </r>
      </text>
    </comment>
    <comment ref="U54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 org. 21
48 org. 319
</t>
        </r>
      </text>
    </comment>
    <comment ref="F5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70 služby sňatky 
30 ostatní</t>
        </r>
      </text>
    </comment>
    <comment ref="I5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28 služby sňatky
1,386 služby
10,150 náhrady
1,083 kopírování
</t>
        </r>
      </text>
    </comment>
    <comment ref="K5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124 služby sňatky
6,338 náhrada stavební odbor
0,08 recepty
11,856 exekuce Tužová
1,386 služby
11,9 prodej dr. Majetku
10,150 náhrady
1,571 kopírování
</t>
        </r>
      </text>
    </comment>
    <comment ref="M5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143 služby sňatky
0,08 recepty
1,386 služby
12,57 prodej majetku
29,578 náhrady
1,773 kopírování
5,904 pozůstalost (pol. 2329)
</t>
        </r>
      </text>
    </comment>
    <comment ref="O5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142 služby sňatky
0,76 prodej receptů
21,736 exekuce Tužová
1,386 služby
18,230 prodej majetku
30,967 náhrady
10,278 pozůstalost (pol. 2329)
2 náhrada za muzejní katalog
1,973 kopírování</t>
        </r>
      </text>
    </comment>
    <comment ref="U5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140 služby sňatky</t>
        </r>
      </text>
    </comment>
    <comment ref="M6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 dar</t>
        </r>
      </text>
    </comment>
    <comment ref="O6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 dar</t>
        </r>
      </text>
    </comment>
    <comment ref="W72" authorId="1">
      <text>
        <r>
          <rPr>
            <sz val="10"/>
            <color indexed="81"/>
            <rFont val="Tahoma"/>
            <family val="2"/>
            <charset val="238"/>
          </rPr>
          <t xml:space="preserve">48 jilemnická obch.
22 Žalý operátoři
</t>
        </r>
      </text>
    </comment>
    <comment ref="W7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48 DPH z nájemného
</t>
        </r>
      </text>
    </comment>
    <comment ref="E83" authorId="1">
      <text>
        <r>
          <rPr>
            <sz val="8"/>
            <color indexed="81"/>
            <rFont val="Tahoma"/>
            <family val="2"/>
            <charset val="238"/>
          </rPr>
          <t>33 občanské průkazy</t>
        </r>
        <r>
          <rPr>
            <sz val="10"/>
            <color indexed="81"/>
            <rFont val="Tahoma"/>
            <family val="2"/>
            <charset val="238"/>
          </rPr>
          <t xml:space="preserve">
</t>
        </r>
        <r>
          <rPr>
            <sz val="8"/>
            <color indexed="81"/>
            <rFont val="Tahoma"/>
            <family val="2"/>
            <charset val="238"/>
          </rPr>
          <t xml:space="preserve">14 přestupky
13 památky
</t>
        </r>
      </text>
    </comment>
    <comment ref="F8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65 přestupky
7 OP, CD</t>
        </r>
      </text>
    </comment>
    <comment ref="G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od pol. Duha pro ZŠ Harracha na projekt "Nemysli na sebe"
32 dar Hydroma na nákup defibrilátoru
odměna od ELEKTROWIN a.s. pro zdravá města</t>
        </r>
      </text>
    </comment>
    <comment ref="K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od pol. Duha pro ZŠ Harracha na projekt "Nemysli na sebe"</t>
        </r>
      </text>
    </comment>
    <comment ref="M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od pol. Duha pro ZŠ Harracha na projekt "Nemysli na sebe"</t>
        </r>
      </text>
    </comment>
    <comment ref="O9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od pol. Duha pro ZŠ Harracha na projekt "Nemysli na sebe"
32 dar Hydroma na nákup defibrilátoru
20 odměna od ELEKTROWIN a.s. pro zdravá města</t>
        </r>
      </text>
    </comment>
    <comment ref="I9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11.2 požární ochrana
</t>
        </r>
      </text>
    </comment>
    <comment ref="K9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11.2 požární ochrana
</t>
        </r>
      </text>
    </comment>
    <comment ref="M9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=28+11,2 požární ochrana</t>
        </r>
      </text>
    </comment>
    <comment ref="O98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=28+11,2 požární ochrana
20 náhrada zdravá města</t>
        </r>
      </text>
    </comment>
    <comment ref="I9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neodvedené poplatky stavební odbor</t>
        </r>
      </text>
    </comment>
    <comment ref="U106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návrh až 9130 vč. DPH</t>
        </r>
      </text>
    </comment>
    <comment ref="U10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3x dražba + byty</t>
        </r>
      </text>
    </comment>
    <comment ref="U109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 bytů dle spl. kalendáře</t>
        </r>
      </text>
    </comment>
    <comment ref="F113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 tom 5*29=145 tis. na opatrovance</t>
        </r>
      </text>
    </comment>
    <comment ref="F11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192 MP
180 pečovatelská služba
540 veřejná zeleň
</t>
        </r>
      </text>
    </comment>
    <comment ref="I11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45 peč. Služba
90 veřejná zeleň
49 městská policie</t>
        </r>
      </text>
    </comment>
    <comment ref="K11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90 peč. Služba
195 veřejná zeleň
82 obecní policie</t>
        </r>
      </text>
    </comment>
    <comment ref="M11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90 pečovatelská služba
240 veřejná zeleň
82 obecní policie</t>
        </r>
      </text>
    </comment>
    <comment ref="O117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90 pečovatelská služba
360 veřejná zeleň
82 městská policie</t>
        </r>
      </text>
    </comment>
    <comment ref="F130" authorId="2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130 přestupky
50 rušení tr. pobytů</t>
        </r>
      </text>
    </comment>
  </commentList>
</comments>
</file>

<file path=xl/comments3.xml><?xml version="1.0" encoding="utf-8"?>
<comments xmlns="http://schemas.openxmlformats.org/spreadsheetml/2006/main">
  <authors>
    <author>Město Jilemnice</author>
    <author>Notebook pracovní</author>
    <author>Jilemnice</author>
  </authors>
  <commentList>
    <comment ref="F1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rekonstrukce soc. zařízení</t>
        </r>
      </text>
    </comment>
    <comment ref="E1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80 mobilní rozhlas
</t>
        </r>
      </text>
    </comment>
    <comment ref="H1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20,999 dotace na festival Dech hor</t>
        </r>
      </text>
    </comment>
    <comment ref="H1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600 RO ZM č.7/2018 nákup kostek
800 RO ZM č.7/2018 oprava Skautská, Sportovní ul.
</t>
        </r>
      </text>
    </comment>
    <comment ref="AD1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470 opěrná zeď Pod Hatí
120 oprava protihlukové stěny Král</t>
        </r>
      </text>
    </comment>
    <comment ref="F2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1687 doplatek VHS  vodovod
370 projekce</t>
        </r>
      </text>
    </comment>
    <comment ref="F2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400 odkup komunikace pro 5 RD</t>
        </r>
      </text>
    </comment>
    <comment ref="AE2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400 odkup komunikace pro 5 RD</t>
        </r>
      </text>
    </comment>
    <comment ref="H2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752 RO č. 8/2018 ZM převod dotace VHS do neinvestiční
-525 vratka dotace</t>
        </r>
      </text>
    </comment>
    <comment ref="I2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4800 RO ZM  č.7/2018
-752 RO ZM č. 8/2018 převod dotace VHS do neinv.
525 převod do investic z vratky dotace
</t>
        </r>
      </text>
    </comment>
    <comment ref="F23" authorId="0">
      <text>
        <r>
          <rPr>
            <b/>
            <sz val="9"/>
            <color indexed="81"/>
            <rFont val="Tahoma"/>
            <family val="2"/>
            <charset val="238"/>
          </rPr>
          <t>parkoviště:
U Zolmana,před gymnáziem,
Poštovní, Jungmanova, Tyršovo náměstí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AE2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2800 u pošty, u Zolmana
105 pozstávka u gymnázia</t>
        </r>
      </text>
    </comment>
    <comment ref="AE2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 automat u pošty</t>
        </r>
      </text>
    </comment>
    <comment ref="AE2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stavba na rok 2020?
</t>
        </r>
      </text>
    </comment>
    <comment ref="I2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dar na rozvoj Za Lázněmi</t>
        </r>
      </text>
    </comment>
    <comment ref="H2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260,9964 Dotace MŠMT z OP VVZ
59,7618 dotace LK potravinová pomoc</t>
        </r>
      </text>
    </comment>
    <comment ref="AE3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 projektová dokumentace</t>
        </r>
      </text>
    </comment>
    <comment ref="E3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3000 střecha čp.103,101
1000 reko WC v čp. 103</t>
        </r>
      </text>
    </comment>
    <comment ref="H3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RO ZM č.7/2018</t>
        </r>
      </text>
    </comment>
    <comment ref="AD3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3150 střecha čp. 103,101
100 ostatní
</t>
        </r>
      </text>
    </comment>
    <comment ref="H3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 RO č. 3/18 na projekty
385,3064 dotace MŠMT z OP VVVZ</t>
        </r>
      </text>
    </comment>
    <comment ref="AD3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462 ZŚ II
647 ZŠ I
</t>
        </r>
      </text>
    </comment>
    <comment ref="AH3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462 ZŚ II
647 ZŠ I
</t>
        </r>
      </text>
    </comment>
    <comment ref="F36" authorId="1">
      <text>
        <r>
          <rPr>
            <b/>
            <sz val="9"/>
            <color indexed="81"/>
            <rFont val="Tahoma"/>
            <family val="2"/>
            <charset val="238"/>
          </rPr>
          <t>1100 úč. Dotace na horolezeckou stěnu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H3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 dar od spol. DUHA na projekt "Nemysli na sebe"
338,3484 dotace MŠMT z OP výzkum, vývoj vzdělávání</t>
        </r>
      </text>
    </comment>
    <comment ref="AE36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1550 investiční příspěvek na horolezeckou stěnu- přesun z roku 2018
</t>
        </r>
      </text>
    </comment>
    <comment ref="F37" authorId="1">
      <text>
        <r>
          <rPr>
            <sz val="9"/>
            <color indexed="81"/>
            <rFont val="Tahoma"/>
            <family val="2"/>
            <charset val="238"/>
          </rPr>
          <t xml:space="preserve">100 na projekci a VŘ
</t>
        </r>
      </text>
    </comment>
    <comment ref="H3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49,4 dotace LK projekt systém podpory vzdělávání
1103,871 příspěvek na zaplacení sankce LK
-49,4 vratka nevyčerpané dotace LK</t>
        </r>
      </text>
    </comment>
    <comment ref="AE4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1600 myčka nádobí </t>
        </r>
      </text>
    </comment>
    <comment ref="AE4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soutěž 1820 </t>
        </r>
      </text>
    </comment>
    <comment ref="H4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RO ZM č. 7/2018</t>
        </r>
      </text>
    </comment>
    <comment ref="AD4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1218 schváleno zatím
</t>
        </r>
      </text>
    </comment>
    <comment ref="AJ47" authorId="2">
      <text>
        <r>
          <rPr>
            <b/>
            <sz val="8"/>
            <color indexed="81"/>
            <rFont val="Tahoma"/>
            <family val="2"/>
            <charset val="238"/>
          </rPr>
          <t xml:space="preserve">UZ 34054
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4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-1000 RO ZM č.7/2018
975 dotace MKČR
-500 RO RM12/2018</t>
        </r>
      </text>
    </comment>
    <comment ref="I4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RO ZM č.7/2018</t>
        </r>
      </text>
    </comment>
    <comment ref="H5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převod mezd do správy RO č.2/2018 RM</t>
        </r>
      </text>
    </comment>
    <comment ref="AD5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včetně 29 OOV</t>
        </r>
      </text>
    </comment>
    <comment ref="H52" authorId="0">
      <text>
        <r>
          <rPr>
            <b/>
            <sz val="9"/>
            <color indexed="81"/>
            <rFont val="Tahoma"/>
            <family val="2"/>
            <charset val="238"/>
          </rPr>
          <t>30,53604 + 22,26531 dotace projekt Alternativa bez hranic</t>
        </r>
        <r>
          <rPr>
            <sz val="9"/>
            <color indexed="81"/>
            <rFont val="Tahoma"/>
            <family val="2"/>
            <charset val="238"/>
          </rPr>
          <t xml:space="preserve">
15 dotace LK </t>
        </r>
      </text>
    </comment>
    <comment ref="I52" authorId="0">
      <text>
        <r>
          <rPr>
            <b/>
            <sz val="9"/>
            <color indexed="81"/>
            <rFont val="Tahoma"/>
            <family val="2"/>
            <charset val="238"/>
          </rPr>
          <t>22,28595 inv. Dotace projekt Alternativa bez hranic</t>
        </r>
        <r>
          <rPr>
            <sz val="9"/>
            <color indexed="81"/>
            <rFont val="Tahoma"/>
            <family val="2"/>
            <charset val="238"/>
          </rPr>
          <t xml:space="preserve">
400 inv. Příspěvek na rekonstrukci přísálí
</t>
        </r>
      </text>
    </comment>
    <comment ref="AD5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 "Podvečery" - dotace Jilemnicko- svazek"
53 dotace myslivci na opravu majetku
</t>
        </r>
      </text>
    </comment>
    <comment ref="AH5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 na festival Dech hor
</t>
        </r>
      </text>
    </comment>
    <comment ref="AD5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včetně slouvy na Hraběku</t>
        </r>
      </text>
    </comment>
    <comment ref="I6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962,090 poskytnutí příplatku mimo ZK - usn. 46/18 ZM na úhradu energetických opatření
</t>
        </r>
      </text>
    </comment>
    <comment ref="I6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-5700 RO ZM č. 9/2018 snížení o nevyčerpané akce</t>
        </r>
      </text>
    </comment>
    <comment ref="AD6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185 energie
73 služby</t>
        </r>
      </text>
    </comment>
    <comment ref="H6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20 odkoupení atletické dráhy TJ Jilemnice</t>
        </r>
      </text>
    </comment>
    <comment ref="AD6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na úpravu lyžařských běžeckých tras</t>
        </r>
      </text>
    </comment>
    <comment ref="AE6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320 reko 1.a2. NP v sokolovně</t>
        </r>
      </text>
    </comment>
    <comment ref="AD6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SKI Jilemnická 50
30 SKI Hančův memoriál a MČR v běhu na 50 km
20 Klub biatlonu - ČP b biatlonu</t>
        </r>
      </text>
    </comment>
    <comment ref="AH6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SKI Jilemnická 50
30 SKI Hančův memoriál a MČR v běhu na 50 km
20 Klub biatlonu - ČP b biatlonu</t>
        </r>
      </text>
    </comment>
    <comment ref="AD7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2950</t>
        </r>
      </text>
    </comment>
    <comment ref="H7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-568 RO ZM č. 12/2018</t>
        </r>
      </text>
    </comment>
    <comment ref="E7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422 energie, služby
</t>
        </r>
      </text>
    </comment>
    <comment ref="F7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1500 kotelna
2000 prostory pro knihovnu</t>
        </r>
      </text>
    </comment>
    <comment ref="I7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RO ZM č.7/2018</t>
        </r>
      </text>
    </comment>
    <comment ref="AD7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saldo 400</t>
        </r>
      </text>
    </comment>
    <comment ref="H7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-1616,3 RO 1/2018 změna financování - přesun do dloudobých splátek
-2537,85 RO 10/2018 DPH projektu
</t>
        </r>
      </text>
    </comment>
    <comment ref="AD7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277 úroky
146 en. management</t>
        </r>
      </text>
    </comment>
    <comment ref="AH7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277 úroky
146 en. management</t>
        </r>
      </text>
    </comment>
    <comment ref="AE8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250 odkup VO Za Lázněmi</t>
        </r>
      </text>
    </comment>
    <comment ref="F8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 přístavba kolumbária
</t>
        </r>
      </text>
    </comment>
    <comment ref="AE81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přístřešek na kontejnery</t>
        </r>
      </text>
    </comment>
    <comment ref="E8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 voda org.21
69 voda org.319</t>
        </r>
      </text>
    </comment>
    <comment ref="Y8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4,043 org 21</t>
        </r>
      </text>
    </comment>
    <comment ref="AD8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18 org. 21
48 org. 319
</t>
        </r>
      </text>
    </comment>
    <comment ref="E9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z toho 607 příspěvek na koupi pozemku DSO Jilemnicko</t>
        </r>
      </text>
    </comment>
    <comment ref="H9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-210 dotace ÚP</t>
        </r>
      </text>
    </comment>
    <comment ref="I99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500 RO ZM č.7/2018
-1200 RO ZM č. 9/2018
-500 RO RM č. 12/2018</t>
        </r>
      </text>
    </comment>
    <comment ref="H10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200 dotace soc. služby
-90 dotace ÚP
100 převod z investic</t>
        </r>
      </text>
    </comment>
    <comment ref="F10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700 na přestavbu na odlehčovací služby
</t>
        </r>
      </text>
    </comment>
    <comment ref="H10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dotace MPSV ČR
</t>
        </r>
      </text>
    </comment>
    <comment ref="F105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100 dokončení projekce, VŘ
</t>
        </r>
      </text>
    </comment>
    <comment ref="H108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-110 dotace ÚP</t>
        </r>
      </text>
    </comment>
    <comment ref="H110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150 na akceschopnost
38,33523 dotace LK na ochranné pomůcky
32 dar na pořízení defibrilátoru
42,037dotace  ochranné pomůcky
159 RO RMč.13/2018</t>
        </r>
      </text>
    </comment>
    <comment ref="H11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435 RO č. 11/2018 </t>
        </r>
      </text>
    </comment>
    <comment ref="H11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217,72 ze zpravodaje převod mezd
24,450 dotace MŽP na kosení modráskové louky
88 navýšení dotace MPSV výkon sociální práce
687,5 dotace na OSPOD</t>
        </r>
      </text>
    </comment>
    <comment ref="I114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50 z územního plánování pro VT 
</t>
        </r>
      </text>
    </comment>
    <comment ref="H117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900 RO ZM č. 2/2018
1200 RO ZM č.7/2018
-270 RO ZM č.11/2018
</t>
        </r>
      </text>
    </comment>
    <comment ref="H122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-2537,85 RO 10/2018 ZM uplatněné DPH u projektu EPC
-76,892 RO RM12/2018</t>
        </r>
      </text>
    </comment>
    <comment ref="H123" authorId="0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608,695 vypořádání DC - soc. dotace
27,920,81 vratka dotace MŠ potravinová pomoc</t>
        </r>
      </text>
    </comment>
  </commentList>
</comments>
</file>

<file path=xl/comments4.xml><?xml version="1.0" encoding="utf-8"?>
<comments xmlns="http://schemas.openxmlformats.org/spreadsheetml/2006/main">
  <authors>
    <author>Kynčlová</author>
    <author>Město Jilemnice</author>
  </authors>
  <commentList>
    <comment ref="H5" authorId="0">
      <text>
        <r>
          <rPr>
            <sz val="10"/>
            <color indexed="81"/>
            <rFont val="Tahoma"/>
            <family val="2"/>
            <charset val="238"/>
          </rPr>
          <t xml:space="preserve">2500 dotace LK
25000 dotace státní
</t>
        </r>
      </text>
    </comment>
    <comment ref="L5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část k čerpací stanici</t>
        </r>
      </text>
    </comment>
    <comment ref="M5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ošetření jilmové aleje
</t>
        </r>
      </text>
    </comment>
    <comment ref="N5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1514 VHS kanalizace</t>
        </r>
      </text>
    </comment>
    <comment ref="J6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prodej pozemků</t>
        </r>
      </text>
    </comment>
    <comment ref="G7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46000 podíl LK
7500 chodníky a VO město
5500 kruhový objezd město
4687 dotace VHS kanalizace a voda
1800 projekce
4000 dešť. kanalizace a retenční nádrž
</t>
        </r>
      </text>
    </comment>
    <comment ref="J7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podíl Lib. kraje</t>
        </r>
      </text>
    </comment>
    <comment ref="O7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3000 VHS kanalizace
</t>
        </r>
      </text>
    </comment>
    <comment ref="P7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1687 doplatek VHS  vodovod
220 projekce</t>
        </r>
      </text>
    </comment>
    <comment ref="H17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25000 dotace  LK
20000 dotace MŠMT
</t>
        </r>
      </text>
    </comment>
    <comment ref="J17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2139 příjmy z prodeje dřeva
495 za odvod LPF, ZPF</t>
        </r>
      </text>
    </comment>
    <comment ref="H19" authorId="1">
      <text>
        <r>
          <rPr>
            <b/>
            <sz val="9"/>
            <color indexed="81"/>
            <rFont val="Tahoma"/>
            <family val="2"/>
            <charset val="238"/>
          </rPr>
          <t>2500 dotace MV ČR
1000 dotace LK</t>
        </r>
        <r>
          <rPr>
            <sz val="9"/>
            <color indexed="81"/>
            <rFont val="Tahoma"/>
            <family val="2"/>
            <charset val="238"/>
          </rPr>
          <t xml:space="preserve">
</t>
        </r>
      </text>
    </comment>
    <comment ref="G21" authorId="1">
      <text>
        <r>
          <rPr>
            <b/>
            <sz val="9"/>
            <color indexed="81"/>
            <rFont val="Tahoma"/>
            <family val="2"/>
            <charset val="238"/>
          </rPr>
          <t>Město Jilemnice:</t>
        </r>
        <r>
          <rPr>
            <sz val="9"/>
            <color indexed="81"/>
            <rFont val="Tahoma"/>
            <family val="2"/>
            <charset val="238"/>
          </rPr>
          <t xml:space="preserve">
uznatelné náklady 475</t>
        </r>
      </text>
    </comment>
  </commentList>
</comments>
</file>

<file path=xl/sharedStrings.xml><?xml version="1.0" encoding="utf-8"?>
<sst xmlns="http://schemas.openxmlformats.org/spreadsheetml/2006/main" count="912" uniqueCount="579">
  <si>
    <t xml:space="preserve">                                 </t>
  </si>
  <si>
    <t xml:space="preserve">                           </t>
  </si>
  <si>
    <t>Rozpočet</t>
  </si>
  <si>
    <t>změna</t>
  </si>
  <si>
    <t>%</t>
  </si>
  <si>
    <t>Plnění</t>
  </si>
  <si>
    <t>k rozpočtu</t>
  </si>
  <si>
    <t>Třída 1 - Daňové příjmy</t>
  </si>
  <si>
    <t>Třída 2 - Nedaňové příjmy</t>
  </si>
  <si>
    <t>Třída 3 - Kapitálové příjmy</t>
  </si>
  <si>
    <t>Třída 4 - Přijaté dotace</t>
  </si>
  <si>
    <t>Příjmy celkem</t>
  </si>
  <si>
    <t>Třída 5 - Běžné výdaje</t>
  </si>
  <si>
    <t>Třída 6 - Kapitálové výdaje</t>
  </si>
  <si>
    <t>Výdaje celkem</t>
  </si>
  <si>
    <t>Saldo: Příjmy - výdaje</t>
  </si>
  <si>
    <t>pol.</t>
  </si>
  <si>
    <t>Třída 8 - financování</t>
  </si>
  <si>
    <t>Celkem financování</t>
  </si>
  <si>
    <t>poznámka</t>
  </si>
  <si>
    <t>polož.</t>
  </si>
  <si>
    <t>§</t>
  </si>
  <si>
    <t>org.</t>
  </si>
  <si>
    <t>název</t>
  </si>
  <si>
    <t>1a) BĚŽNÉ</t>
  </si>
  <si>
    <t>DAŇOVÉ  - TŘÍDA  1</t>
  </si>
  <si>
    <t>11-daně z příjmů, zisku a kap. výnosů</t>
  </si>
  <si>
    <t>z toho:</t>
  </si>
  <si>
    <t>13-poplatky a daně z vybraných činností</t>
  </si>
  <si>
    <t>Matriční poplatky</t>
  </si>
  <si>
    <t>Živnostenské listy</t>
  </si>
  <si>
    <t>Hrací automaty</t>
  </si>
  <si>
    <t>15-majetkové daně</t>
  </si>
  <si>
    <t>bez</t>
  </si>
  <si>
    <t>Daňové příjmy celkem:</t>
  </si>
  <si>
    <t>NEDAŇOVÉ - TŘÍDA 2</t>
  </si>
  <si>
    <t>21-příjmy z vlastní činnosti</t>
  </si>
  <si>
    <t>Prodej zpravodaje</t>
  </si>
  <si>
    <t>Pohřebnictví</t>
  </si>
  <si>
    <t>Pečovatelská služba</t>
  </si>
  <si>
    <t>Příjmy z reklam ( zpravodaj, rozhlas)</t>
  </si>
  <si>
    <t>Nájemné:</t>
  </si>
  <si>
    <t>BH - Nájemné nebyt. prost.</t>
  </si>
  <si>
    <t>Nájemné Zásobování teplem s.r.o.</t>
  </si>
  <si>
    <t>Pokuty městská policie</t>
  </si>
  <si>
    <t>Nedaňové příjmy celkem:</t>
  </si>
  <si>
    <t>TŘÍDA  3</t>
  </si>
  <si>
    <t>31-příjmy z prodeje investičního majetku</t>
  </si>
  <si>
    <t>Kapitálové příjmy celkem:</t>
  </si>
  <si>
    <t xml:space="preserve">2)PŘIJATÉ DOTACE </t>
  </si>
  <si>
    <t>TŘÍDA  4</t>
  </si>
  <si>
    <t>2a) Běžné</t>
  </si>
  <si>
    <t>2b) Kapitálové</t>
  </si>
  <si>
    <t>Přijaté dotace celkem:</t>
  </si>
  <si>
    <t>Rekapitulace příjmů:</t>
  </si>
  <si>
    <t>Tř. 1 - Daňové příjmy</t>
  </si>
  <si>
    <t>Tř. 2. - Nedaňové příjmy</t>
  </si>
  <si>
    <t>Ze tř. 4 - Dotace běžné</t>
  </si>
  <si>
    <t>Vlastní příjmy celkem</t>
  </si>
  <si>
    <t>Tř. 3 - Kapitálové příjmy</t>
  </si>
  <si>
    <t>Ze tř. 4. - Dotace kapitálové</t>
  </si>
  <si>
    <t>Celkem příjmy</t>
  </si>
  <si>
    <t>sk</t>
  </si>
  <si>
    <t>Popis paragrafu</t>
  </si>
  <si>
    <t>běžné</t>
  </si>
  <si>
    <t>kap.</t>
  </si>
  <si>
    <t>celkem</t>
  </si>
  <si>
    <t>Zeměděl. a lesní hospodářství</t>
  </si>
  <si>
    <t>Morávková</t>
  </si>
  <si>
    <t>Doprava,vodovody,kanalizace</t>
  </si>
  <si>
    <t>Kynčlová</t>
  </si>
  <si>
    <t>Vzdělání</t>
  </si>
  <si>
    <t>Kultura, církve a sdělovací  prostř.</t>
  </si>
  <si>
    <t>Vydávání zpravodaje</t>
  </si>
  <si>
    <t>Tělovýchova a zájmová činnost</t>
  </si>
  <si>
    <t>Bydlení, komunální služby a územní rozvoj</t>
  </si>
  <si>
    <t>Bytové hospodářství</t>
  </si>
  <si>
    <t>Veřejné osvětlení- provoz ,opravy</t>
  </si>
  <si>
    <t>Sběr a svoz komun. odpadů</t>
  </si>
  <si>
    <t>Péče o vzhled obcí a veřejnou zeleň</t>
  </si>
  <si>
    <t>Sociální péče</t>
  </si>
  <si>
    <t>Šimková</t>
  </si>
  <si>
    <t xml:space="preserve">Obecní policie </t>
  </si>
  <si>
    <t>Státní správa, územní samospráva</t>
  </si>
  <si>
    <t>Místní zastupitelské orgány</t>
  </si>
  <si>
    <t>63,64</t>
  </si>
  <si>
    <t>Finanční operace, ostatní činnosti</t>
  </si>
  <si>
    <t>Daň z příjmu práv. osob za obce</t>
  </si>
  <si>
    <t>Celkem výdaje</t>
  </si>
  <si>
    <t>kontrola</t>
  </si>
  <si>
    <t>Příjmy z úroků a fin. majetku</t>
  </si>
  <si>
    <t>rozdíl</t>
  </si>
  <si>
    <t>Výkup pozemků</t>
  </si>
  <si>
    <t>Příjem z veřejných WC</t>
  </si>
  <si>
    <t>rozpočet</t>
  </si>
  <si>
    <t>Lesní hospodářství</t>
  </si>
  <si>
    <t>Opravy pronajímaných nebyt. prostor</t>
  </si>
  <si>
    <t>Projekty do 60000,-/ nad 60000</t>
  </si>
  <si>
    <t xml:space="preserve">Činnost místní správy </t>
  </si>
  <si>
    <t>Upravený</t>
  </si>
  <si>
    <t>Upr. rozp.</t>
  </si>
  <si>
    <t>Upravený rozpočet</t>
  </si>
  <si>
    <t>Ost. poplatky</t>
  </si>
  <si>
    <t xml:space="preserve">SPOZ </t>
  </si>
  <si>
    <t>Popl. za komunální odpad</t>
  </si>
  <si>
    <t>Bezpečnost, požár. ochrana</t>
  </si>
  <si>
    <t>k sestavení rozpočtu</t>
  </si>
  <si>
    <t>Poplatek ze psů</t>
  </si>
  <si>
    <t>Popl. za užívání veřejného prostranství</t>
  </si>
  <si>
    <t>Popl. ze vstupného</t>
  </si>
  <si>
    <t>Popl. za znečišťování životního  prostř.</t>
  </si>
  <si>
    <t>DPFO - závislá činnost</t>
  </si>
  <si>
    <t xml:space="preserve">DPH </t>
  </si>
  <si>
    <t>DPFO - srážková daň</t>
  </si>
  <si>
    <t>DP - právnických osob</t>
  </si>
  <si>
    <t>DP práv. osob za obce</t>
  </si>
  <si>
    <t>daň sdílená</t>
  </si>
  <si>
    <t>Zdravotnictví</t>
  </si>
  <si>
    <t>Životní prostředí</t>
  </si>
  <si>
    <t xml:space="preserve">Knihovna </t>
  </si>
  <si>
    <t>Šnorbert</t>
  </si>
  <si>
    <t xml:space="preserve">Dopravní obslužnost </t>
  </si>
  <si>
    <t>Kompenzace za tříděný odpad</t>
  </si>
  <si>
    <t>index</t>
  </si>
  <si>
    <t>Provoz parkoviště , park. automaty</t>
  </si>
  <si>
    <t>DPFO-závisl. činnost 1,5% podíl</t>
  </si>
  <si>
    <t>Opravy, údržba komunikací</t>
  </si>
  <si>
    <t>Byty -  opravy z nájemného</t>
  </si>
  <si>
    <t>Byty - platby za služby</t>
  </si>
  <si>
    <t>Nebytové pr. - opravy</t>
  </si>
  <si>
    <t>Nebytové pr. - služby</t>
  </si>
  <si>
    <t>Zvelebilová</t>
  </si>
  <si>
    <t>Změna</t>
  </si>
  <si>
    <t>požadavek/</t>
  </si>
  <si>
    <t>Přebytek ( - ),   ztráta  (+)</t>
  </si>
  <si>
    <t>24- přijaté splátky půjček</t>
  </si>
  <si>
    <t>23-příjmy z prodeje majetku a ost.nedaňové příjmy</t>
  </si>
  <si>
    <t xml:space="preserve">22-přijaté sankční platby </t>
  </si>
  <si>
    <t>Pasy, obč. průkazy</t>
  </si>
  <si>
    <t xml:space="preserve">Pokuty dopravní </t>
  </si>
  <si>
    <t>Pokuty životní prostředí</t>
  </si>
  <si>
    <t>3,4,6,8,9</t>
  </si>
  <si>
    <t>Pokuty živnost.úřad</t>
  </si>
  <si>
    <t>Krizové řízení, ochrana obyvatelstva</t>
  </si>
  <si>
    <t>z úč. dotace,nerozpočtuje se</t>
  </si>
  <si>
    <t>uz</t>
  </si>
  <si>
    <t>Zachov. a obn.kult. památek města</t>
  </si>
  <si>
    <t>Rezerva rozpočtová</t>
  </si>
  <si>
    <t>BH - Nájemné byt. prostory vč. penále</t>
  </si>
  <si>
    <t xml:space="preserve">Pečovatelská služba </t>
  </si>
  <si>
    <t>Příjmy - výdaje = - financování</t>
  </si>
  <si>
    <t>Příjmy místního hospodářství</t>
  </si>
  <si>
    <t>Příjmy z poskytování služeb a výrobků</t>
  </si>
  <si>
    <t>Správní poplatky</t>
  </si>
  <si>
    <t xml:space="preserve">Místní poplatky </t>
  </si>
  <si>
    <t>1b) KAPITÁLOVÉ -</t>
  </si>
  <si>
    <t>rozpočtu</t>
  </si>
  <si>
    <t>správce</t>
  </si>
  <si>
    <t>Příspěvky činnost lesního hosp. z dotací</t>
  </si>
  <si>
    <t>Provoz veř. WC</t>
  </si>
  <si>
    <t>daň vlastní</t>
  </si>
  <si>
    <t>operace</t>
  </si>
  <si>
    <t>Vojtíšek</t>
  </si>
  <si>
    <t>Zelinka</t>
  </si>
  <si>
    <t>Augustin</t>
  </si>
  <si>
    <t>Cerman</t>
  </si>
  <si>
    <t>Platby do svazků obcí, sdružení</t>
  </si>
  <si>
    <t>příkazce</t>
  </si>
  <si>
    <t>Hartigová</t>
  </si>
  <si>
    <t>Pokuty stavební úřad</t>
  </si>
  <si>
    <t>Stavební poplatky</t>
  </si>
  <si>
    <t>Propagace města, výročí, zahr.spolupráce</t>
  </si>
  <si>
    <t>Životní prostředí poplatky</t>
  </si>
  <si>
    <t>Zvl. užívání místních komun.</t>
  </si>
  <si>
    <t>Dopravní poplatky</t>
  </si>
  <si>
    <t>Areál služeb</t>
  </si>
  <si>
    <t>Městská knihovna</t>
  </si>
  <si>
    <t>Parkovné</t>
  </si>
  <si>
    <t>Nájemné z reklamních ploch</t>
  </si>
  <si>
    <t>Nájemné z ost. nemovitostí</t>
  </si>
  <si>
    <t>Daň z nemovitostí</t>
  </si>
  <si>
    <t>BH - služby byt. prostory</t>
  </si>
  <si>
    <t>BH - služby nebyt. prostory</t>
  </si>
  <si>
    <t>Kopírování, ost příjmy správy</t>
  </si>
  <si>
    <t>Příjmy z úroků - akce Roztocká</t>
  </si>
  <si>
    <t>Prodej pozemků</t>
  </si>
  <si>
    <t>Prodej nemovitostí - bytů,domů</t>
  </si>
  <si>
    <t>Inv. příspěvky 32b.j.</t>
  </si>
  <si>
    <t xml:space="preserve">Souhrnná neinvestiční dotace </t>
  </si>
  <si>
    <t>dle rozpisu položek v tabulce správa</t>
  </si>
  <si>
    <t>k datu</t>
  </si>
  <si>
    <t>3769,6171</t>
  </si>
  <si>
    <t>Veřejnopr. smlouvy policie</t>
  </si>
  <si>
    <t xml:space="preserve">Komunální služby </t>
  </si>
  <si>
    <t>Nájemné z pozemků</t>
  </si>
  <si>
    <t xml:space="preserve">Areál služeb </t>
  </si>
  <si>
    <t>Rozdíl</t>
  </si>
  <si>
    <t>Pěstební činnost v lesnictví</t>
  </si>
  <si>
    <t xml:space="preserve">Požární ochrana </t>
  </si>
  <si>
    <t>Pojistění majetku města</t>
  </si>
  <si>
    <t>stejná v příjmech</t>
  </si>
  <si>
    <t>13,14,19,27</t>
  </si>
  <si>
    <t>Zkoušky OZ řidičské průkazy</t>
  </si>
  <si>
    <t>DPFO - přiznání - sdílená část</t>
  </si>
  <si>
    <r>
      <t>F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ri</t>
    </r>
  </si>
  <si>
    <r>
      <t>M</t>
    </r>
    <r>
      <rPr>
        <sz val="8"/>
        <rFont val="Times New Roman"/>
        <family val="1"/>
        <charset val="238"/>
      </rPr>
      <t>ű</t>
    </r>
    <r>
      <rPr>
        <sz val="8"/>
        <rFont val="Arial CE"/>
        <family val="2"/>
        <charset val="238"/>
      </rPr>
      <t>llerová</t>
    </r>
  </si>
  <si>
    <t>Műllerová</t>
  </si>
  <si>
    <t>Opravy budov škol</t>
  </si>
  <si>
    <t>Výdaje,daň za prodej majetku</t>
  </si>
  <si>
    <t>Mečíř</t>
  </si>
  <si>
    <t>Bedrníková</t>
  </si>
  <si>
    <t>Územní plánování</t>
  </si>
  <si>
    <t xml:space="preserve">Ost. sociální péče </t>
  </si>
  <si>
    <t>Ouhrabková</t>
  </si>
  <si>
    <t>MŠ Jilemnice - příspěvek na provoz</t>
  </si>
  <si>
    <t>ZŠ Komenského- příspěvek na provoz</t>
  </si>
  <si>
    <t>ZŠ Harracha- příspěvek na provoz</t>
  </si>
  <si>
    <t>Příjmy</t>
  </si>
  <si>
    <t>Výdaje</t>
  </si>
  <si>
    <t>Plánovaná ztráta/zisk</t>
  </si>
  <si>
    <t>upravený</t>
  </si>
  <si>
    <t>plánované</t>
  </si>
  <si>
    <t>(+ uspoření</t>
  </si>
  <si>
    <t>skutečnost</t>
  </si>
  <si>
    <t>saldo</t>
  </si>
  <si>
    <t>- překročení )</t>
  </si>
  <si>
    <t>celkem příjmy</t>
  </si>
  <si>
    <t>Aareál služeb</t>
  </si>
  <si>
    <t>služby byty</t>
  </si>
  <si>
    <t>nájemné nebyty</t>
  </si>
  <si>
    <t>služby nebyty</t>
  </si>
  <si>
    <t>celkem BH</t>
  </si>
  <si>
    <t>Knihovna</t>
  </si>
  <si>
    <t>příjmy</t>
  </si>
  <si>
    <t>dar</t>
  </si>
  <si>
    <t>Zpravodaj</t>
  </si>
  <si>
    <t>příjmy za prodej</t>
  </si>
  <si>
    <t>příjmy z reklam</t>
  </si>
  <si>
    <t>Komunální odpad</t>
  </si>
  <si>
    <t>poplatek</t>
  </si>
  <si>
    <t>kompenzace za třídění</t>
  </si>
  <si>
    <t>Provoz veřejných WC</t>
  </si>
  <si>
    <t>Poznámka</t>
  </si>
  <si>
    <t>Czech Point poplatky</t>
  </si>
  <si>
    <t>Příjmy z věcných břemen pozemků</t>
  </si>
  <si>
    <t>Chodník Čsl. Legií - zvýšení bezpečnosti</t>
  </si>
  <si>
    <t>Dotace od ÚP</t>
  </si>
  <si>
    <t>Obnova a zachování kult. hodnot</t>
  </si>
  <si>
    <t>9513229,09513229</t>
  </si>
  <si>
    <t>Opravy budov MÚ</t>
  </si>
  <si>
    <t>Právní zastoupení města</t>
  </si>
  <si>
    <t>nájemné byty vč. penále</t>
  </si>
  <si>
    <t>Péče o stromovou zeleň</t>
  </si>
  <si>
    <t xml:space="preserve">ZŠ spec. a MŠ spec.- příspěvek na provoz </t>
  </si>
  <si>
    <t>Dětské centrum příspěvek na provoz</t>
  </si>
  <si>
    <t>Myslivec</t>
  </si>
  <si>
    <t>Platba DPH za ekonomické činnosti</t>
  </si>
  <si>
    <t>Pokuty správní odbor, přestupky</t>
  </si>
  <si>
    <t>Odvody příspěvkových organizací</t>
  </si>
  <si>
    <t>Příspěvek na odpisy svěř. majetku MŠ</t>
  </si>
  <si>
    <t>Příspěvek na odpisy svěř. majetku ZŠ</t>
  </si>
  <si>
    <t>Příspěvek na odpisy svěř. majetku ZUŠ</t>
  </si>
  <si>
    <t>Příspěvek na odpisy svěř. majetku SDJ</t>
  </si>
  <si>
    <t>312,orj.10</t>
  </si>
  <si>
    <t>103, orj1,2,3,4,1111</t>
  </si>
  <si>
    <t>Stavebnictví, cestovní ruch, služby</t>
  </si>
  <si>
    <t>DPH</t>
  </si>
  <si>
    <t>Územní rozvoj ( Zdravá města)</t>
  </si>
  <si>
    <t>Veřejnopr. smlouvy správní odbor</t>
  </si>
  <si>
    <t>SD Jilm - příspěvek na provoz</t>
  </si>
  <si>
    <t>Příspěvek na činnost Krkonošského muzea</t>
  </si>
  <si>
    <t xml:space="preserve">poznámka k rozpočtu </t>
  </si>
  <si>
    <t>Provoz informačního centra pro mládež</t>
  </si>
  <si>
    <t xml:space="preserve">Odvody z vybraných činností </t>
  </si>
  <si>
    <t xml:space="preserve">Odhad </t>
  </si>
  <si>
    <t>Příjmy za služby pronajímaných prostor</t>
  </si>
  <si>
    <t>Služby pronajímaných prostor</t>
  </si>
  <si>
    <t>Nájemné restaurace pod radnicí</t>
  </si>
  <si>
    <t>Opravy restaurace pod radnicí</t>
  </si>
  <si>
    <t>R-odhad</t>
  </si>
  <si>
    <t>Přijaté dary a ost. příjmy</t>
  </si>
  <si>
    <t>560Kč/os/rok</t>
  </si>
  <si>
    <t>Stravovadlo - Scolarest, ZŠ</t>
  </si>
  <si>
    <t>Nájemné PO města</t>
  </si>
  <si>
    <t>Kozáková</t>
  </si>
  <si>
    <t>Nováková</t>
  </si>
  <si>
    <t>Informační systém</t>
  </si>
  <si>
    <t>šetří se</t>
  </si>
  <si>
    <t>3,14,26</t>
  </si>
  <si>
    <t>Příjmy z úroků ( vč. fondů)</t>
  </si>
  <si>
    <t>Kompostárna - provoz (příspěvek svazku)</t>
  </si>
  <si>
    <t>Požární nádrž Kozinec</t>
  </si>
  <si>
    <t>Zámecký park - podium, cesty</t>
  </si>
  <si>
    <t>Jandurová</t>
  </si>
  <si>
    <t xml:space="preserve">akce města u SPOZ </t>
  </si>
  <si>
    <t>Steinerová</t>
  </si>
  <si>
    <t>13011</t>
  </si>
  <si>
    <t>3349</t>
  </si>
  <si>
    <t>Kursové rozdíly</t>
  </si>
  <si>
    <t>307</t>
  </si>
  <si>
    <t>Projekt Hraběnka</t>
  </si>
  <si>
    <t>z toho 100 tis. nadále propagace</t>
  </si>
  <si>
    <t>vč. akcí města</t>
  </si>
  <si>
    <t>Vinklář</t>
  </si>
  <si>
    <t>dotace MPSV</t>
  </si>
  <si>
    <t>příjmy za služby</t>
  </si>
  <si>
    <t>Vávrová</t>
  </si>
  <si>
    <t>700,701,702</t>
  </si>
  <si>
    <t>Ulice Žižkova - rekonstrukce</t>
  </si>
  <si>
    <t>Revitalizace parku v Dolení ul.</t>
  </si>
  <si>
    <t>Projekt SFŽP</t>
  </si>
  <si>
    <t>Dotace LK na projekt Hraběnka</t>
  </si>
  <si>
    <t>příspěvek spolku</t>
  </si>
  <si>
    <t>Dotace na výkon st. správy -  soc. práci</t>
  </si>
  <si>
    <t>Vébrová</t>
  </si>
  <si>
    <t>RM,ZM</t>
  </si>
  <si>
    <t>Vohnická</t>
  </si>
  <si>
    <t>saldo 0</t>
  </si>
  <si>
    <t>700-702</t>
  </si>
  <si>
    <t>Městská policie</t>
  </si>
  <si>
    <t>veř. smlouvy</t>
  </si>
  <si>
    <t>sankční platby</t>
  </si>
  <si>
    <t>Cyklostezka "Za prací" - projekce</t>
  </si>
  <si>
    <t>dle spl. kalendáře</t>
  </si>
  <si>
    <t>Novotná</t>
  </si>
  <si>
    <t>Fűri</t>
  </si>
  <si>
    <t>garant</t>
  </si>
  <si>
    <t>Přijaté náhrady</t>
  </si>
  <si>
    <t>org</t>
  </si>
  <si>
    <t xml:space="preserve">Dotace LK na pečovatelskou službu </t>
  </si>
  <si>
    <t>Dotace LK na soc. služby pro DC</t>
  </si>
  <si>
    <t>Příjmy z úroků -z poskytn. půjček, divident</t>
  </si>
  <si>
    <t>Vaněk</t>
  </si>
  <si>
    <t xml:space="preserve">Pokuty ostatní </t>
  </si>
  <si>
    <t>MMN,a.s. - příplatek mimo zákl. kapitál</t>
  </si>
  <si>
    <t>Langová</t>
  </si>
  <si>
    <t>Obnova zahr. domku a vytvoření expozice</t>
  </si>
  <si>
    <t>přesun již  z roku 2015</t>
  </si>
  <si>
    <t>VHS - příspěvky (úroky k úvěru Čistá Jizera)</t>
  </si>
  <si>
    <t xml:space="preserve">Rekonstrukce čp.64 - rozvoj soc. služeb </t>
  </si>
  <si>
    <t>Přijetí  úvěru (chodník Čsl. Legií)</t>
  </si>
  <si>
    <t>Šolcová</t>
  </si>
  <si>
    <t>Chodník ul. Roztocká - projekce</t>
  </si>
  <si>
    <t>ul. Na Kozinci - chodník a veř. osvětlení</t>
  </si>
  <si>
    <t>Projekt "Rozvoj MA21 v Jilemnici"</t>
  </si>
  <si>
    <t>Dotace Min. vnitra ČR na požární cisternu</t>
  </si>
  <si>
    <t>Projekt "Podpora sociální práce v Jilenici"</t>
  </si>
  <si>
    <t>projekt OPLZZ</t>
  </si>
  <si>
    <t>Dotace na projekt "Rozvoj MA21 v Jilemnici"</t>
  </si>
  <si>
    <t>Dotace na projekt "Podpopra sociální práce v Jilemnici"</t>
  </si>
  <si>
    <t>Prodej automobilu</t>
  </si>
  <si>
    <t>včetně pouti</t>
  </si>
  <si>
    <t>Popl. z ubytovacích kapacit a rekreační pobyt</t>
  </si>
  <si>
    <t>Revitalizace sídliště Spořilov - projekty</t>
  </si>
  <si>
    <t>Lom - revitalizace</t>
  </si>
  <si>
    <t>Bulušek</t>
  </si>
  <si>
    <t>2018</t>
  </si>
  <si>
    <t>odhad-R17</t>
  </si>
  <si>
    <t>Rozpočet 2018</t>
  </si>
  <si>
    <t>odhad</t>
  </si>
  <si>
    <t>Dotace LK na obnovu požární cisterny</t>
  </si>
  <si>
    <t>Finanční vypořádání z minulých let</t>
  </si>
  <si>
    <t>Dotace na výkon st. správy - soc. právní ochranu dětí</t>
  </si>
  <si>
    <t>Dotace MK ČR na obnovu památek</t>
  </si>
  <si>
    <t>Odhad</t>
  </si>
  <si>
    <t>Modernizace odpadového systému</t>
  </si>
  <si>
    <t>Provoz čp. 259 (staré gymnázium)</t>
  </si>
  <si>
    <t>Požadavek</t>
  </si>
  <si>
    <t>Rekonstrukce lesní cesty</t>
  </si>
  <si>
    <t>Prodej pozemků Nouzov</t>
  </si>
  <si>
    <t>Nájemné ZŠ Libereckého kraje</t>
  </si>
  <si>
    <t>Služby ZŠ Libereckého kraje</t>
  </si>
  <si>
    <t>Nájemné budovy čp. 259</t>
  </si>
  <si>
    <t>Služby nájemníků čp. 259</t>
  </si>
  <si>
    <r>
      <t>M</t>
    </r>
    <r>
      <rPr>
        <sz val="9"/>
        <rFont val="Times New Roman"/>
        <family val="1"/>
        <charset val="238"/>
      </rPr>
      <t>ű</t>
    </r>
    <r>
      <rPr>
        <sz val="9"/>
        <rFont val="Arial CE"/>
        <family val="2"/>
        <charset val="238"/>
      </rPr>
      <t>llerová</t>
    </r>
  </si>
  <si>
    <t>Obnova starého hřbitova</t>
  </si>
  <si>
    <t>Dotace LK na obnovu zahradního domku</t>
  </si>
  <si>
    <t>z toho 300 dotace na soc. služby</t>
  </si>
  <si>
    <t>Izolace střechy kina</t>
  </si>
  <si>
    <t>Revitalizace parku U Labutě</t>
  </si>
  <si>
    <t>Dotace na projekt revitalizace parku U Labutě</t>
  </si>
  <si>
    <t xml:space="preserve">Nová parkoviště </t>
  </si>
  <si>
    <t>převod z r. 2017</t>
  </si>
  <si>
    <t>Úprava kontejnerových stání tříděného odpadu</t>
  </si>
  <si>
    <t>Dotace LK na úpravu kontejnerových stání tř. odpadu</t>
  </si>
  <si>
    <t>pokračování</t>
  </si>
  <si>
    <t>ZUŠ - příspěvek na provoz, čp. 85</t>
  </si>
  <si>
    <t>přesun z r. 2017</t>
  </si>
  <si>
    <t>Projekt EPC</t>
  </si>
  <si>
    <t>smlouva na 3 roky do r. 2019</t>
  </si>
  <si>
    <t>Dotace na projekt "Modernizace odpadového systému</t>
  </si>
  <si>
    <t>dle splátkového kalendáře do r. 2026</t>
  </si>
  <si>
    <t>Sportovní centrum Jilemnice, s.r.o</t>
  </si>
  <si>
    <t>ZŠ Harracha - projekt IROP</t>
  </si>
  <si>
    <t>vyrovnávací platba</t>
  </si>
  <si>
    <t>Rekonstrukce budovy čp. 85</t>
  </si>
  <si>
    <t>Nonnerová</t>
  </si>
  <si>
    <t>Lambertová</t>
  </si>
  <si>
    <t>Jónová</t>
  </si>
  <si>
    <t>Poplatek za odnětí ZPF (Hraběnka)</t>
  </si>
  <si>
    <t>Areál Hraběnka - provoz</t>
  </si>
  <si>
    <t>1.Q.2018</t>
  </si>
  <si>
    <t>R 2019</t>
  </si>
  <si>
    <t>R 19/18</t>
  </si>
  <si>
    <t>2.Q.2018</t>
  </si>
  <si>
    <t>3.Q.2018</t>
  </si>
  <si>
    <t>4.Q.2018</t>
  </si>
  <si>
    <t>odhad 2018</t>
  </si>
  <si>
    <t>O-R18</t>
  </si>
  <si>
    <t>Čerpání 3.Q.2018</t>
  </si>
  <si>
    <t>Čerpání 1.Q.2018</t>
  </si>
  <si>
    <t>Rozpočet 2019</t>
  </si>
  <si>
    <t>Čerpání 2.Q.2018</t>
  </si>
  <si>
    <t>Čerpání 4.Q.2018</t>
  </si>
  <si>
    <t>rozp 18</t>
  </si>
  <si>
    <t>rozp. 2019/</t>
  </si>
  <si>
    <t>rozp.2018</t>
  </si>
  <si>
    <t>rozdíl plnění 2018</t>
  </si>
  <si>
    <t>proti rozpočtu 2018</t>
  </si>
  <si>
    <t>Okruhy plnění rozpočtu 2018 u vybraných organizací v Jilemnici</t>
  </si>
  <si>
    <t>Příjem z pohledávky za zrušenou  přísp. org. SC</t>
  </si>
  <si>
    <t xml:space="preserve">SC,s.r.o -obnova a investice sportovních zařízení </t>
  </si>
  <si>
    <t>Dotace LK pro Zdravá města</t>
  </si>
  <si>
    <t>Dotace pro SDJilm - projekt Alternativa bez hranic</t>
  </si>
  <si>
    <t>Vratka dotace od DC - vypořádání za rok 2017</t>
  </si>
  <si>
    <t>Daň z hazardních her</t>
  </si>
  <si>
    <t>ostatní příjmy</t>
  </si>
  <si>
    <t>zrušeno, doplatek z r. 2017</t>
  </si>
  <si>
    <t>Vratka dotací sociálních a GP z r. 2017</t>
  </si>
  <si>
    <t>Splátky úvěrů, dl. závazků</t>
  </si>
  <si>
    <t>Dotace LK pěstební činnost v lesnictví</t>
  </si>
  <si>
    <t>Dotace MV ČR pro požární ochranu</t>
  </si>
  <si>
    <t>Dotace LK pro ZŠ spec. a MŠ spec.</t>
  </si>
  <si>
    <t>Sportovní centrum Jilemnice, s.r.o splacení ZK, poskytnutí příplatku mimo ZK</t>
  </si>
  <si>
    <t xml:space="preserve">Dotace MŠMTz OP vzdělávání pro MŠ  </t>
  </si>
  <si>
    <t>Přijaté dary na rozvoj města</t>
  </si>
  <si>
    <t>Dotace MŠMTz OP vzdělávání pro ZŠ II</t>
  </si>
  <si>
    <t>úroky 7-12/18</t>
  </si>
  <si>
    <t>Dotace MŽP na kosení modráskové louky</t>
  </si>
  <si>
    <t>ul. Metyšova - obnova vodohosp. sítí, povrchu</t>
  </si>
  <si>
    <t>Dotace LK na potrav. pomoc MŠ Jilemnice</t>
  </si>
  <si>
    <t>Volby prezidenta, komunální</t>
  </si>
  <si>
    <t>Dotace na volby (prezidenta, komunální)</t>
  </si>
  <si>
    <t>Dotace LK pro požární ochranu</t>
  </si>
  <si>
    <t>Příjem ze zrušené ZŠ spec. a MŠ spec.</t>
  </si>
  <si>
    <t>konec 12/2018</t>
  </si>
  <si>
    <t>odhad-R18</t>
  </si>
  <si>
    <t>Dotace na Chodník Čsl. legií</t>
  </si>
  <si>
    <t>Dotace MŠMTz OP vzdělávání pro ZŠ I</t>
  </si>
  <si>
    <t>Dotace LK pro SDJilm</t>
  </si>
  <si>
    <t>přesun z r. 2018</t>
  </si>
  <si>
    <t>ukončeno</t>
  </si>
  <si>
    <t>přesun z roku 2018</t>
  </si>
  <si>
    <t>snížení počtu hr. automatů</t>
  </si>
  <si>
    <t>13015</t>
  </si>
  <si>
    <t>Legie, Hraběnka -přesun</t>
  </si>
  <si>
    <t>Služby Hraběnka</t>
  </si>
  <si>
    <t>v r. 2019 střecha</t>
  </si>
  <si>
    <t>Grantový program Sport</t>
  </si>
  <si>
    <t>Sociální byty (čp. 70)</t>
  </si>
  <si>
    <t>projektová dokumentace (4 byty)</t>
  </si>
  <si>
    <t>žádost výzva MAS, dotace v r. 2020</t>
  </si>
  <si>
    <t>Komunální služby - nákladní vozidlo</t>
  </si>
  <si>
    <t>Dotace na pořízení nákladního vozidla pro MATES</t>
  </si>
  <si>
    <t>org. zrušena</t>
  </si>
  <si>
    <t>Plán rozvoje sportu - dotace na akce</t>
  </si>
  <si>
    <t>Přijatá náhrada za neplnění úspor z projektu EPC</t>
  </si>
  <si>
    <t>projekt OPŽP - ukončeno</t>
  </si>
  <si>
    <t>projekt OPLZZ - ukončeno</t>
  </si>
  <si>
    <t>Dotace na zpracování lesních hospodářských osnov</t>
  </si>
  <si>
    <t>Vratka dotace MŠ- vypořádání za rok 2017</t>
  </si>
  <si>
    <t>včetně TDI</t>
  </si>
  <si>
    <t>Rekonstrukce MŠ Zámecká</t>
  </si>
  <si>
    <t>3000 střecha čp. 103,101</t>
  </si>
  <si>
    <t>saldo 2950</t>
  </si>
  <si>
    <t>u Zollmana, u pošty, částečně přesun</t>
  </si>
  <si>
    <t>příplatek mimo základní kapitál - částečný přesun</t>
  </si>
  <si>
    <t>Richter</t>
  </si>
  <si>
    <t>Hegrová</t>
  </si>
  <si>
    <t>Příprava území k bytové výstavbě - Nouzov</t>
  </si>
  <si>
    <t>Dotace MŽP na pěstební činnost v lesnictví</t>
  </si>
  <si>
    <t>Dotace LK na festival Dech hor</t>
  </si>
  <si>
    <t>Zůstatek z depozitního účtu z r. 2017</t>
  </si>
  <si>
    <t>Úhrada za energetická opatření SC, s.r.o</t>
  </si>
  <si>
    <t>MĚSTO JILEMNICE -  Rozpočet 2018 - Hospodaření 2018 - Rozpočet 2019</t>
  </si>
  <si>
    <t>MĚSTO JILEMNICE -  Rozpočet 2018 -  Hospodaření 2018 - Rozpočet 2019 -  příjmy</t>
  </si>
  <si>
    <t>MĚSTO JILEMNICE -   Rozpočet 2018 - Hospodaření 2018  - Rozpočet 2019 - výdaje</t>
  </si>
  <si>
    <t>Přijatá návratná fin. výpomoc ZŠ Komenského</t>
  </si>
  <si>
    <t>ZŠ Komenského - poskytnutí NFV na projekt IROP</t>
  </si>
  <si>
    <t>Doplatek volby do Parlamentu ČR, ZM</t>
  </si>
  <si>
    <t>Grantový program Zdravé město</t>
  </si>
  <si>
    <t>dokončení</t>
  </si>
  <si>
    <t>402 automobil</t>
  </si>
  <si>
    <t>á</t>
  </si>
  <si>
    <t>Zůstatek z roku 2017,2018</t>
  </si>
  <si>
    <t>Návrh rozpočtu na rok 2019 schválen vedením města  dne 22.1.2019</t>
  </si>
  <si>
    <t>50 SKI - úprava tratí</t>
  </si>
  <si>
    <t>Realizované, podané či připravované projektové žádosti města Jilemnice</t>
  </si>
  <si>
    <t>Informace k 31.12.2018</t>
  </si>
  <si>
    <t>Název projektu</t>
  </si>
  <si>
    <t>Kdo žádá</t>
  </si>
  <si>
    <t xml:space="preserve">Od koho se žádá </t>
  </si>
  <si>
    <t>Stav projednání</t>
  </si>
  <si>
    <t xml:space="preserve"> Předpokládaná výše projektu</t>
  </si>
  <si>
    <t>Předpokládaná  dotace</t>
  </si>
  <si>
    <t>Předpokládaný vlastní podíl</t>
  </si>
  <si>
    <t>Podíl ostatní</t>
  </si>
  <si>
    <t>Realizace v letech</t>
  </si>
  <si>
    <t>Systém financování</t>
  </si>
  <si>
    <t>Program</t>
  </si>
  <si>
    <t xml:space="preserve"> do r.2014</t>
  </si>
  <si>
    <t>Zvýšení bezpečnosti chodců (chodník Čsl. Legií)</t>
  </si>
  <si>
    <t>I</t>
  </si>
  <si>
    <t>město Jilemnice</t>
  </si>
  <si>
    <t xml:space="preserve">Liberecký kraj, IROP výzva č. 18 </t>
  </si>
  <si>
    <t xml:space="preserve">realizace </t>
  </si>
  <si>
    <t>2008-19</t>
  </si>
  <si>
    <t>spolupr. s VHS a LK</t>
  </si>
  <si>
    <t>Šn</t>
  </si>
  <si>
    <t>Infrastruktura pro bytovou výstavbu (Nouzov, Buben)</t>
  </si>
  <si>
    <t>územní rozhodnutí</t>
  </si>
  <si>
    <t>priorita Nouzov</t>
  </si>
  <si>
    <t>odhad nákladů Nouzov</t>
  </si>
  <si>
    <t>Žižkova ulice a kruhový objezd</t>
  </si>
  <si>
    <t>investor LK, Jil. podíl na VO, chodnících</t>
  </si>
  <si>
    <t>dokončení dokumentace , VŘ</t>
  </si>
  <si>
    <t>2015-19</t>
  </si>
  <si>
    <t>Chodník ulice Roztocká</t>
  </si>
  <si>
    <t>zadání proj. dokumentace</t>
  </si>
  <si>
    <t>2017-20</t>
  </si>
  <si>
    <t>Vodohospodářská infrastruktura</t>
  </si>
  <si>
    <t>investor VHS, Jil. podíl</t>
  </si>
  <si>
    <t>v jednání jednotlivé akce</t>
  </si>
  <si>
    <t>vodovod Bátovka</t>
  </si>
  <si>
    <t>realizace, od r. 2018 splácení</t>
  </si>
  <si>
    <t>od r. 2019 hrazeno z úspor</t>
  </si>
  <si>
    <t>Šo</t>
  </si>
  <si>
    <t>IROP- výzva MAS</t>
  </si>
  <si>
    <t>realizace</t>
  </si>
  <si>
    <t>2017-19</t>
  </si>
  <si>
    <t>No</t>
  </si>
  <si>
    <t>I,N</t>
  </si>
  <si>
    <t>Liberecký kraj, MK ČR</t>
  </si>
  <si>
    <t>Non</t>
  </si>
  <si>
    <t>N</t>
  </si>
  <si>
    <t>ukončeno, fin. vypořádání</t>
  </si>
  <si>
    <t>Ja</t>
  </si>
  <si>
    <t>Projekt "Podpopra sociální práce v Jilemnici"</t>
  </si>
  <si>
    <t>Celkem</t>
  </si>
  <si>
    <t>Ukončené, či vyřazené  projekty po roce 2018:</t>
  </si>
  <si>
    <t>Areál Hraběnka - I.a II. Etapa</t>
  </si>
  <si>
    <t>MŠMT, LK</t>
  </si>
  <si>
    <t>2015-18</t>
  </si>
  <si>
    <t>partneři ČKS SKI, Biatlon</t>
  </si>
  <si>
    <t>Va,Šn</t>
  </si>
  <si>
    <t>OPŽP</t>
  </si>
  <si>
    <t>Požární cisterna</t>
  </si>
  <si>
    <t>MV ČR, LK</t>
  </si>
  <si>
    <t>Ce</t>
  </si>
  <si>
    <t>SFŽP</t>
  </si>
  <si>
    <t>2018-19</t>
  </si>
  <si>
    <t>Vlastní podíl v letech</t>
  </si>
  <si>
    <t xml:space="preserve">Inv., Nein. </t>
  </si>
  <si>
    <t>výše projektu</t>
  </si>
  <si>
    <t>vl. podíl</t>
  </si>
  <si>
    <t>přijatá dotace</t>
  </si>
  <si>
    <t>Individuální dotace kultura a ost.</t>
  </si>
  <si>
    <t>Návrh rozpočtu na rok 2019 projednán a doporučen FV dne 28.1.2019</t>
  </si>
  <si>
    <t>Individuální dotace tělových. a záj. činnost</t>
  </si>
  <si>
    <t>Určeno k vyvěšení a projednání v ZM dne 20. 2. 2019</t>
  </si>
  <si>
    <t>Návrh rozpočtu na rok 2019 projednán a doporučen RM dne 30.1.2019 č. usn. 11/19</t>
  </si>
  <si>
    <t xml:space="preserve">2000 dotace akce Bátovka </t>
  </si>
  <si>
    <t>z toho 259 dotace na sportoviště</t>
  </si>
  <si>
    <t>z toho 130 dotace na sportoviště a 1550 hor. stěna</t>
  </si>
  <si>
    <t>saldo 400</t>
  </si>
  <si>
    <t>vliv prodejů pozemků Nouzov</t>
  </si>
  <si>
    <t>Ing. Miroslava Kynčlová</t>
  </si>
  <si>
    <t>vedoucí finančního odboru</t>
  </si>
  <si>
    <t>V elektronické podobě vyvěšeno od 4. 2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</si>
</sst>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164" formatCode="#,##0.0"/>
    <numFmt numFmtId="165" formatCode="0.0"/>
    <numFmt numFmtId="166" formatCode="#,##0.0000000"/>
    <numFmt numFmtId="167" formatCode="#,##0.000000"/>
    <numFmt numFmtId="168" formatCode="#,##0.00000"/>
    <numFmt numFmtId="169" formatCode="#,##0.000"/>
    <numFmt numFmtId="170" formatCode="#,##0_ ;[Red]\-#,##0\ "/>
    <numFmt numFmtId="171" formatCode="0_ ;[Red]\-0\ "/>
    <numFmt numFmtId="172" formatCode="d/m/yy;@"/>
    <numFmt numFmtId="173" formatCode="0.0000000000000000E+00"/>
    <numFmt numFmtId="174" formatCode="#,##0.0000"/>
  </numFmts>
  <fonts count="34" x14ac:knownFonts="1">
    <font>
      <sz val="10"/>
      <name val="Arial CE"/>
      <charset val="238"/>
    </font>
    <font>
      <sz val="10"/>
      <name val="Arial CE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8"/>
      <name val="Arial CE"/>
      <family val="2"/>
      <charset val="238"/>
    </font>
    <font>
      <sz val="8"/>
      <name val="Arial CE"/>
      <family val="2"/>
      <charset val="238"/>
    </font>
    <font>
      <sz val="8"/>
      <name val="Arial CE"/>
      <charset val="238"/>
    </font>
    <font>
      <b/>
      <sz val="10"/>
      <name val="Arial CE"/>
      <charset val="238"/>
    </font>
    <font>
      <b/>
      <sz val="8"/>
      <name val="Arial CE"/>
      <charset val="238"/>
    </font>
    <font>
      <b/>
      <sz val="8"/>
      <color indexed="8"/>
      <name val="Arial CE"/>
      <family val="2"/>
      <charset val="238"/>
    </font>
    <font>
      <sz val="8"/>
      <color indexed="8"/>
      <name val="Arial CE"/>
      <family val="2"/>
      <charset val="238"/>
    </font>
    <font>
      <b/>
      <sz val="12"/>
      <color indexed="8"/>
      <name val="Arial CE"/>
      <family val="2"/>
      <charset val="238"/>
    </font>
    <font>
      <sz val="12"/>
      <color indexed="8"/>
      <name val="Arial CE"/>
      <family val="2"/>
      <charset val="238"/>
    </font>
    <font>
      <b/>
      <sz val="10"/>
      <color indexed="8"/>
      <name val="Arial CE"/>
      <family val="2"/>
      <charset val="238"/>
    </font>
    <font>
      <sz val="8"/>
      <color indexed="81"/>
      <name val="Tahoma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b/>
      <sz val="8"/>
      <color indexed="81"/>
      <name val="Tahoma"/>
      <family val="2"/>
      <charset val="238"/>
    </font>
    <font>
      <sz val="10"/>
      <color indexed="81"/>
      <name val="Tahoma"/>
      <family val="2"/>
      <charset val="238"/>
    </font>
    <font>
      <b/>
      <sz val="8"/>
      <color indexed="8"/>
      <name val="Arial CE"/>
      <charset val="238"/>
    </font>
    <font>
      <sz val="8"/>
      <name val="Arial"/>
      <family val="2"/>
      <charset val="238"/>
    </font>
    <font>
      <sz val="8"/>
      <color indexed="8"/>
      <name val="Arial CE"/>
      <charset val="238"/>
    </font>
    <font>
      <sz val="8"/>
      <name val="Times New Roman"/>
      <family val="1"/>
      <charset val="238"/>
    </font>
    <font>
      <sz val="8"/>
      <color indexed="10"/>
      <name val="Arial CE"/>
      <family val="2"/>
      <charset val="238"/>
    </font>
    <font>
      <b/>
      <sz val="8"/>
      <color indexed="10"/>
      <name val="Arial CE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indexed="8"/>
      <name val="Arial CE"/>
      <charset val="238"/>
    </font>
    <font>
      <sz val="10"/>
      <name val="Arial"/>
      <family val="2"/>
      <charset val="238"/>
    </font>
    <font>
      <sz val="7"/>
      <color indexed="8"/>
      <name val="Arial CE"/>
      <family val="2"/>
      <charset val="238"/>
    </font>
    <font>
      <sz val="9"/>
      <name val="Arial CE"/>
      <family val="2"/>
      <charset val="238"/>
    </font>
    <font>
      <sz val="9"/>
      <name val="Times New Roman"/>
      <family val="1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</fonts>
  <fills count="1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6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8" fillId="0" borderId="0"/>
    <xf numFmtId="9" fontId="1" fillId="0" borderId="0" applyFont="0" applyFill="0" applyBorder="0" applyAlignment="0" applyProtection="0"/>
  </cellStyleXfs>
  <cellXfs count="618">
    <xf numFmtId="0" fontId="0" fillId="0" borderId="0" xfId="0"/>
    <xf numFmtId="0" fontId="2" fillId="0" borderId="0" xfId="0" applyFont="1"/>
    <xf numFmtId="164" fontId="2" fillId="0" borderId="0" xfId="0" applyNumberFormat="1" applyFont="1"/>
    <xf numFmtId="0" fontId="3" fillId="0" borderId="0" xfId="0" applyFont="1"/>
    <xf numFmtId="0" fontId="3" fillId="0" borderId="1" xfId="0" applyFont="1" applyBorder="1"/>
    <xf numFmtId="164" fontId="3" fillId="0" borderId="2" xfId="0" applyNumberFormat="1" applyFont="1" applyBorder="1"/>
    <xf numFmtId="0" fontId="3" fillId="0" borderId="3" xfId="0" applyFont="1" applyBorder="1" applyAlignment="1">
      <alignment horizontal="center"/>
    </xf>
    <xf numFmtId="0" fontId="3" fillId="0" borderId="4" xfId="0" applyFont="1" applyBorder="1"/>
    <xf numFmtId="1" fontId="3" fillId="0" borderId="5" xfId="0" applyNumberFormat="1" applyFont="1" applyBorder="1" applyAlignment="1">
      <alignment horizontal="center"/>
    </xf>
    <xf numFmtId="0" fontId="4" fillId="0" borderId="6" xfId="0" applyFont="1" applyBorder="1"/>
    <xf numFmtId="3" fontId="5" fillId="0" borderId="7" xfId="0" applyNumberFormat="1" applyFont="1" applyBorder="1"/>
    <xf numFmtId="165" fontId="5" fillId="0" borderId="8" xfId="0" applyNumberFormat="1" applyFont="1" applyBorder="1" applyAlignment="1">
      <alignment horizontal="center"/>
    </xf>
    <xf numFmtId="0" fontId="3" fillId="0" borderId="9" xfId="0" applyFont="1" applyBorder="1"/>
    <xf numFmtId="3" fontId="4" fillId="0" borderId="7" xfId="0" applyNumberFormat="1" applyFont="1" applyBorder="1"/>
    <xf numFmtId="165" fontId="4" fillId="0" borderId="8" xfId="0" applyNumberFormat="1" applyFont="1" applyBorder="1" applyAlignment="1">
      <alignment horizontal="center"/>
    </xf>
    <xf numFmtId="0" fontId="3" fillId="0" borderId="0" xfId="0" applyFont="1" applyBorder="1"/>
    <xf numFmtId="3" fontId="5" fillId="0" borderId="10" xfId="0" applyNumberFormat="1" applyFont="1" applyFill="1" applyBorder="1" applyAlignment="1" applyProtection="1"/>
    <xf numFmtId="3" fontId="5" fillId="0" borderId="7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/>
    <xf numFmtId="165" fontId="4" fillId="0" borderId="6" xfId="0" applyNumberFormat="1" applyFont="1" applyBorder="1" applyAlignment="1">
      <alignment horizontal="center"/>
    </xf>
    <xf numFmtId="164" fontId="5" fillId="0" borderId="0" xfId="0" applyNumberFormat="1" applyFont="1"/>
    <xf numFmtId="0" fontId="5" fillId="0" borderId="0" xfId="0" applyFont="1"/>
    <xf numFmtId="0" fontId="3" fillId="0" borderId="11" xfId="0" applyFont="1" applyBorder="1"/>
    <xf numFmtId="0" fontId="5" fillId="0" borderId="0" xfId="0" applyNumberFormat="1" applyFont="1" applyFill="1" applyBorder="1" applyAlignment="1" applyProtection="1"/>
    <xf numFmtId="0" fontId="4" fillId="0" borderId="12" xfId="0" applyNumberFormat="1" applyFont="1" applyFill="1" applyBorder="1" applyAlignment="1" applyProtection="1"/>
    <xf numFmtId="164" fontId="4" fillId="0" borderId="12" xfId="0" applyNumberFormat="1" applyFont="1" applyFill="1" applyBorder="1" applyAlignment="1" applyProtection="1">
      <alignment horizontal="right"/>
    </xf>
    <xf numFmtId="0" fontId="4" fillId="0" borderId="5" xfId="0" applyNumberFormat="1" applyFont="1" applyFill="1" applyBorder="1" applyAlignment="1" applyProtection="1"/>
    <xf numFmtId="0" fontId="4" fillId="0" borderId="5" xfId="0" applyNumberFormat="1" applyFont="1" applyFill="1" applyBorder="1" applyAlignment="1" applyProtection="1">
      <alignment horizontal="center"/>
    </xf>
    <xf numFmtId="0" fontId="4" fillId="0" borderId="5" xfId="0" applyNumberFormat="1" applyFont="1" applyFill="1" applyBorder="1" applyAlignment="1" applyProtection="1">
      <alignment horizontal="right"/>
    </xf>
    <xf numFmtId="0" fontId="5" fillId="0" borderId="10" xfId="0" applyNumberFormat="1" applyFont="1" applyFill="1" applyBorder="1" applyAlignment="1" applyProtection="1"/>
    <xf numFmtId="164" fontId="9" fillId="2" borderId="10" xfId="0" applyNumberFormat="1" applyFont="1" applyFill="1" applyBorder="1" applyAlignment="1" applyProtection="1">
      <alignment horizontal="right"/>
    </xf>
    <xf numFmtId="164" fontId="9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/>
    <xf numFmtId="0" fontId="6" fillId="0" borderId="10" xfId="0" applyNumberFormat="1" applyFont="1" applyFill="1" applyBorder="1" applyAlignment="1" applyProtection="1"/>
    <xf numFmtId="164" fontId="10" fillId="0" borderId="10" xfId="0" applyNumberFormat="1" applyFont="1" applyFill="1" applyBorder="1" applyAlignment="1" applyProtection="1">
      <alignment horizontal="right"/>
    </xf>
    <xf numFmtId="0" fontId="5" fillId="0" borderId="13" xfId="0" applyNumberFormat="1" applyFont="1" applyFill="1" applyBorder="1" applyAlignment="1" applyProtection="1"/>
    <xf numFmtId="164" fontId="9" fillId="0" borderId="14" xfId="0" applyNumberFormat="1" applyFont="1" applyFill="1" applyBorder="1" applyAlignment="1" applyProtection="1">
      <alignment horizontal="right"/>
    </xf>
    <xf numFmtId="164" fontId="10" fillId="2" borderId="10" xfId="0" applyNumberFormat="1" applyFont="1" applyFill="1" applyBorder="1" applyAlignment="1" applyProtection="1">
      <alignment horizontal="right"/>
    </xf>
    <xf numFmtId="164" fontId="10" fillId="0" borderId="15" xfId="0" applyNumberFormat="1" applyFont="1" applyFill="1" applyBorder="1" applyAlignment="1" applyProtection="1">
      <alignment horizontal="right"/>
    </xf>
    <xf numFmtId="0" fontId="11" fillId="3" borderId="16" xfId="0" applyNumberFormat="1" applyFont="1" applyFill="1" applyBorder="1" applyAlignment="1" applyProtection="1"/>
    <xf numFmtId="0" fontId="12" fillId="3" borderId="11" xfId="0" applyNumberFormat="1" applyFont="1" applyFill="1" applyBorder="1" applyAlignment="1" applyProtection="1"/>
    <xf numFmtId="0" fontId="12" fillId="3" borderId="13" xfId="0" applyNumberFormat="1" applyFont="1" applyFill="1" applyBorder="1" applyAlignment="1" applyProtection="1"/>
    <xf numFmtId="164" fontId="12" fillId="3" borderId="13" xfId="0" applyNumberFormat="1" applyFont="1" applyFill="1" applyBorder="1" applyAlignment="1" applyProtection="1"/>
    <xf numFmtId="0" fontId="3" fillId="0" borderId="0" xfId="0" applyNumberFormat="1" applyFont="1" applyFill="1" applyBorder="1" applyAlignment="1" applyProtection="1"/>
    <xf numFmtId="0" fontId="4" fillId="0" borderId="0" xfId="0" applyNumberFormat="1" applyFont="1" applyFill="1" applyBorder="1" applyAlignment="1" applyProtection="1"/>
    <xf numFmtId="0" fontId="4" fillId="0" borderId="17" xfId="0" applyNumberFormat="1" applyFont="1" applyFill="1" applyBorder="1" applyAlignment="1" applyProtection="1"/>
    <xf numFmtId="3" fontId="5" fillId="0" borderId="9" xfId="0" applyNumberFormat="1" applyFont="1" applyFill="1" applyBorder="1" applyAlignment="1" applyProtection="1"/>
    <xf numFmtId="164" fontId="13" fillId="0" borderId="18" xfId="0" applyNumberFormat="1" applyFont="1" applyFill="1" applyBorder="1" applyAlignment="1" applyProtection="1">
      <alignment horizontal="right"/>
    </xf>
    <xf numFmtId="0" fontId="4" fillId="0" borderId="19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>
      <alignment horizontal="center"/>
    </xf>
    <xf numFmtId="0" fontId="4" fillId="0" borderId="10" xfId="0" applyNumberFormat="1" applyFont="1" applyFill="1" applyBorder="1" applyAlignment="1" applyProtection="1">
      <alignment horizontal="center"/>
    </xf>
    <xf numFmtId="0" fontId="4" fillId="0" borderId="4" xfId="0" applyNumberFormat="1" applyFont="1" applyFill="1" applyBorder="1" applyAlignment="1" applyProtection="1">
      <alignment horizontal="center"/>
    </xf>
    <xf numFmtId="3" fontId="4" fillId="0" borderId="6" xfId="0" applyNumberFormat="1" applyFont="1" applyFill="1" applyBorder="1" applyAlignment="1" applyProtection="1">
      <alignment horizontal="center"/>
    </xf>
    <xf numFmtId="3" fontId="4" fillId="0" borderId="1" xfId="0" applyNumberFormat="1" applyFont="1" applyFill="1" applyBorder="1" applyAlignment="1" applyProtection="1"/>
    <xf numFmtId="3" fontId="4" fillId="0" borderId="2" xfId="0" applyNumberFormat="1" applyFont="1" applyFill="1" applyBorder="1" applyAlignment="1" applyProtection="1"/>
    <xf numFmtId="3" fontId="4" fillId="0" borderId="9" xfId="0" applyNumberFormat="1" applyFont="1" applyFill="1" applyBorder="1" applyAlignment="1" applyProtection="1"/>
    <xf numFmtId="3" fontId="4" fillId="0" borderId="8" xfId="0" applyNumberFormat="1" applyFont="1" applyFill="1" applyBorder="1" applyAlignment="1" applyProtection="1"/>
    <xf numFmtId="3" fontId="5" fillId="0" borderId="8" xfId="0" applyNumberFormat="1" applyFont="1" applyFill="1" applyBorder="1" applyAlignment="1" applyProtection="1"/>
    <xf numFmtId="3" fontId="4" fillId="0" borderId="20" xfId="0" applyNumberFormat="1" applyFont="1" applyFill="1" applyBorder="1" applyAlignment="1" applyProtection="1"/>
    <xf numFmtId="3" fontId="4" fillId="0" borderId="12" xfId="0" applyNumberFormat="1" applyFont="1" applyFill="1" applyBorder="1" applyAlignment="1" applyProtection="1"/>
    <xf numFmtId="3" fontId="4" fillId="0" borderId="21" xfId="0" applyNumberFormat="1" applyFont="1" applyFill="1" applyBorder="1" applyAlignment="1" applyProtection="1"/>
    <xf numFmtId="3" fontId="5" fillId="0" borderId="22" xfId="0" applyNumberFormat="1" applyFont="1" applyFill="1" applyBorder="1" applyAlignment="1" applyProtection="1"/>
    <xf numFmtId="0" fontId="5" fillId="0" borderId="9" xfId="0" applyNumberFormat="1" applyFont="1" applyFill="1" applyBorder="1" applyAlignment="1" applyProtection="1"/>
    <xf numFmtId="3" fontId="5" fillId="0" borderId="23" xfId="0" applyNumberFormat="1" applyFont="1" applyFill="1" applyBorder="1" applyAlignment="1" applyProtection="1"/>
    <xf numFmtId="3" fontId="5" fillId="0" borderId="13" xfId="0" applyNumberFormat="1" applyFont="1" applyFill="1" applyBorder="1" applyAlignment="1" applyProtection="1"/>
    <xf numFmtId="0" fontId="5" fillId="0" borderId="22" xfId="0" applyNumberFormat="1" applyFont="1" applyFill="1" applyBorder="1" applyAlignment="1" applyProtection="1"/>
    <xf numFmtId="3" fontId="5" fillId="0" borderId="0" xfId="0" applyNumberFormat="1" applyFont="1"/>
    <xf numFmtId="4" fontId="5" fillId="0" borderId="0" xfId="0" applyNumberFormat="1" applyFont="1"/>
    <xf numFmtId="0" fontId="4" fillId="0" borderId="2" xfId="0" applyNumberFormat="1" applyFont="1" applyFill="1" applyBorder="1" applyAlignment="1" applyProtection="1"/>
    <xf numFmtId="3" fontId="10" fillId="0" borderId="10" xfId="0" applyNumberFormat="1" applyFont="1" applyFill="1" applyBorder="1" applyAlignment="1" applyProtection="1">
      <alignment horizontal="right"/>
    </xf>
    <xf numFmtId="3" fontId="9" fillId="0" borderId="10" xfId="0" applyNumberFormat="1" applyFont="1" applyFill="1" applyBorder="1" applyAlignment="1" applyProtection="1">
      <alignment horizontal="right"/>
    </xf>
    <xf numFmtId="3" fontId="9" fillId="0" borderId="14" xfId="0" applyNumberFormat="1" applyFont="1" applyFill="1" applyBorder="1" applyAlignment="1" applyProtection="1">
      <alignment horizontal="right"/>
    </xf>
    <xf numFmtId="3" fontId="10" fillId="2" borderId="10" xfId="0" applyNumberFormat="1" applyFont="1" applyFill="1" applyBorder="1" applyAlignment="1" applyProtection="1">
      <alignment horizontal="right"/>
    </xf>
    <xf numFmtId="0" fontId="3" fillId="0" borderId="8" xfId="0" applyFont="1" applyBorder="1"/>
    <xf numFmtId="0" fontId="16" fillId="0" borderId="8" xfId="0" applyFont="1" applyBorder="1"/>
    <xf numFmtId="0" fontId="5" fillId="0" borderId="11" xfId="0" applyFont="1" applyBorder="1"/>
    <xf numFmtId="3" fontId="9" fillId="2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/>
    <xf numFmtId="0" fontId="5" fillId="2" borderId="10" xfId="0" applyNumberFormat="1" applyFont="1" applyFill="1" applyBorder="1" applyAlignment="1" applyProtection="1"/>
    <xf numFmtId="0" fontId="3" fillId="0" borderId="25" xfId="0" applyFont="1" applyBorder="1"/>
    <xf numFmtId="0" fontId="3" fillId="0" borderId="26" xfId="0" applyFont="1" applyBorder="1"/>
    <xf numFmtId="3" fontId="5" fillId="0" borderId="26" xfId="0" applyNumberFormat="1" applyFont="1" applyBorder="1"/>
    <xf numFmtId="0" fontId="3" fillId="0" borderId="6" xfId="0" applyFont="1" applyBorder="1"/>
    <xf numFmtId="9" fontId="5" fillId="0" borderId="8" xfId="0" applyNumberFormat="1" applyFont="1" applyBorder="1"/>
    <xf numFmtId="9" fontId="4" fillId="0" borderId="8" xfId="0" applyNumberFormat="1" applyFont="1" applyBorder="1"/>
    <xf numFmtId="0" fontId="5" fillId="0" borderId="8" xfId="0" applyFont="1" applyBorder="1"/>
    <xf numFmtId="0" fontId="4" fillId="0" borderId="8" xfId="0" applyFont="1" applyBorder="1"/>
    <xf numFmtId="3" fontId="4" fillId="0" borderId="8" xfId="0" applyNumberFormat="1" applyFont="1" applyBorder="1"/>
    <xf numFmtId="0" fontId="5" fillId="0" borderId="6" xfId="0" applyFont="1" applyBorder="1"/>
    <xf numFmtId="0" fontId="4" fillId="0" borderId="8" xfId="0" applyNumberFormat="1" applyFont="1" applyFill="1" applyBorder="1" applyAlignment="1" applyProtection="1">
      <alignment horizontal="center"/>
    </xf>
    <xf numFmtId="0" fontId="4" fillId="0" borderId="9" xfId="0" applyNumberFormat="1" applyFont="1" applyFill="1" applyBorder="1" applyAlignment="1" applyProtection="1"/>
    <xf numFmtId="0" fontId="5" fillId="0" borderId="27" xfId="0" applyFont="1" applyBorder="1"/>
    <xf numFmtId="3" fontId="4" fillId="0" borderId="10" xfId="0" applyNumberFormat="1" applyFont="1" applyFill="1" applyBorder="1"/>
    <xf numFmtId="3" fontId="16" fillId="0" borderId="10" xfId="0" applyNumberFormat="1" applyFont="1" applyFill="1" applyBorder="1"/>
    <xf numFmtId="3" fontId="3" fillId="0" borderId="10" xfId="0" applyNumberFormat="1" applyFont="1" applyFill="1" applyBorder="1"/>
    <xf numFmtId="0" fontId="16" fillId="0" borderId="0" xfId="0" applyFont="1"/>
    <xf numFmtId="0" fontId="3" fillId="0" borderId="10" xfId="0" applyNumberFormat="1" applyFont="1" applyFill="1" applyBorder="1" applyAlignment="1" applyProtection="1"/>
    <xf numFmtId="0" fontId="16" fillId="0" borderId="10" xfId="0" applyFont="1" applyBorder="1"/>
    <xf numFmtId="0" fontId="5" fillId="0" borderId="0" xfId="0" applyFont="1" applyFill="1"/>
    <xf numFmtId="0" fontId="4" fillId="0" borderId="19" xfId="0" applyNumberFormat="1" applyFont="1" applyFill="1" applyBorder="1" applyAlignment="1" applyProtection="1"/>
    <xf numFmtId="0" fontId="5" fillId="0" borderId="28" xfId="0" applyNumberFormat="1" applyFont="1" applyFill="1" applyBorder="1" applyAlignment="1" applyProtection="1"/>
    <xf numFmtId="0" fontId="4" fillId="0" borderId="29" xfId="0" applyNumberFormat="1" applyFont="1" applyFill="1" applyBorder="1" applyAlignment="1" applyProtection="1"/>
    <xf numFmtId="0" fontId="16" fillId="0" borderId="9" xfId="0" applyFont="1" applyBorder="1"/>
    <xf numFmtId="164" fontId="16" fillId="0" borderId="0" xfId="0" applyNumberFormat="1" applyFont="1"/>
    <xf numFmtId="0" fontId="4" fillId="2" borderId="10" xfId="0" applyFont="1" applyFill="1" applyBorder="1" applyAlignment="1">
      <alignment horizontal="right"/>
    </xf>
    <xf numFmtId="0" fontId="15" fillId="0" borderId="0" xfId="0" applyNumberFormat="1" applyFont="1" applyFill="1" applyBorder="1" applyAlignment="1" applyProtection="1"/>
    <xf numFmtId="0" fontId="16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Alignment="1" applyProtection="1"/>
    <xf numFmtId="164" fontId="16" fillId="0" borderId="0" xfId="0" applyNumberFormat="1" applyFont="1" applyFill="1" applyBorder="1" applyAlignment="1" applyProtection="1">
      <alignment horizontal="right"/>
    </xf>
    <xf numFmtId="0" fontId="16" fillId="0" borderId="10" xfId="0" applyNumberFormat="1" applyFont="1" applyFill="1" applyBorder="1" applyAlignment="1" applyProtection="1"/>
    <xf numFmtId="0" fontId="3" fillId="2" borderId="10" xfId="0" applyNumberFormat="1" applyFont="1" applyFill="1" applyBorder="1" applyAlignment="1" applyProtection="1"/>
    <xf numFmtId="164" fontId="3" fillId="2" borderId="10" xfId="0" applyNumberFormat="1" applyFont="1" applyFill="1" applyBorder="1" applyAlignment="1" applyProtection="1"/>
    <xf numFmtId="0" fontId="5" fillId="0" borderId="10" xfId="0" applyNumberFormat="1" applyFont="1" applyFill="1" applyBorder="1" applyAlignment="1" applyProtection="1">
      <alignment horizontal="right"/>
    </xf>
    <xf numFmtId="3" fontId="16" fillId="0" borderId="0" xfId="0" applyNumberFormat="1" applyFont="1"/>
    <xf numFmtId="0" fontId="5" fillId="0" borderId="10" xfId="0" applyNumberFormat="1" applyFont="1" applyFill="1" applyBorder="1" applyAlignment="1" applyProtection="1">
      <alignment horizontal="left"/>
    </xf>
    <xf numFmtId="0" fontId="2" fillId="0" borderId="14" xfId="0" applyNumberFormat="1" applyFont="1" applyFill="1" applyBorder="1" applyAlignment="1" applyProtection="1"/>
    <xf numFmtId="0" fontId="4" fillId="0" borderId="14" xfId="0" applyNumberFormat="1" applyFont="1" applyFill="1" applyBorder="1" applyAlignment="1" applyProtection="1"/>
    <xf numFmtId="0" fontId="16" fillId="0" borderId="0" xfId="0" applyFont="1" applyFill="1"/>
    <xf numFmtId="0" fontId="5" fillId="0" borderId="14" xfId="0" applyNumberFormat="1" applyFont="1" applyFill="1" applyBorder="1" applyAlignment="1" applyProtection="1"/>
    <xf numFmtId="0" fontId="16" fillId="0" borderId="14" xfId="0" applyNumberFormat="1" applyFont="1" applyFill="1" applyBorder="1" applyAlignment="1" applyProtection="1"/>
    <xf numFmtId="0" fontId="16" fillId="2" borderId="10" xfId="0" applyNumberFormat="1" applyFont="1" applyFill="1" applyBorder="1" applyAlignment="1" applyProtection="1"/>
    <xf numFmtId="3" fontId="4" fillId="0" borderId="14" xfId="0" applyNumberFormat="1" applyFont="1" applyFill="1" applyBorder="1" applyAlignment="1" applyProtection="1">
      <alignment horizontal="right"/>
    </xf>
    <xf numFmtId="0" fontId="5" fillId="0" borderId="1" xfId="0" applyNumberFormat="1" applyFont="1" applyFill="1" applyBorder="1" applyAlignment="1" applyProtection="1"/>
    <xf numFmtId="0" fontId="3" fillId="0" borderId="9" xfId="0" applyNumberFormat="1" applyFont="1" applyFill="1" applyBorder="1" applyAlignment="1" applyProtection="1"/>
    <xf numFmtId="1" fontId="5" fillId="0" borderId="0" xfId="0" applyNumberFormat="1" applyFont="1" applyFill="1" applyBorder="1" applyAlignment="1" applyProtection="1"/>
    <xf numFmtId="0" fontId="3" fillId="0" borderId="4" xfId="0" applyNumberFormat="1" applyFont="1" applyFill="1" applyBorder="1" applyAlignment="1" applyProtection="1"/>
    <xf numFmtId="4" fontId="16" fillId="0" borderId="0" xfId="0" applyNumberFormat="1" applyFont="1"/>
    <xf numFmtId="0" fontId="5" fillId="0" borderId="7" xfId="0" applyNumberFormat="1" applyFont="1" applyFill="1" applyBorder="1" applyAlignment="1" applyProtection="1">
      <alignment horizontal="right"/>
    </xf>
    <xf numFmtId="3" fontId="9" fillId="3" borderId="13" xfId="0" applyNumberFormat="1" applyFont="1" applyFill="1" applyBorder="1" applyAlignment="1" applyProtection="1">
      <alignment horizontal="right"/>
    </xf>
    <xf numFmtId="0" fontId="16" fillId="0" borderId="4" xfId="0" applyFont="1" applyBorder="1"/>
    <xf numFmtId="0" fontId="16" fillId="0" borderId="0" xfId="0" applyFont="1" applyBorder="1"/>
    <xf numFmtId="0" fontId="16" fillId="0" borderId="30" xfId="0" applyFont="1" applyBorder="1"/>
    <xf numFmtId="0" fontId="16" fillId="0" borderId="11" xfId="0" applyFont="1" applyBorder="1"/>
    <xf numFmtId="0" fontId="16" fillId="0" borderId="8" xfId="0" applyFont="1" applyFill="1" applyBorder="1"/>
    <xf numFmtId="0" fontId="16" fillId="0" borderId="31" xfId="0" applyFont="1" applyBorder="1"/>
    <xf numFmtId="0" fontId="4" fillId="0" borderId="32" xfId="0" applyNumberFormat="1" applyFont="1" applyFill="1" applyBorder="1" applyAlignment="1" applyProtection="1"/>
    <xf numFmtId="0" fontId="4" fillId="0" borderId="1" xfId="0" applyNumberFormat="1" applyFont="1" applyFill="1" applyBorder="1" applyAlignment="1" applyProtection="1"/>
    <xf numFmtId="0" fontId="16" fillId="0" borderId="9" xfId="0" applyNumberFormat="1" applyFont="1" applyFill="1" applyBorder="1" applyAlignment="1" applyProtection="1"/>
    <xf numFmtId="0" fontId="4" fillId="0" borderId="20" xfId="0" applyNumberFormat="1" applyFont="1" applyFill="1" applyBorder="1" applyAlignment="1" applyProtection="1"/>
    <xf numFmtId="0" fontId="16" fillId="0" borderId="22" xfId="0" applyNumberFormat="1" applyFont="1" applyFill="1" applyBorder="1" applyAlignment="1" applyProtection="1"/>
    <xf numFmtId="0" fontId="5" fillId="0" borderId="33" xfId="0" applyNumberFormat="1" applyFont="1" applyFill="1" applyBorder="1" applyAlignment="1" applyProtection="1"/>
    <xf numFmtId="3" fontId="5" fillId="0" borderId="0" xfId="0" applyNumberFormat="1" applyFont="1" applyFill="1" applyBorder="1" applyAlignment="1" applyProtection="1"/>
    <xf numFmtId="49" fontId="4" fillId="0" borderId="5" xfId="0" applyNumberFormat="1" applyFont="1" applyFill="1" applyBorder="1" applyAlignment="1" applyProtection="1">
      <alignment horizontal="center"/>
    </xf>
    <xf numFmtId="169" fontId="4" fillId="0" borderId="5" xfId="0" applyNumberFormat="1" applyFont="1" applyFill="1" applyBorder="1" applyAlignment="1" applyProtection="1">
      <alignment horizontal="center"/>
    </xf>
    <xf numFmtId="169" fontId="16" fillId="0" borderId="0" xfId="0" applyNumberFormat="1" applyFont="1" applyFill="1" applyBorder="1" applyAlignment="1" applyProtection="1">
      <alignment horizontal="right"/>
    </xf>
    <xf numFmtId="169" fontId="4" fillId="0" borderId="12" xfId="0" applyNumberFormat="1" applyFont="1" applyFill="1" applyBorder="1" applyAlignment="1" applyProtection="1">
      <alignment horizontal="center"/>
    </xf>
    <xf numFmtId="169" fontId="9" fillId="2" borderId="10" xfId="0" applyNumberFormat="1" applyFont="1" applyFill="1" applyBorder="1" applyAlignment="1" applyProtection="1">
      <alignment horizontal="right"/>
    </xf>
    <xf numFmtId="169" fontId="16" fillId="0" borderId="0" xfId="0" applyNumberFormat="1" applyFont="1" applyFill="1"/>
    <xf numFmtId="3" fontId="16" fillId="0" borderId="0" xfId="0" applyNumberFormat="1" applyFont="1" applyFill="1"/>
    <xf numFmtId="3" fontId="5" fillId="0" borderId="34" xfId="0" applyNumberFormat="1" applyFont="1" applyFill="1" applyBorder="1" applyAlignment="1" applyProtection="1"/>
    <xf numFmtId="3" fontId="10" fillId="0" borderId="15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>
      <alignment horizontal="right"/>
    </xf>
    <xf numFmtId="3" fontId="16" fillId="0" borderId="0" xfId="0" applyNumberFormat="1" applyFont="1" applyFill="1" applyBorder="1" applyAlignment="1" applyProtection="1">
      <alignment horizontal="right"/>
    </xf>
    <xf numFmtId="3" fontId="4" fillId="0" borderId="35" xfId="0" applyNumberFormat="1" applyFont="1" applyFill="1" applyBorder="1" applyAlignment="1" applyProtection="1">
      <alignment horizontal="right"/>
    </xf>
    <xf numFmtId="3" fontId="5" fillId="0" borderId="7" xfId="0" applyNumberFormat="1" applyFont="1" applyFill="1" applyBorder="1"/>
    <xf numFmtId="9" fontId="16" fillId="0" borderId="0" xfId="2" applyFont="1" applyFill="1" applyBorder="1" applyAlignment="1" applyProtection="1">
      <alignment horizontal="right"/>
    </xf>
    <xf numFmtId="9" fontId="9" fillId="2" borderId="10" xfId="2" applyFont="1" applyFill="1" applyBorder="1" applyAlignment="1" applyProtection="1">
      <alignment horizontal="right"/>
    </xf>
    <xf numFmtId="9" fontId="9" fillId="0" borderId="10" xfId="2" applyFont="1" applyFill="1" applyBorder="1" applyAlignment="1" applyProtection="1">
      <alignment horizontal="right"/>
    </xf>
    <xf numFmtId="9" fontId="10" fillId="0" borderId="10" xfId="2" applyFont="1" applyFill="1" applyBorder="1" applyAlignment="1" applyProtection="1">
      <alignment horizontal="right"/>
    </xf>
    <xf numFmtId="9" fontId="9" fillId="0" borderId="14" xfId="2" applyFont="1" applyFill="1" applyBorder="1" applyAlignment="1" applyProtection="1">
      <alignment horizontal="right"/>
    </xf>
    <xf numFmtId="9" fontId="10" fillId="2" borderId="10" xfId="2" applyFont="1" applyFill="1" applyBorder="1" applyAlignment="1" applyProtection="1">
      <alignment horizontal="right"/>
    </xf>
    <xf numFmtId="9" fontId="10" fillId="0" borderId="15" xfId="2" applyFont="1" applyFill="1" applyBorder="1" applyAlignment="1" applyProtection="1">
      <alignment horizontal="right"/>
    </xf>
    <xf numFmtId="9" fontId="13" fillId="0" borderId="15" xfId="2" applyFont="1" applyFill="1" applyBorder="1" applyAlignment="1" applyProtection="1">
      <alignment horizontal="right"/>
    </xf>
    <xf numFmtId="9" fontId="13" fillId="0" borderId="18" xfId="2" applyFont="1" applyFill="1" applyBorder="1" applyAlignment="1" applyProtection="1">
      <alignment horizontal="right"/>
    </xf>
    <xf numFmtId="3" fontId="4" fillId="0" borderId="10" xfId="0" applyNumberFormat="1" applyFont="1" applyBorder="1"/>
    <xf numFmtId="3" fontId="5" fillId="0" borderId="10" xfId="0" applyNumberFormat="1" applyFont="1" applyFill="1" applyBorder="1"/>
    <xf numFmtId="0" fontId="3" fillId="0" borderId="26" xfId="0" applyFont="1" applyBorder="1" applyAlignment="1">
      <alignment horizontal="center"/>
    </xf>
    <xf numFmtId="3" fontId="4" fillId="0" borderId="5" xfId="0" applyNumberFormat="1" applyFont="1" applyBorder="1"/>
    <xf numFmtId="0" fontId="4" fillId="0" borderId="5" xfId="0" applyFont="1" applyBorder="1" applyAlignment="1">
      <alignment horizontal="left"/>
    </xf>
    <xf numFmtId="0" fontId="4" fillId="0" borderId="3" xfId="0" applyFont="1" applyBorder="1"/>
    <xf numFmtId="9" fontId="5" fillId="0" borderId="8" xfId="2" applyFont="1" applyBorder="1"/>
    <xf numFmtId="9" fontId="4" fillId="0" borderId="8" xfId="2" applyFont="1" applyBorder="1"/>
    <xf numFmtId="0" fontId="16" fillId="0" borderId="6" xfId="0" applyFont="1" applyBorder="1"/>
    <xf numFmtId="3" fontId="4" fillId="0" borderId="18" xfId="0" applyNumberFormat="1" applyFont="1" applyFill="1" applyBorder="1" applyAlignment="1" applyProtection="1">
      <alignment horizontal="right"/>
    </xf>
    <xf numFmtId="0" fontId="3" fillId="0" borderId="2" xfId="0" applyFont="1" applyFill="1" applyBorder="1"/>
    <xf numFmtId="0" fontId="2" fillId="0" borderId="0" xfId="0" applyFont="1" applyFill="1"/>
    <xf numFmtId="0" fontId="3" fillId="0" borderId="0" xfId="0" applyFont="1" applyFill="1"/>
    <xf numFmtId="0" fontId="4" fillId="0" borderId="37" xfId="0" applyNumberFormat="1" applyFont="1" applyFill="1" applyBorder="1" applyAlignment="1" applyProtection="1">
      <alignment horizontal="center"/>
    </xf>
    <xf numFmtId="3" fontId="4" fillId="0" borderId="12" xfId="0" applyNumberFormat="1" applyFont="1" applyFill="1" applyBorder="1" applyAlignment="1" applyProtection="1">
      <alignment horizontal="right"/>
    </xf>
    <xf numFmtId="3" fontId="4" fillId="0" borderId="3" xfId="0" applyNumberFormat="1" applyFont="1" applyFill="1" applyBorder="1" applyAlignment="1" applyProtection="1"/>
    <xf numFmtId="3" fontId="5" fillId="0" borderId="5" xfId="0" applyNumberFormat="1" applyFont="1" applyFill="1" applyBorder="1"/>
    <xf numFmtId="49" fontId="4" fillId="4" borderId="5" xfId="0" applyNumberFormat="1" applyFont="1" applyFill="1" applyBorder="1" applyAlignment="1" applyProtection="1">
      <alignment horizontal="center"/>
    </xf>
    <xf numFmtId="164" fontId="16" fillId="4" borderId="0" xfId="0" applyNumberFormat="1" applyFont="1" applyFill="1"/>
    <xf numFmtId="3" fontId="4" fillId="0" borderId="15" xfId="0" applyNumberFormat="1" applyFont="1" applyFill="1" applyBorder="1" applyAlignment="1" applyProtection="1">
      <alignment horizontal="right"/>
    </xf>
    <xf numFmtId="3" fontId="4" fillId="0" borderId="33" xfId="0" applyNumberFormat="1" applyFont="1" applyFill="1" applyBorder="1" applyAlignment="1" applyProtection="1"/>
    <xf numFmtId="0" fontId="4" fillId="3" borderId="20" xfId="0" applyNumberFormat="1" applyFont="1" applyFill="1" applyBorder="1" applyAlignment="1" applyProtection="1">
      <alignment horizontal="center"/>
    </xf>
    <xf numFmtId="0" fontId="4" fillId="3" borderId="21" xfId="0" applyNumberFormat="1" applyFont="1" applyFill="1" applyBorder="1" applyAlignment="1" applyProtection="1">
      <alignment horizontal="center"/>
    </xf>
    <xf numFmtId="0" fontId="4" fillId="3" borderId="4" xfId="0" applyNumberFormat="1" applyFont="1" applyFill="1" applyBorder="1" applyAlignment="1" applyProtection="1">
      <alignment horizontal="center"/>
    </xf>
    <xf numFmtId="3" fontId="4" fillId="3" borderId="1" xfId="0" applyNumberFormat="1" applyFont="1" applyFill="1" applyBorder="1" applyAlignment="1" applyProtection="1"/>
    <xf numFmtId="3" fontId="4" fillId="3" borderId="3" xfId="0" applyNumberFormat="1" applyFont="1" applyFill="1" applyBorder="1" applyAlignment="1" applyProtection="1"/>
    <xf numFmtId="0" fontId="5" fillId="3" borderId="9" xfId="0" applyNumberFormat="1" applyFont="1" applyFill="1" applyBorder="1" applyAlignment="1" applyProtection="1"/>
    <xf numFmtId="0" fontId="5" fillId="3" borderId="8" xfId="0" applyNumberFormat="1" applyFont="1" applyFill="1" applyBorder="1" applyAlignment="1" applyProtection="1"/>
    <xf numFmtId="3" fontId="5" fillId="3" borderId="9" xfId="0" applyNumberFormat="1" applyFont="1" applyFill="1" applyBorder="1" applyAlignment="1" applyProtection="1"/>
    <xf numFmtId="3" fontId="5" fillId="3" borderId="8" xfId="0" applyNumberFormat="1" applyFont="1" applyFill="1" applyBorder="1" applyAlignment="1" applyProtection="1"/>
    <xf numFmtId="3" fontId="4" fillId="3" borderId="20" xfId="0" applyNumberFormat="1" applyFont="1" applyFill="1" applyBorder="1" applyAlignment="1" applyProtection="1"/>
    <xf numFmtId="3" fontId="4" fillId="3" borderId="21" xfId="0" applyNumberFormat="1" applyFont="1" applyFill="1" applyBorder="1" applyAlignment="1" applyProtection="1"/>
    <xf numFmtId="1" fontId="5" fillId="3" borderId="9" xfId="0" applyNumberFormat="1" applyFont="1" applyFill="1" applyBorder="1" applyAlignment="1" applyProtection="1"/>
    <xf numFmtId="3" fontId="4" fillId="3" borderId="12" xfId="0" applyNumberFormat="1" applyFont="1" applyFill="1" applyBorder="1" applyAlignment="1" applyProtection="1"/>
    <xf numFmtId="0" fontId="5" fillId="3" borderId="23" xfId="0" applyNumberFormat="1" applyFont="1" applyFill="1" applyBorder="1" applyAlignment="1" applyProtection="1"/>
    <xf numFmtId="3" fontId="4" fillId="3" borderId="9" xfId="0" applyNumberFormat="1" applyFont="1" applyFill="1" applyBorder="1" applyAlignment="1" applyProtection="1"/>
    <xf numFmtId="3" fontId="4" fillId="3" borderId="8" xfId="0" applyNumberFormat="1" applyFont="1" applyFill="1" applyBorder="1" applyAlignment="1" applyProtection="1"/>
    <xf numFmtId="0" fontId="5" fillId="3" borderId="22" xfId="0" applyNumberFormat="1" applyFont="1" applyFill="1" applyBorder="1" applyAlignment="1" applyProtection="1"/>
    <xf numFmtId="3" fontId="4" fillId="3" borderId="33" xfId="0" applyNumberFormat="1" applyFont="1" applyFill="1" applyBorder="1" applyAlignment="1" applyProtection="1"/>
    <xf numFmtId="0" fontId="5" fillId="3" borderId="0" xfId="0" applyNumberFormat="1" applyFont="1" applyFill="1" applyBorder="1" applyAlignment="1" applyProtection="1"/>
    <xf numFmtId="0" fontId="16" fillId="3" borderId="0" xfId="0" applyFont="1" applyFill="1"/>
    <xf numFmtId="3" fontId="6" fillId="0" borderId="9" xfId="0" applyNumberFormat="1" applyFont="1" applyFill="1" applyBorder="1" applyAlignment="1" applyProtection="1"/>
    <xf numFmtId="3" fontId="2" fillId="0" borderId="0" xfId="0" applyNumberFormat="1" applyFont="1"/>
    <xf numFmtId="3" fontId="2" fillId="0" borderId="0" xfId="0" applyNumberFormat="1" applyFont="1" applyFill="1"/>
    <xf numFmtId="3" fontId="3" fillId="0" borderId="2" xfId="0" applyNumberFormat="1" applyFont="1" applyBorder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19" fillId="0" borderId="10" xfId="0" applyNumberFormat="1" applyFont="1" applyFill="1" applyBorder="1" applyAlignment="1" applyProtection="1">
      <alignment horizontal="right"/>
    </xf>
    <xf numFmtId="0" fontId="5" fillId="0" borderId="39" xfId="0" applyNumberFormat="1" applyFont="1" applyFill="1" applyBorder="1" applyAlignment="1" applyProtection="1"/>
    <xf numFmtId="9" fontId="9" fillId="3" borderId="13" xfId="2" applyFont="1" applyFill="1" applyBorder="1" applyAlignment="1" applyProtection="1">
      <alignment horizontal="right"/>
    </xf>
    <xf numFmtId="9" fontId="21" fillId="0" borderId="10" xfId="2" applyFont="1" applyFill="1" applyBorder="1" applyAlignment="1" applyProtection="1">
      <alignment horizontal="right"/>
    </xf>
    <xf numFmtId="164" fontId="9" fillId="0" borderId="15" xfId="0" applyNumberFormat="1" applyFont="1" applyFill="1" applyBorder="1" applyAlignment="1" applyProtection="1">
      <alignment horizontal="right"/>
    </xf>
    <xf numFmtId="164" fontId="16" fillId="4" borderId="0" xfId="0" applyNumberFormat="1" applyFont="1" applyFill="1" applyBorder="1"/>
    <xf numFmtId="0" fontId="3" fillId="0" borderId="38" xfId="0" applyFont="1" applyBorder="1"/>
    <xf numFmtId="0" fontId="3" fillId="0" borderId="40" xfId="0" applyFont="1" applyBorder="1"/>
    <xf numFmtId="0" fontId="16" fillId="0" borderId="41" xfId="0" applyFont="1" applyBorder="1"/>
    <xf numFmtId="0" fontId="3" fillId="0" borderId="41" xfId="0" applyFont="1" applyBorder="1"/>
    <xf numFmtId="0" fontId="3" fillId="0" borderId="41" xfId="0" applyFont="1" applyBorder="1" applyAlignment="1">
      <alignment horizontal="right"/>
    </xf>
    <xf numFmtId="49" fontId="16" fillId="0" borderId="41" xfId="0" applyNumberFormat="1" applyFont="1" applyBorder="1" applyAlignment="1">
      <alignment horizontal="right"/>
    </xf>
    <xf numFmtId="0" fontId="16" fillId="0" borderId="40" xfId="0" applyFont="1" applyBorder="1"/>
    <xf numFmtId="0" fontId="4" fillId="0" borderId="2" xfId="0" applyFont="1" applyBorder="1" applyAlignment="1">
      <alignment horizontal="left"/>
    </xf>
    <xf numFmtId="0" fontId="5" fillId="0" borderId="0" xfId="0" applyFont="1" applyFill="1" applyAlignment="1"/>
    <xf numFmtId="3" fontId="5" fillId="0" borderId="0" xfId="0" applyNumberFormat="1" applyFont="1" applyFill="1" applyAlignment="1"/>
    <xf numFmtId="4" fontId="5" fillId="0" borderId="0" xfId="0" applyNumberFormat="1" applyFont="1" applyFill="1" applyAlignment="1"/>
    <xf numFmtId="9" fontId="5" fillId="0" borderId="0" xfId="2" applyFont="1" applyBorder="1"/>
    <xf numFmtId="169" fontId="5" fillId="0" borderId="7" xfId="0" applyNumberFormat="1" applyFont="1" applyBorder="1"/>
    <xf numFmtId="169" fontId="4" fillId="0" borderId="7" xfId="0" applyNumberFormat="1" applyFont="1" applyBorder="1"/>
    <xf numFmtId="169" fontId="4" fillId="0" borderId="7" xfId="0" applyNumberFormat="1" applyFont="1" applyFill="1" applyBorder="1" applyAlignment="1" applyProtection="1"/>
    <xf numFmtId="169" fontId="5" fillId="0" borderId="5" xfId="0" applyNumberFormat="1" applyFont="1" applyBorder="1"/>
    <xf numFmtId="49" fontId="16" fillId="0" borderId="10" xfId="0" applyNumberFormat="1" applyFont="1" applyFill="1" applyBorder="1" applyAlignment="1" applyProtection="1">
      <alignment horizontal="left"/>
    </xf>
    <xf numFmtId="3" fontId="5" fillId="2" borderId="10" xfId="0" applyNumberFormat="1" applyFont="1" applyFill="1" applyBorder="1"/>
    <xf numFmtId="3" fontId="8" fillId="2" borderId="10" xfId="0" applyNumberFormat="1" applyFont="1" applyFill="1" applyBorder="1"/>
    <xf numFmtId="0" fontId="5" fillId="0" borderId="0" xfId="0" applyNumberFormat="1" applyFont="1" applyFill="1" applyBorder="1" applyAlignment="1" applyProtection="1">
      <alignment horizontal="right"/>
    </xf>
    <xf numFmtId="0" fontId="4" fillId="0" borderId="12" xfId="0" applyNumberFormat="1" applyFont="1" applyFill="1" applyBorder="1" applyAlignment="1" applyProtection="1">
      <alignment horizontal="right"/>
    </xf>
    <xf numFmtId="164" fontId="16" fillId="0" borderId="10" xfId="0" applyNumberFormat="1" applyFont="1" applyBorder="1" applyAlignment="1">
      <alignment horizontal="right"/>
    </xf>
    <xf numFmtId="164" fontId="5" fillId="0" borderId="10" xfId="0" applyNumberFormat="1" applyFont="1" applyFill="1" applyBorder="1" applyAlignment="1" applyProtection="1">
      <alignment horizontal="right"/>
    </xf>
    <xf numFmtId="0" fontId="4" fillId="0" borderId="10" xfId="0" applyNumberFormat="1" applyFont="1" applyFill="1" applyBorder="1" applyAlignment="1" applyProtection="1">
      <alignment horizontal="right"/>
    </xf>
    <xf numFmtId="0" fontId="4" fillId="2" borderId="10" xfId="0" applyNumberFormat="1" applyFont="1" applyFill="1" applyBorder="1" applyAlignment="1" applyProtection="1">
      <alignment horizontal="right"/>
    </xf>
    <xf numFmtId="166" fontId="10" fillId="0" borderId="10" xfId="0" applyNumberFormat="1" applyFont="1" applyFill="1" applyBorder="1" applyAlignment="1" applyProtection="1">
      <alignment horizontal="right"/>
    </xf>
    <xf numFmtId="9" fontId="5" fillId="0" borderId="10" xfId="0" applyNumberFormat="1" applyFont="1" applyFill="1" applyBorder="1" applyAlignment="1" applyProtection="1">
      <alignment horizontal="right"/>
    </xf>
    <xf numFmtId="167" fontId="5" fillId="0" borderId="10" xfId="0" applyNumberFormat="1" applyFont="1" applyFill="1" applyBorder="1" applyAlignment="1" applyProtection="1">
      <alignment horizontal="right"/>
    </xf>
    <xf numFmtId="168" fontId="5" fillId="0" borderId="14" xfId="0" applyNumberFormat="1" applyFont="1" applyFill="1" applyBorder="1" applyAlignment="1" applyProtection="1">
      <alignment horizontal="right"/>
    </xf>
    <xf numFmtId="0" fontId="5" fillId="2" borderId="10" xfId="0" applyNumberFormat="1" applyFont="1" applyFill="1" applyBorder="1" applyAlignment="1" applyProtection="1">
      <alignment horizontal="right"/>
    </xf>
    <xf numFmtId="3" fontId="4" fillId="0" borderId="10" xfId="0" applyNumberFormat="1" applyFont="1" applyFill="1" applyBorder="1" applyAlignment="1" applyProtection="1">
      <alignment horizontal="right"/>
    </xf>
    <xf numFmtId="4" fontId="10" fillId="3" borderId="24" xfId="0" applyNumberFormat="1" applyFont="1" applyFill="1" applyBorder="1" applyAlignment="1" applyProtection="1">
      <alignment horizontal="right"/>
    </xf>
    <xf numFmtId="0" fontId="16" fillId="0" borderId="35" xfId="0" applyFont="1" applyBorder="1" applyAlignment="1">
      <alignment horizontal="right"/>
    </xf>
    <xf numFmtId="0" fontId="16" fillId="0" borderId="15" xfId="0" applyFont="1" applyBorder="1" applyAlignment="1">
      <alignment horizontal="right"/>
    </xf>
    <xf numFmtId="168" fontId="16" fillId="0" borderId="15" xfId="0" applyNumberFormat="1" applyFont="1" applyBorder="1" applyAlignment="1">
      <alignment horizontal="right"/>
    </xf>
    <xf numFmtId="4" fontId="16" fillId="0" borderId="15" xfId="0" applyNumberFormat="1" applyFont="1" applyBorder="1" applyAlignment="1">
      <alignment horizontal="right"/>
    </xf>
    <xf numFmtId="0" fontId="16" fillId="0" borderId="18" xfId="0" applyFont="1" applyBorder="1" applyAlignment="1">
      <alignment horizontal="right"/>
    </xf>
    <xf numFmtId="4" fontId="16" fillId="0" borderId="0" xfId="0" applyNumberFormat="1" applyFont="1" applyAlignment="1">
      <alignment horizontal="right"/>
    </xf>
    <xf numFmtId="0" fontId="16" fillId="0" borderId="0" xfId="0" applyFont="1" applyAlignment="1">
      <alignment horizontal="right"/>
    </xf>
    <xf numFmtId="3" fontId="5" fillId="0" borderId="10" xfId="0" applyNumberFormat="1" applyFont="1" applyFill="1" applyBorder="1" applyAlignment="1">
      <alignment horizontal="right"/>
    </xf>
    <xf numFmtId="49" fontId="5" fillId="0" borderId="10" xfId="0" applyNumberFormat="1" applyFont="1" applyFill="1" applyBorder="1" applyAlignment="1" applyProtection="1"/>
    <xf numFmtId="1" fontId="4" fillId="4" borderId="12" xfId="0" applyNumberFormat="1" applyFont="1" applyFill="1" applyBorder="1" applyAlignment="1" applyProtection="1">
      <alignment horizontal="center"/>
    </xf>
    <xf numFmtId="170" fontId="10" fillId="4" borderId="10" xfId="0" applyNumberFormat="1" applyFont="1" applyFill="1" applyBorder="1" applyAlignment="1" applyProtection="1">
      <alignment horizontal="right"/>
    </xf>
    <xf numFmtId="170" fontId="4" fillId="4" borderId="10" xfId="0" applyNumberFormat="1" applyFont="1" applyFill="1" applyBorder="1" applyAlignment="1" applyProtection="1"/>
    <xf numFmtId="170" fontId="4" fillId="4" borderId="35" xfId="0" applyNumberFormat="1" applyFont="1" applyFill="1" applyBorder="1" applyAlignment="1" applyProtection="1">
      <alignment horizontal="right"/>
    </xf>
    <xf numFmtId="3" fontId="8" fillId="0" borderId="10" xfId="0" applyNumberFormat="1" applyFont="1" applyFill="1" applyBorder="1"/>
    <xf numFmtId="170" fontId="6" fillId="4" borderId="10" xfId="0" applyNumberFormat="1" applyFont="1" applyFill="1" applyBorder="1" applyAlignment="1" applyProtection="1"/>
    <xf numFmtId="0" fontId="23" fillId="0" borderId="0" xfId="0" applyFont="1"/>
    <xf numFmtId="0" fontId="16" fillId="0" borderId="42" xfId="0" applyFont="1" applyBorder="1"/>
    <xf numFmtId="0" fontId="5" fillId="0" borderId="42" xfId="0" applyFont="1" applyBorder="1"/>
    <xf numFmtId="0" fontId="23" fillId="0" borderId="36" xfId="0" applyFont="1" applyBorder="1"/>
    <xf numFmtId="0" fontId="3" fillId="0" borderId="43" xfId="0" applyFont="1" applyBorder="1"/>
    <xf numFmtId="0" fontId="24" fillId="0" borderId="36" xfId="0" applyFont="1" applyBorder="1"/>
    <xf numFmtId="0" fontId="4" fillId="0" borderId="36" xfId="0" applyFont="1" applyBorder="1"/>
    <xf numFmtId="0" fontId="5" fillId="0" borderId="0" xfId="0" applyFont="1" applyBorder="1"/>
    <xf numFmtId="0" fontId="23" fillId="2" borderId="41" xfId="0" applyFont="1" applyFill="1" applyBorder="1" applyAlignment="1">
      <alignment horizontal="center"/>
    </xf>
    <xf numFmtId="0" fontId="16" fillId="0" borderId="3" xfId="0" applyFont="1" applyBorder="1" applyAlignment="1">
      <alignment horizontal="center"/>
    </xf>
    <xf numFmtId="0" fontId="5" fillId="0" borderId="30" xfId="0" applyFont="1" applyBorder="1"/>
    <xf numFmtId="0" fontId="23" fillId="2" borderId="40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23" fillId="2" borderId="41" xfId="0" applyFont="1" applyFill="1" applyBorder="1"/>
    <xf numFmtId="3" fontId="16" fillId="0" borderId="8" xfId="0" applyNumberFormat="1" applyFont="1" applyFill="1" applyBorder="1"/>
    <xf numFmtId="3" fontId="23" fillId="2" borderId="41" xfId="0" applyNumberFormat="1" applyFont="1" applyFill="1" applyBorder="1"/>
    <xf numFmtId="0" fontId="16" fillId="0" borderId="15" xfId="0" applyFont="1" applyFill="1" applyBorder="1"/>
    <xf numFmtId="0" fontId="4" fillId="0" borderId="11" xfId="0" applyFont="1" applyBorder="1"/>
    <xf numFmtId="3" fontId="24" fillId="2" borderId="44" xfId="0" applyNumberFormat="1" applyFont="1" applyFill="1" applyBorder="1"/>
    <xf numFmtId="3" fontId="3" fillId="0" borderId="23" xfId="0" applyNumberFormat="1" applyFont="1" applyFill="1" applyBorder="1"/>
    <xf numFmtId="3" fontId="3" fillId="0" borderId="23" xfId="0" applyNumberFormat="1" applyFont="1" applyBorder="1"/>
    <xf numFmtId="3" fontId="16" fillId="0" borderId="45" xfId="0" applyNumberFormat="1" applyFont="1" applyFill="1" applyBorder="1"/>
    <xf numFmtId="0" fontId="16" fillId="0" borderId="8" xfId="0" applyFont="1" applyFill="1" applyBorder="1" applyAlignment="1">
      <alignment horizontal="center"/>
    </xf>
    <xf numFmtId="49" fontId="16" fillId="0" borderId="15" xfId="0" applyNumberFormat="1" applyFont="1" applyFill="1" applyBorder="1" applyAlignment="1">
      <alignment horizontal="center"/>
    </xf>
    <xf numFmtId="0" fontId="24" fillId="2" borderId="44" xfId="0" applyFont="1" applyFill="1" applyBorder="1"/>
    <xf numFmtId="1" fontId="3" fillId="0" borderId="23" xfId="0" applyNumberFormat="1" applyFont="1" applyBorder="1"/>
    <xf numFmtId="1" fontId="16" fillId="0" borderId="45" xfId="0" applyNumberFormat="1" applyFont="1" applyFill="1" applyBorder="1"/>
    <xf numFmtId="0" fontId="24" fillId="2" borderId="41" xfId="0" applyFont="1" applyFill="1" applyBorder="1"/>
    <xf numFmtId="1" fontId="16" fillId="0" borderId="8" xfId="0" applyNumberFormat="1" applyFont="1" applyBorder="1"/>
    <xf numFmtId="3" fontId="24" fillId="2" borderId="41" xfId="0" applyNumberFormat="1" applyFont="1" applyFill="1" applyBorder="1"/>
    <xf numFmtId="3" fontId="3" fillId="0" borderId="8" xfId="0" applyNumberFormat="1" applyFont="1" applyFill="1" applyBorder="1"/>
    <xf numFmtId="1" fontId="3" fillId="0" borderId="8" xfId="0" applyNumberFormat="1" applyFont="1" applyBorder="1"/>
    <xf numFmtId="1" fontId="16" fillId="0" borderId="15" xfId="0" applyNumberFormat="1" applyFont="1" applyFill="1" applyBorder="1"/>
    <xf numFmtId="0" fontId="5" fillId="0" borderId="46" xfId="0" applyFont="1" applyBorder="1"/>
    <xf numFmtId="0" fontId="24" fillId="2" borderId="9" xfId="0" applyFont="1" applyFill="1" applyBorder="1"/>
    <xf numFmtId="0" fontId="24" fillId="2" borderId="22" xfId="0" applyFont="1" applyFill="1" applyBorder="1"/>
    <xf numFmtId="0" fontId="5" fillId="0" borderId="31" xfId="0" applyFont="1" applyBorder="1"/>
    <xf numFmtId="0" fontId="24" fillId="2" borderId="20" xfId="0" applyFont="1" applyFill="1" applyBorder="1"/>
    <xf numFmtId="1" fontId="3" fillId="0" borderId="21" xfId="0" applyNumberFormat="1" applyFont="1" applyBorder="1"/>
    <xf numFmtId="3" fontId="24" fillId="2" borderId="47" xfId="0" applyNumberFormat="1" applyFont="1" applyFill="1" applyBorder="1"/>
    <xf numFmtId="3" fontId="3" fillId="0" borderId="21" xfId="0" applyNumberFormat="1" applyFont="1" applyFill="1" applyBorder="1"/>
    <xf numFmtId="0" fontId="24" fillId="2" borderId="47" xfId="0" applyFont="1" applyFill="1" applyBorder="1"/>
    <xf numFmtId="1" fontId="16" fillId="0" borderId="48" xfId="0" applyNumberFormat="1" applyFont="1" applyFill="1" applyBorder="1"/>
    <xf numFmtId="3" fontId="24" fillId="2" borderId="22" xfId="0" applyNumberFormat="1" applyFont="1" applyFill="1" applyBorder="1"/>
    <xf numFmtId="170" fontId="8" fillId="0" borderId="10" xfId="0" applyNumberFormat="1" applyFont="1" applyFill="1" applyBorder="1" applyAlignment="1" applyProtection="1"/>
    <xf numFmtId="0" fontId="0" fillId="0" borderId="0" xfId="0" applyBorder="1" applyAlignment="1"/>
    <xf numFmtId="0" fontId="0" fillId="0" borderId="0" xfId="0" applyFill="1" applyBorder="1" applyAlignment="1"/>
    <xf numFmtId="0" fontId="16" fillId="0" borderId="37" xfId="0" applyFont="1" applyBorder="1"/>
    <xf numFmtId="3" fontId="5" fillId="5" borderId="8" xfId="0" applyNumberFormat="1" applyFont="1" applyFill="1" applyBorder="1" applyAlignment="1" applyProtection="1"/>
    <xf numFmtId="3" fontId="5" fillId="6" borderId="23" xfId="0" applyNumberFormat="1" applyFont="1" applyFill="1" applyBorder="1" applyAlignment="1" applyProtection="1"/>
    <xf numFmtId="3" fontId="5" fillId="4" borderId="8" xfId="0" applyNumberFormat="1" applyFont="1" applyFill="1" applyBorder="1" applyAlignment="1" applyProtection="1"/>
    <xf numFmtId="3" fontId="5" fillId="2" borderId="8" xfId="0" applyNumberFormat="1" applyFont="1" applyFill="1" applyBorder="1" applyAlignment="1" applyProtection="1"/>
    <xf numFmtId="3" fontId="5" fillId="4" borderId="23" xfId="0" applyNumberFormat="1" applyFont="1" applyFill="1" applyBorder="1" applyAlignment="1" applyProtection="1"/>
    <xf numFmtId="3" fontId="5" fillId="5" borderId="23" xfId="0" applyNumberFormat="1" applyFont="1" applyFill="1" applyBorder="1" applyAlignment="1" applyProtection="1"/>
    <xf numFmtId="0" fontId="5" fillId="7" borderId="8" xfId="0" applyNumberFormat="1" applyFont="1" applyFill="1" applyBorder="1" applyAlignment="1" applyProtection="1"/>
    <xf numFmtId="0" fontId="16" fillId="0" borderId="21" xfId="0" applyFont="1" applyBorder="1"/>
    <xf numFmtId="0" fontId="5" fillId="6" borderId="8" xfId="0" applyFont="1" applyFill="1" applyBorder="1"/>
    <xf numFmtId="3" fontId="5" fillId="8" borderId="8" xfId="0" applyNumberFormat="1" applyFont="1" applyFill="1" applyBorder="1" applyAlignment="1" applyProtection="1"/>
    <xf numFmtId="0" fontId="16" fillId="0" borderId="51" xfId="0" applyFont="1" applyBorder="1"/>
    <xf numFmtId="3" fontId="5" fillId="6" borderId="9" xfId="0" applyNumberFormat="1" applyFont="1" applyFill="1" applyBorder="1" applyAlignment="1" applyProtection="1"/>
    <xf numFmtId="3" fontId="5" fillId="2" borderId="9" xfId="0" applyNumberFormat="1" applyFont="1" applyFill="1" applyBorder="1" applyAlignment="1" applyProtection="1"/>
    <xf numFmtId="3" fontId="5" fillId="4" borderId="22" xfId="0" applyNumberFormat="1" applyFont="1" applyFill="1" applyBorder="1" applyAlignment="1" applyProtection="1"/>
    <xf numFmtId="0" fontId="5" fillId="5" borderId="9" xfId="0" applyNumberFormat="1" applyFont="1" applyFill="1" applyBorder="1" applyAlignment="1" applyProtection="1"/>
    <xf numFmtId="3" fontId="5" fillId="4" borderId="9" xfId="0" applyNumberFormat="1" applyFont="1" applyFill="1" applyBorder="1" applyAlignment="1" applyProtection="1"/>
    <xf numFmtId="3" fontId="5" fillId="0" borderId="20" xfId="0" applyNumberFormat="1" applyFont="1" applyFill="1" applyBorder="1" applyAlignment="1" applyProtection="1"/>
    <xf numFmtId="0" fontId="5" fillId="4" borderId="9" xfId="0" applyNumberFormat="1" applyFont="1" applyFill="1" applyBorder="1" applyAlignment="1" applyProtection="1"/>
    <xf numFmtId="3" fontId="5" fillId="8" borderId="9" xfId="0" applyNumberFormat="1" applyFont="1" applyFill="1" applyBorder="1" applyAlignment="1" applyProtection="1"/>
    <xf numFmtId="0" fontId="5" fillId="3" borderId="9" xfId="0" applyFont="1" applyFill="1" applyBorder="1"/>
    <xf numFmtId="3" fontId="5" fillId="7" borderId="9" xfId="0" applyNumberFormat="1" applyFont="1" applyFill="1" applyBorder="1" applyAlignment="1" applyProtection="1"/>
    <xf numFmtId="3" fontId="5" fillId="9" borderId="9" xfId="0" applyNumberFormat="1" applyFont="1" applyFill="1" applyBorder="1" applyAlignment="1" applyProtection="1"/>
    <xf numFmtId="3" fontId="5" fillId="5" borderId="9" xfId="0" applyNumberFormat="1" applyFont="1" applyFill="1" applyBorder="1" applyAlignment="1" applyProtection="1"/>
    <xf numFmtId="0" fontId="5" fillId="5" borderId="22" xfId="0" applyNumberFormat="1" applyFont="1" applyFill="1" applyBorder="1" applyAlignment="1" applyProtection="1"/>
    <xf numFmtId="164" fontId="16" fillId="0" borderId="0" xfId="0" applyNumberFormat="1" applyFont="1" applyFill="1"/>
    <xf numFmtId="169" fontId="5" fillId="0" borderId="0" xfId="0" applyNumberFormat="1" applyFont="1" applyFill="1" applyBorder="1"/>
    <xf numFmtId="0" fontId="16" fillId="0" borderId="0" xfId="0" applyFont="1" applyFill="1" applyBorder="1"/>
    <xf numFmtId="170" fontId="19" fillId="4" borderId="10" xfId="0" applyNumberFormat="1" applyFont="1" applyFill="1" applyBorder="1" applyAlignment="1" applyProtection="1">
      <alignment horizontal="right"/>
    </xf>
    <xf numFmtId="170" fontId="19" fillId="4" borderId="14" xfId="0" applyNumberFormat="1" applyFont="1" applyFill="1" applyBorder="1" applyAlignment="1" applyProtection="1">
      <alignment horizontal="right"/>
    </xf>
    <xf numFmtId="170" fontId="5" fillId="0" borderId="0" xfId="0" applyNumberFormat="1" applyFont="1" applyFill="1" applyBorder="1" applyAlignment="1" applyProtection="1"/>
    <xf numFmtId="3" fontId="21" fillId="0" borderId="0" xfId="0" applyNumberFormat="1" applyFont="1" applyFill="1" applyBorder="1" applyAlignment="1" applyProtection="1">
      <alignment horizontal="right"/>
    </xf>
    <xf numFmtId="170" fontId="9" fillId="4" borderId="14" xfId="0" applyNumberFormat="1" applyFont="1" applyFill="1" applyBorder="1" applyAlignment="1" applyProtection="1">
      <alignment horizontal="right"/>
    </xf>
    <xf numFmtId="170" fontId="3" fillId="2" borderId="10" xfId="0" applyNumberFormat="1" applyFont="1" applyFill="1" applyBorder="1" applyAlignment="1" applyProtection="1"/>
    <xf numFmtId="170" fontId="4" fillId="0" borderId="10" xfId="0" applyNumberFormat="1" applyFont="1" applyFill="1" applyBorder="1" applyAlignment="1" applyProtection="1"/>
    <xf numFmtId="168" fontId="16" fillId="0" borderId="0" xfId="0" applyNumberFormat="1" applyFont="1" applyAlignment="1">
      <alignment horizontal="right"/>
    </xf>
    <xf numFmtId="0" fontId="20" fillId="9" borderId="9" xfId="0" applyFont="1" applyFill="1" applyBorder="1"/>
    <xf numFmtId="0" fontId="5" fillId="0" borderId="15" xfId="0" applyFont="1" applyFill="1" applyBorder="1" applyAlignment="1">
      <alignment horizontal="right"/>
    </xf>
    <xf numFmtId="3" fontId="5" fillId="0" borderId="10" xfId="0" applyNumberFormat="1" applyFont="1" applyFill="1" applyBorder="1" applyAlignment="1" applyProtection="1">
      <alignment horizontal="right"/>
    </xf>
    <xf numFmtId="164" fontId="8" fillId="0" borderId="0" xfId="0" applyNumberFormat="1" applyFont="1" applyFill="1"/>
    <xf numFmtId="169" fontId="1" fillId="0" borderId="0" xfId="0" applyNumberFormat="1" applyFont="1" applyFill="1"/>
    <xf numFmtId="169" fontId="6" fillId="0" borderId="0" xfId="0" applyNumberFormat="1" applyFont="1" applyFill="1"/>
    <xf numFmtId="3" fontId="4" fillId="0" borderId="51" xfId="0" applyNumberFormat="1" applyFont="1" applyFill="1" applyBorder="1" applyAlignment="1" applyProtection="1"/>
    <xf numFmtId="170" fontId="27" fillId="4" borderId="18" xfId="0" applyNumberFormat="1" applyFont="1" applyFill="1" applyBorder="1" applyAlignment="1" applyProtection="1">
      <alignment horizontal="right"/>
    </xf>
    <xf numFmtId="16" fontId="16" fillId="0" borderId="0" xfId="0" applyNumberFormat="1" applyFont="1"/>
    <xf numFmtId="170" fontId="9" fillId="0" borderId="10" xfId="0" applyNumberFormat="1" applyFont="1" applyFill="1" applyBorder="1" applyAlignment="1" applyProtection="1">
      <alignment horizontal="right"/>
    </xf>
    <xf numFmtId="170" fontId="9" fillId="0" borderId="14" xfId="0" applyNumberFormat="1" applyFont="1" applyFill="1" applyBorder="1" applyAlignment="1" applyProtection="1">
      <alignment horizontal="right"/>
    </xf>
    <xf numFmtId="170" fontId="9" fillId="3" borderId="13" xfId="0" applyNumberFormat="1" applyFont="1" applyFill="1" applyBorder="1" applyAlignment="1" applyProtection="1">
      <alignment horizontal="right"/>
    </xf>
    <xf numFmtId="171" fontId="0" fillId="0" borderId="0" xfId="0" applyNumberFormat="1" applyFill="1" applyBorder="1" applyAlignment="1"/>
    <xf numFmtId="171" fontId="5" fillId="0" borderId="0" xfId="0" applyNumberFormat="1" applyFont="1" applyFill="1" applyBorder="1" applyAlignment="1" applyProtection="1"/>
    <xf numFmtId="171" fontId="16" fillId="0" borderId="0" xfId="0" applyNumberFormat="1" applyFont="1" applyFill="1"/>
    <xf numFmtId="9" fontId="0" fillId="0" borderId="0" xfId="0" applyNumberFormat="1" applyFill="1" applyBorder="1" applyAlignment="1"/>
    <xf numFmtId="9" fontId="4" fillId="0" borderId="37" xfId="0" applyNumberFormat="1" applyFont="1" applyFill="1" applyBorder="1" applyAlignment="1" applyProtection="1">
      <alignment horizontal="center"/>
    </xf>
    <xf numFmtId="9" fontId="4" fillId="0" borderId="8" xfId="0" applyNumberFormat="1" applyFont="1" applyFill="1" applyBorder="1" applyAlignment="1" applyProtection="1">
      <alignment horizontal="center"/>
    </xf>
    <xf numFmtId="9" fontId="4" fillId="0" borderId="6" xfId="0" applyNumberFormat="1" applyFont="1" applyFill="1" applyBorder="1" applyAlignment="1" applyProtection="1">
      <alignment horizontal="center"/>
    </xf>
    <xf numFmtId="9" fontId="4" fillId="0" borderId="3" xfId="0" applyNumberFormat="1" applyFont="1" applyFill="1" applyBorder="1" applyAlignment="1" applyProtection="1"/>
    <xf numFmtId="9" fontId="5" fillId="0" borderId="8" xfId="0" applyNumberFormat="1" applyFont="1" applyFill="1" applyBorder="1" applyAlignment="1" applyProtection="1"/>
    <xf numFmtId="9" fontId="4" fillId="0" borderId="21" xfId="0" applyNumberFormat="1" applyFont="1" applyFill="1" applyBorder="1" applyAlignment="1" applyProtection="1"/>
    <xf numFmtId="9" fontId="5" fillId="0" borderId="23" xfId="0" applyNumberFormat="1" applyFont="1" applyFill="1" applyBorder="1" applyAlignment="1" applyProtection="1"/>
    <xf numFmtId="9" fontId="4" fillId="0" borderId="8" xfId="0" applyNumberFormat="1" applyFont="1" applyFill="1" applyBorder="1" applyAlignment="1" applyProtection="1"/>
    <xf numFmtId="9" fontId="4" fillId="0" borderId="51" xfId="0" applyNumberFormat="1" applyFont="1" applyFill="1" applyBorder="1" applyAlignment="1" applyProtection="1"/>
    <xf numFmtId="9" fontId="5" fillId="0" borderId="0" xfId="0" applyNumberFormat="1" applyFont="1" applyFill="1" applyBorder="1" applyAlignment="1" applyProtection="1"/>
    <xf numFmtId="9" fontId="16" fillId="0" borderId="0" xfId="0" applyNumberFormat="1" applyFont="1" applyFill="1"/>
    <xf numFmtId="170" fontId="10" fillId="4" borderId="15" xfId="0" applyNumberFormat="1" applyFont="1" applyFill="1" applyBorder="1" applyAlignment="1" applyProtection="1">
      <alignment horizontal="right"/>
    </xf>
    <xf numFmtId="170" fontId="19" fillId="4" borderId="15" xfId="0" applyNumberFormat="1" applyFont="1" applyFill="1" applyBorder="1" applyAlignment="1" applyProtection="1">
      <alignment horizontal="right"/>
    </xf>
    <xf numFmtId="170" fontId="19" fillId="4" borderId="18" xfId="0" applyNumberFormat="1" applyFont="1" applyFill="1" applyBorder="1" applyAlignment="1" applyProtection="1">
      <alignment horizontal="right"/>
    </xf>
    <xf numFmtId="3" fontId="5" fillId="0" borderId="15" xfId="0" applyNumberFormat="1" applyFont="1" applyFill="1" applyBorder="1" applyAlignment="1" applyProtection="1"/>
    <xf numFmtId="3" fontId="3" fillId="0" borderId="18" xfId="0" applyNumberFormat="1" applyFont="1" applyFill="1" applyBorder="1" applyAlignment="1" applyProtection="1">
      <alignment horizontal="right"/>
    </xf>
    <xf numFmtId="0" fontId="4" fillId="0" borderId="52" xfId="0" applyNumberFormat="1" applyFont="1" applyFill="1" applyBorder="1" applyAlignment="1" applyProtection="1">
      <alignment horizontal="center"/>
    </xf>
    <xf numFmtId="0" fontId="16" fillId="0" borderId="38" xfId="0" applyFont="1" applyBorder="1"/>
    <xf numFmtId="0" fontId="16" fillId="0" borderId="44" xfId="0" applyFont="1" applyBorder="1"/>
    <xf numFmtId="0" fontId="7" fillId="0" borderId="41" xfId="0" applyFont="1" applyBorder="1"/>
    <xf numFmtId="0" fontId="3" fillId="0" borderId="44" xfId="0" applyFont="1" applyBorder="1"/>
    <xf numFmtId="0" fontId="3" fillId="0" borderId="47" xfId="0" applyFont="1" applyBorder="1"/>
    <xf numFmtId="0" fontId="5" fillId="0" borderId="44" xfId="0" applyFont="1" applyBorder="1"/>
    <xf numFmtId="0" fontId="7" fillId="0" borderId="44" xfId="0" applyFont="1" applyBorder="1"/>
    <xf numFmtId="3" fontId="6" fillId="3" borderId="9" xfId="0" applyNumberFormat="1" applyFont="1" applyFill="1" applyBorder="1" applyAlignment="1" applyProtection="1"/>
    <xf numFmtId="169" fontId="3" fillId="0" borderId="0" xfId="0" applyNumberFormat="1" applyFont="1" applyFill="1" applyBorder="1" applyAlignment="1">
      <alignment horizontal="center"/>
    </xf>
    <xf numFmtId="169" fontId="6" fillId="0" borderId="0" xfId="0" applyNumberFormat="1" applyFont="1" applyFill="1" applyBorder="1"/>
    <xf numFmtId="169" fontId="4" fillId="0" borderId="0" xfId="0" applyNumberFormat="1" applyFont="1" applyFill="1" applyBorder="1"/>
    <xf numFmtId="3" fontId="4" fillId="3" borderId="39" xfId="0" applyNumberFormat="1" applyFont="1" applyFill="1" applyBorder="1" applyAlignment="1" applyProtection="1"/>
    <xf numFmtId="0" fontId="6" fillId="0" borderId="39" xfId="0" applyNumberFormat="1" applyFont="1" applyFill="1" applyBorder="1" applyAlignment="1" applyProtection="1"/>
    <xf numFmtId="0" fontId="4" fillId="0" borderId="9" xfId="0" applyNumberFormat="1" applyFont="1" applyFill="1" applyBorder="1" applyAlignment="1" applyProtection="1">
      <alignment horizontal="left"/>
    </xf>
    <xf numFmtId="9" fontId="4" fillId="0" borderId="4" xfId="2" applyFont="1" applyFill="1" applyBorder="1" applyAlignment="1" applyProtection="1">
      <alignment horizontal="left"/>
    </xf>
    <xf numFmtId="164" fontId="10" fillId="0" borderId="50" xfId="0" applyNumberFormat="1" applyFont="1" applyFill="1" applyBorder="1" applyAlignment="1" applyProtection="1">
      <alignment horizontal="right"/>
    </xf>
    <xf numFmtId="164" fontId="9" fillId="0" borderId="50" xfId="0" applyNumberFormat="1" applyFont="1" applyFill="1" applyBorder="1" applyAlignment="1" applyProtection="1">
      <alignment horizontal="right"/>
    </xf>
    <xf numFmtId="164" fontId="13" fillId="0" borderId="49" xfId="0" applyNumberFormat="1" applyFont="1" applyFill="1" applyBorder="1" applyAlignment="1" applyProtection="1">
      <alignment horizontal="right"/>
    </xf>
    <xf numFmtId="4" fontId="16" fillId="0" borderId="0" xfId="0" applyNumberFormat="1" applyFont="1" applyFill="1" applyBorder="1" applyAlignment="1" applyProtection="1"/>
    <xf numFmtId="0" fontId="4" fillId="0" borderId="26" xfId="0" applyNumberFormat="1" applyFont="1" applyFill="1" applyBorder="1" applyAlignment="1" applyProtection="1">
      <alignment horizontal="center"/>
    </xf>
    <xf numFmtId="0" fontId="4" fillId="10" borderId="52" xfId="0" applyNumberFormat="1" applyFont="1" applyFill="1" applyBorder="1" applyAlignment="1" applyProtection="1">
      <alignment horizontal="center"/>
    </xf>
    <xf numFmtId="0" fontId="4" fillId="10" borderId="48" xfId="0" applyNumberFormat="1" applyFont="1" applyFill="1" applyBorder="1" applyAlignment="1" applyProtection="1">
      <alignment horizontal="center"/>
    </xf>
    <xf numFmtId="0" fontId="4" fillId="10" borderId="18" xfId="0" applyNumberFormat="1" applyFont="1" applyFill="1" applyBorder="1" applyAlignment="1" applyProtection="1">
      <alignment horizontal="center"/>
    </xf>
    <xf numFmtId="170" fontId="4" fillId="10" borderId="34" xfId="0" applyNumberFormat="1" applyFont="1" applyFill="1" applyBorder="1" applyAlignment="1" applyProtection="1"/>
    <xf numFmtId="170" fontId="5" fillId="10" borderId="15" xfId="0" applyNumberFormat="1" applyFont="1" applyFill="1" applyBorder="1" applyAlignment="1" applyProtection="1"/>
    <xf numFmtId="170" fontId="4" fillId="10" borderId="48" xfId="0" applyNumberFormat="1" applyFont="1" applyFill="1" applyBorder="1" applyAlignment="1" applyProtection="1"/>
    <xf numFmtId="3" fontId="6" fillId="0" borderId="0" xfId="0" applyNumberFormat="1" applyFont="1" applyFill="1"/>
    <xf numFmtId="1" fontId="16" fillId="0" borderId="10" xfId="0" applyNumberFormat="1" applyFont="1" applyFill="1" applyBorder="1" applyAlignment="1" applyProtection="1">
      <alignment horizontal="right"/>
    </xf>
    <xf numFmtId="172" fontId="4" fillId="0" borderId="5" xfId="0" applyNumberFormat="1" applyFont="1" applyFill="1" applyBorder="1" applyAlignment="1" applyProtection="1">
      <alignment horizontal="center"/>
    </xf>
    <xf numFmtId="3" fontId="24" fillId="2" borderId="20" xfId="0" applyNumberFormat="1" applyFont="1" applyFill="1" applyBorder="1"/>
    <xf numFmtId="3" fontId="24" fillId="2" borderId="9" xfId="0" applyNumberFormat="1" applyFont="1" applyFill="1" applyBorder="1"/>
    <xf numFmtId="1" fontId="0" fillId="0" borderId="21" xfId="0" applyNumberFormat="1" applyFont="1" applyBorder="1"/>
    <xf numFmtId="1" fontId="0" fillId="0" borderId="8" xfId="0" applyNumberFormat="1" applyFont="1" applyBorder="1"/>
    <xf numFmtId="3" fontId="21" fillId="0" borderId="10" xfId="0" applyNumberFormat="1" applyFont="1" applyFill="1" applyBorder="1" applyAlignment="1" applyProtection="1">
      <alignment horizontal="right"/>
    </xf>
    <xf numFmtId="0" fontId="4" fillId="0" borderId="54" xfId="0" applyNumberFormat="1" applyFont="1" applyFill="1" applyBorder="1" applyAlignment="1" applyProtection="1">
      <alignment horizontal="center"/>
    </xf>
    <xf numFmtId="0" fontId="5" fillId="2" borderId="8" xfId="0" applyNumberFormat="1" applyFont="1" applyFill="1" applyBorder="1" applyAlignment="1" applyProtection="1"/>
    <xf numFmtId="3" fontId="5" fillId="3" borderId="22" xfId="0" applyNumberFormat="1" applyFont="1" applyFill="1" applyBorder="1" applyAlignment="1" applyProtection="1"/>
    <xf numFmtId="170" fontId="8" fillId="4" borderId="10" xfId="0" applyNumberFormat="1" applyFont="1" applyFill="1" applyBorder="1" applyAlignment="1" applyProtection="1"/>
    <xf numFmtId="4" fontId="5" fillId="0" borderId="10" xfId="0" applyNumberFormat="1" applyFont="1" applyFill="1" applyBorder="1" applyAlignment="1" applyProtection="1">
      <alignment horizontal="right"/>
    </xf>
    <xf numFmtId="0" fontId="16" fillId="12" borderId="0" xfId="0" applyFont="1" applyFill="1"/>
    <xf numFmtId="0" fontId="4" fillId="0" borderId="39" xfId="0" applyNumberFormat="1" applyFont="1" applyFill="1" applyBorder="1" applyAlignment="1" applyProtection="1"/>
    <xf numFmtId="0" fontId="4" fillId="0" borderId="58" xfId="0" applyNumberFormat="1" applyFont="1" applyFill="1" applyBorder="1" applyAlignment="1" applyProtection="1">
      <alignment horizontal="left"/>
    </xf>
    <xf numFmtId="3" fontId="21" fillId="9" borderId="8" xfId="0" applyNumberFormat="1" applyFont="1" applyFill="1" applyBorder="1" applyAlignment="1" applyProtection="1">
      <alignment horizontal="left"/>
    </xf>
    <xf numFmtId="3" fontId="6" fillId="9" borderId="9" xfId="0" applyNumberFormat="1" applyFont="1" applyFill="1" applyBorder="1" applyAlignment="1" applyProtection="1"/>
    <xf numFmtId="0" fontId="5" fillId="0" borderId="39" xfId="0" applyFont="1" applyFill="1" applyBorder="1"/>
    <xf numFmtId="0" fontId="4" fillId="0" borderId="14" xfId="0" applyNumberFormat="1" applyFont="1" applyFill="1" applyBorder="1" applyAlignment="1" applyProtection="1">
      <alignment horizontal="center"/>
    </xf>
    <xf numFmtId="0" fontId="4" fillId="0" borderId="39" xfId="0" applyNumberFormat="1" applyFont="1" applyFill="1" applyBorder="1" applyAlignment="1" applyProtection="1">
      <alignment horizontal="center"/>
    </xf>
    <xf numFmtId="0" fontId="4" fillId="0" borderId="60" xfId="0" applyNumberFormat="1" applyFont="1" applyFill="1" applyBorder="1" applyAlignment="1" applyProtection="1">
      <alignment horizontal="center"/>
    </xf>
    <xf numFmtId="0" fontId="4" fillId="0" borderId="61" xfId="0" applyNumberFormat="1" applyFont="1" applyFill="1" applyBorder="1" applyAlignment="1" applyProtection="1"/>
    <xf numFmtId="0" fontId="5" fillId="0" borderId="16" xfId="0" applyNumberFormat="1" applyFont="1" applyFill="1" applyBorder="1" applyAlignment="1" applyProtection="1"/>
    <xf numFmtId="0" fontId="5" fillId="2" borderId="39" xfId="0" applyNumberFormat="1" applyFont="1" applyFill="1" applyBorder="1" applyAlignment="1" applyProtection="1"/>
    <xf numFmtId="0" fontId="4" fillId="0" borderId="16" xfId="0" applyNumberFormat="1" applyFont="1" applyFill="1" applyBorder="1" applyAlignment="1" applyProtection="1"/>
    <xf numFmtId="0" fontId="5" fillId="4" borderId="22" xfId="0" applyNumberFormat="1" applyFont="1" applyFill="1" applyBorder="1" applyAlignment="1" applyProtection="1"/>
    <xf numFmtId="3" fontId="5" fillId="2" borderId="23" xfId="0" applyNumberFormat="1" applyFont="1" applyFill="1" applyBorder="1" applyAlignment="1" applyProtection="1"/>
    <xf numFmtId="171" fontId="4" fillId="0" borderId="56" xfId="0" applyNumberFormat="1" applyFont="1" applyFill="1" applyBorder="1" applyAlignment="1" applyProtection="1">
      <alignment horizontal="center"/>
    </xf>
    <xf numFmtId="171" fontId="4" fillId="0" borderId="39" xfId="0" applyNumberFormat="1" applyFont="1" applyFill="1" applyBorder="1" applyAlignment="1" applyProtection="1">
      <alignment horizontal="center"/>
    </xf>
    <xf numFmtId="171" fontId="4" fillId="0" borderId="60" xfId="0" applyNumberFormat="1" applyFont="1" applyFill="1" applyBorder="1" applyAlignment="1" applyProtection="1">
      <alignment horizontal="center"/>
    </xf>
    <xf numFmtId="171" fontId="4" fillId="0" borderId="59" xfId="0" applyNumberFormat="1" applyFont="1" applyFill="1" applyBorder="1" applyAlignment="1" applyProtection="1"/>
    <xf numFmtId="171" fontId="5" fillId="0" borderId="39" xfId="0" applyNumberFormat="1" applyFont="1" applyFill="1" applyBorder="1" applyAlignment="1" applyProtection="1"/>
    <xf numFmtId="171" fontId="4" fillId="0" borderId="61" xfId="0" applyNumberFormat="1" applyFont="1" applyFill="1" applyBorder="1" applyAlignment="1" applyProtection="1"/>
    <xf numFmtId="171" fontId="5" fillId="0" borderId="16" xfId="0" applyNumberFormat="1" applyFont="1" applyFill="1" applyBorder="1" applyAlignment="1" applyProtection="1"/>
    <xf numFmtId="171" fontId="4" fillId="0" borderId="39" xfId="0" applyNumberFormat="1" applyFont="1" applyFill="1" applyBorder="1" applyAlignment="1" applyProtection="1"/>
    <xf numFmtId="3" fontId="4" fillId="0" borderId="29" xfId="0" applyNumberFormat="1" applyFont="1" applyFill="1" applyBorder="1" applyAlignment="1" applyProtection="1"/>
    <xf numFmtId="0" fontId="4" fillId="0" borderId="32" xfId="0" applyNumberFormat="1" applyFont="1" applyFill="1" applyBorder="1" applyAlignment="1" applyProtection="1">
      <alignment horizontal="center"/>
    </xf>
    <xf numFmtId="0" fontId="8" fillId="0" borderId="8" xfId="0" applyFont="1" applyBorder="1"/>
    <xf numFmtId="0" fontId="8" fillId="0" borderId="6" xfId="0" applyFont="1" applyBorder="1"/>
    <xf numFmtId="0" fontId="5" fillId="5" borderId="9" xfId="0" applyFont="1" applyFill="1" applyBorder="1"/>
    <xf numFmtId="0" fontId="5" fillId="5" borderId="22" xfId="0" applyFont="1" applyFill="1" applyBorder="1"/>
    <xf numFmtId="0" fontId="5" fillId="0" borderId="4" xfId="0" applyNumberFormat="1" applyFont="1" applyFill="1" applyBorder="1" applyAlignment="1" applyProtection="1"/>
    <xf numFmtId="164" fontId="9" fillId="3" borderId="13" xfId="0" applyNumberFormat="1" applyFont="1" applyFill="1" applyBorder="1" applyAlignment="1" applyProtection="1">
      <alignment horizontal="right"/>
    </xf>
    <xf numFmtId="0" fontId="5" fillId="0" borderId="10" xfId="0" applyFont="1" applyFill="1" applyBorder="1"/>
    <xf numFmtId="3" fontId="5" fillId="0" borderId="0" xfId="0" applyNumberFormat="1" applyFont="1" applyFill="1"/>
    <xf numFmtId="4" fontId="7" fillId="0" borderId="0" xfId="0" applyNumberFormat="1" applyFont="1" applyFill="1"/>
    <xf numFmtId="3" fontId="5" fillId="0" borderId="7" xfId="0" applyNumberFormat="1" applyFont="1" applyFill="1" applyBorder="1" applyAlignment="1" applyProtection="1">
      <alignment horizontal="right"/>
    </xf>
    <xf numFmtId="172" fontId="4" fillId="0" borderId="17" xfId="0" applyNumberFormat="1" applyFont="1" applyFill="1" applyBorder="1" applyAlignment="1" applyProtection="1">
      <alignment horizontal="center"/>
    </xf>
    <xf numFmtId="4" fontId="16" fillId="0" borderId="0" xfId="0" applyNumberFormat="1" applyFont="1" applyFill="1"/>
    <xf numFmtId="164" fontId="10" fillId="0" borderId="39" xfId="0" applyNumberFormat="1" applyFont="1" applyFill="1" applyBorder="1" applyAlignment="1" applyProtection="1">
      <alignment horizontal="right"/>
    </xf>
    <xf numFmtId="171" fontId="16" fillId="0" borderId="0" xfId="0" applyNumberFormat="1" applyFont="1"/>
    <xf numFmtId="49" fontId="4" fillId="0" borderId="35" xfId="0" applyNumberFormat="1" applyFont="1" applyFill="1" applyBorder="1" applyAlignment="1" applyProtection="1">
      <alignment horizontal="center"/>
    </xf>
    <xf numFmtId="9" fontId="10" fillId="0" borderId="10" xfId="2" applyNumberFormat="1" applyFont="1" applyFill="1" applyBorder="1" applyAlignment="1" applyProtection="1">
      <alignment horizontal="right"/>
    </xf>
    <xf numFmtId="0" fontId="4" fillId="3" borderId="6" xfId="0" applyNumberFormat="1" applyFont="1" applyFill="1" applyBorder="1" applyAlignment="1" applyProtection="1">
      <alignment horizontal="center"/>
    </xf>
    <xf numFmtId="0" fontId="3" fillId="0" borderId="43" xfId="0" applyFont="1" applyFill="1" applyBorder="1"/>
    <xf numFmtId="0" fontId="3" fillId="0" borderId="35" xfId="0" applyFont="1" applyFill="1" applyBorder="1"/>
    <xf numFmtId="0" fontId="16" fillId="0" borderId="3" xfId="0" applyFont="1" applyFill="1" applyBorder="1" applyAlignment="1">
      <alignment horizontal="center"/>
    </xf>
    <xf numFmtId="0" fontId="5" fillId="0" borderId="15" xfId="0" applyFont="1" applyFill="1" applyBorder="1" applyAlignment="1">
      <alignment horizontal="center"/>
    </xf>
    <xf numFmtId="49" fontId="5" fillId="0" borderId="18" xfId="0" applyNumberFormat="1" applyFont="1" applyFill="1" applyBorder="1" applyAlignment="1">
      <alignment horizontal="center"/>
    </xf>
    <xf numFmtId="0" fontId="3" fillId="0" borderId="8" xfId="0" applyFont="1" applyFill="1" applyBorder="1"/>
    <xf numFmtId="1" fontId="3" fillId="0" borderId="23" xfId="0" applyNumberFormat="1" applyFont="1" applyFill="1" applyBorder="1"/>
    <xf numFmtId="1" fontId="3" fillId="0" borderId="8" xfId="0" applyNumberFormat="1" applyFont="1" applyFill="1" applyBorder="1"/>
    <xf numFmtId="1" fontId="3" fillId="0" borderId="21" xfId="0" applyNumberFormat="1" applyFont="1" applyFill="1" applyBorder="1"/>
    <xf numFmtId="1" fontId="5" fillId="3" borderId="8" xfId="0" applyNumberFormat="1" applyFont="1" applyFill="1" applyBorder="1" applyAlignment="1" applyProtection="1"/>
    <xf numFmtId="3" fontId="5" fillId="3" borderId="23" xfId="0" applyNumberFormat="1" applyFont="1" applyFill="1" applyBorder="1" applyAlignment="1" applyProtection="1"/>
    <xf numFmtId="3" fontId="16" fillId="0" borderId="10" xfId="0" applyNumberFormat="1" applyFont="1" applyBorder="1" applyAlignment="1">
      <alignment horizontal="right"/>
    </xf>
    <xf numFmtId="3" fontId="6" fillId="0" borderId="8" xfId="0" applyNumberFormat="1" applyFont="1" applyFill="1" applyBorder="1" applyAlignment="1" applyProtection="1"/>
    <xf numFmtId="3" fontId="29" fillId="0" borderId="10" xfId="0" applyNumberFormat="1" applyFont="1" applyFill="1" applyBorder="1" applyAlignment="1" applyProtection="1">
      <alignment horizontal="right"/>
    </xf>
    <xf numFmtId="1" fontId="4" fillId="4" borderId="34" xfId="0" applyNumberFormat="1" applyFont="1" applyFill="1" applyBorder="1" applyAlignment="1" applyProtection="1">
      <alignment horizontal="center"/>
    </xf>
    <xf numFmtId="49" fontId="4" fillId="4" borderId="18" xfId="0" applyNumberFormat="1" applyFont="1" applyFill="1" applyBorder="1" applyAlignment="1" applyProtection="1">
      <alignment horizontal="center"/>
    </xf>
    <xf numFmtId="170" fontId="10" fillId="4" borderId="18" xfId="0" applyNumberFormat="1" applyFont="1" applyFill="1" applyBorder="1" applyAlignment="1" applyProtection="1">
      <alignment horizontal="right"/>
    </xf>
    <xf numFmtId="0" fontId="5" fillId="12" borderId="0" xfId="0" applyNumberFormat="1" applyFont="1" applyFill="1" applyBorder="1" applyAlignment="1" applyProtection="1">
      <alignment horizontal="right"/>
    </xf>
    <xf numFmtId="0" fontId="30" fillId="0" borderId="22" xfId="0" applyNumberFormat="1" applyFont="1" applyFill="1" applyBorder="1" applyAlignment="1" applyProtection="1"/>
    <xf numFmtId="0" fontId="30" fillId="0" borderId="13" xfId="0" applyNumberFormat="1" applyFont="1" applyFill="1" applyBorder="1" applyAlignment="1" applyProtection="1"/>
    <xf numFmtId="3" fontId="30" fillId="0" borderId="22" xfId="0" applyNumberFormat="1" applyFont="1" applyFill="1" applyBorder="1" applyAlignment="1" applyProtection="1"/>
    <xf numFmtId="3" fontId="30" fillId="0" borderId="13" xfId="0" applyNumberFormat="1" applyFont="1" applyFill="1" applyBorder="1" applyAlignment="1" applyProtection="1"/>
    <xf numFmtId="3" fontId="30" fillId="0" borderId="23" xfId="0" applyNumberFormat="1" applyFont="1" applyFill="1" applyBorder="1" applyAlignment="1" applyProtection="1"/>
    <xf numFmtId="0" fontId="30" fillId="3" borderId="22" xfId="0" applyNumberFormat="1" applyFont="1" applyFill="1" applyBorder="1" applyAlignment="1" applyProtection="1"/>
    <xf numFmtId="0" fontId="30" fillId="3" borderId="23" xfId="0" applyNumberFormat="1" applyFont="1" applyFill="1" applyBorder="1" applyAlignment="1" applyProtection="1"/>
    <xf numFmtId="171" fontId="30" fillId="0" borderId="16" xfId="0" applyNumberFormat="1" applyFont="1" applyFill="1" applyBorder="1" applyAlignment="1" applyProtection="1"/>
    <xf numFmtId="0" fontId="30" fillId="5" borderId="22" xfId="0" applyFont="1" applyFill="1" applyBorder="1"/>
    <xf numFmtId="3" fontId="30" fillId="5" borderId="23" xfId="0" applyNumberFormat="1" applyFont="1" applyFill="1" applyBorder="1" applyAlignment="1" applyProtection="1"/>
    <xf numFmtId="0" fontId="30" fillId="0" borderId="0" xfId="0" applyFont="1" applyFill="1"/>
    <xf numFmtId="0" fontId="30" fillId="0" borderId="0" xfId="0" applyFont="1"/>
    <xf numFmtId="0" fontId="5" fillId="14" borderId="39" xfId="0" applyNumberFormat="1" applyFont="1" applyFill="1" applyBorder="1" applyAlignment="1" applyProtection="1"/>
    <xf numFmtId="3" fontId="10" fillId="11" borderId="10" xfId="0" applyNumberFormat="1" applyFont="1" applyFill="1" applyBorder="1" applyAlignment="1" applyProtection="1">
      <alignment horizontal="right"/>
    </xf>
    <xf numFmtId="4" fontId="6" fillId="0" borderId="0" xfId="0" applyNumberFormat="1" applyFont="1" applyFill="1" applyBorder="1" applyAlignment="1"/>
    <xf numFmtId="4" fontId="5" fillId="0" borderId="0" xfId="0" applyNumberFormat="1" applyFont="1" applyFill="1" applyBorder="1" applyAlignment="1" applyProtection="1"/>
    <xf numFmtId="4" fontId="0" fillId="0" borderId="0" xfId="0" applyNumberFormat="1" applyFill="1" applyBorder="1" applyAlignment="1"/>
    <xf numFmtId="3" fontId="5" fillId="0" borderId="45" xfId="0" applyNumberFormat="1" applyFont="1" applyFill="1" applyBorder="1" applyAlignment="1" applyProtection="1"/>
    <xf numFmtId="3" fontId="10" fillId="13" borderId="10" xfId="0" applyNumberFormat="1" applyFont="1" applyFill="1" applyBorder="1" applyAlignment="1" applyProtection="1">
      <alignment horizontal="right"/>
    </xf>
    <xf numFmtId="1" fontId="5" fillId="0" borderId="10" xfId="0" applyNumberFormat="1" applyFont="1" applyFill="1" applyBorder="1" applyAlignment="1" applyProtection="1"/>
    <xf numFmtId="3" fontId="5" fillId="15" borderId="10" xfId="0" applyNumberFormat="1" applyFont="1" applyFill="1" applyBorder="1" applyAlignment="1" applyProtection="1"/>
    <xf numFmtId="3" fontId="5" fillId="13" borderId="9" xfId="0" applyNumberFormat="1" applyFont="1" applyFill="1" applyBorder="1" applyAlignment="1" applyProtection="1"/>
    <xf numFmtId="174" fontId="4" fillId="0" borderId="10" xfId="0" applyNumberFormat="1" applyFont="1" applyFill="1" applyBorder="1"/>
    <xf numFmtId="16" fontId="5" fillId="0" borderId="0" xfId="0" applyNumberFormat="1" applyFont="1"/>
    <xf numFmtId="4" fontId="5" fillId="0" borderId="0" xfId="0" applyNumberFormat="1" applyFont="1" applyFill="1"/>
    <xf numFmtId="0" fontId="5" fillId="0" borderId="7" xfId="0" applyNumberFormat="1" applyFont="1" applyFill="1" applyBorder="1" applyAlignment="1" applyProtection="1">
      <alignment horizontal="left"/>
    </xf>
    <xf numFmtId="3" fontId="5" fillId="17" borderId="9" xfId="0" applyNumberFormat="1" applyFont="1" applyFill="1" applyBorder="1" applyAlignment="1" applyProtection="1"/>
    <xf numFmtId="0" fontId="5" fillId="17" borderId="8" xfId="0" applyNumberFormat="1" applyFont="1" applyFill="1" applyBorder="1" applyAlignment="1" applyProtection="1"/>
    <xf numFmtId="0" fontId="5" fillId="13" borderId="8" xfId="0" applyNumberFormat="1" applyFont="1" applyFill="1" applyBorder="1" applyAlignment="1" applyProtection="1"/>
    <xf numFmtId="3" fontId="5" fillId="17" borderId="22" xfId="0" applyNumberFormat="1" applyFont="1" applyFill="1" applyBorder="1" applyAlignment="1" applyProtection="1"/>
    <xf numFmtId="170" fontId="10" fillId="13" borderId="15" xfId="0" applyNumberFormat="1" applyFont="1" applyFill="1" applyBorder="1" applyAlignment="1" applyProtection="1">
      <alignment horizontal="right"/>
    </xf>
    <xf numFmtId="3" fontId="10" fillId="12" borderId="10" xfId="0" applyNumberFormat="1" applyFont="1" applyFill="1" applyBorder="1" applyAlignment="1" applyProtection="1">
      <alignment horizontal="right"/>
    </xf>
    <xf numFmtId="3" fontId="5" fillId="16" borderId="10" xfId="0" applyNumberFormat="1" applyFont="1" applyFill="1" applyBorder="1" applyAlignment="1" applyProtection="1"/>
    <xf numFmtId="0" fontId="5" fillId="0" borderId="14" xfId="0" applyNumberFormat="1" applyFont="1" applyFill="1" applyBorder="1" applyAlignment="1" applyProtection="1">
      <alignment horizontal="right"/>
    </xf>
    <xf numFmtId="4" fontId="16" fillId="0" borderId="0" xfId="0" applyNumberFormat="1" applyFont="1" applyFill="1" applyBorder="1"/>
    <xf numFmtId="3" fontId="16" fillId="0" borderId="0" xfId="0" applyNumberFormat="1" applyFont="1" applyFill="1" applyBorder="1"/>
    <xf numFmtId="168" fontId="16" fillId="0" borderId="0" xfId="0" applyNumberFormat="1" applyFont="1" applyFill="1" applyBorder="1"/>
    <xf numFmtId="174" fontId="5" fillId="0" borderId="0" xfId="0" applyNumberFormat="1" applyFont="1" applyFill="1"/>
    <xf numFmtId="3" fontId="16" fillId="13" borderId="8" xfId="0" applyNumberFormat="1" applyFont="1" applyFill="1" applyBorder="1"/>
    <xf numFmtId="3" fontId="16" fillId="13" borderId="45" xfId="0" applyNumberFormat="1" applyFont="1" applyFill="1" applyBorder="1"/>
    <xf numFmtId="0" fontId="0" fillId="0" borderId="0" xfId="0" applyFill="1"/>
    <xf numFmtId="170" fontId="16" fillId="0" borderId="0" xfId="0" applyNumberFormat="1" applyFont="1" applyFill="1" applyAlignment="1"/>
    <xf numFmtId="164" fontId="16" fillId="0" borderId="0" xfId="0" applyNumberFormat="1" applyFont="1" applyFill="1" applyBorder="1"/>
    <xf numFmtId="173" fontId="16" fillId="0" borderId="0" xfId="0" applyNumberFormat="1" applyFont="1" applyFill="1"/>
    <xf numFmtId="0" fontId="5" fillId="0" borderId="0" xfId="0" applyFont="1" applyFill="1" applyBorder="1"/>
    <xf numFmtId="4" fontId="5" fillId="0" borderId="0" xfId="0" applyNumberFormat="1" applyFont="1" applyFill="1" applyBorder="1" applyAlignment="1"/>
    <xf numFmtId="3" fontId="5" fillId="0" borderId="0" xfId="0" applyNumberFormat="1" applyFont="1" applyFill="1" applyBorder="1" applyAlignment="1"/>
    <xf numFmtId="0" fontId="5" fillId="0" borderId="0" xfId="0" applyFont="1" applyFill="1" applyBorder="1" applyAlignment="1"/>
    <xf numFmtId="0" fontId="5" fillId="0" borderId="19" xfId="0" applyNumberFormat="1" applyFont="1" applyFill="1" applyBorder="1" applyAlignment="1" applyProtection="1"/>
    <xf numFmtId="0" fontId="5" fillId="0" borderId="32" xfId="0" applyNumberFormat="1" applyFont="1" applyFill="1" applyBorder="1" applyAlignment="1" applyProtection="1"/>
    <xf numFmtId="3" fontId="5" fillId="0" borderId="37" xfId="0" applyNumberFormat="1" applyFont="1" applyFill="1" applyBorder="1" applyAlignment="1" applyProtection="1"/>
    <xf numFmtId="0" fontId="5" fillId="3" borderId="32" xfId="0" applyNumberFormat="1" applyFont="1" applyFill="1" applyBorder="1" applyAlignment="1" applyProtection="1"/>
    <xf numFmtId="0" fontId="5" fillId="3" borderId="37" xfId="0" applyNumberFormat="1" applyFont="1" applyFill="1" applyBorder="1" applyAlignment="1" applyProtection="1"/>
    <xf numFmtId="0" fontId="5" fillId="10" borderId="52" xfId="0" applyNumberFormat="1" applyFont="1" applyFill="1" applyBorder="1" applyAlignment="1" applyProtection="1"/>
    <xf numFmtId="170" fontId="4" fillId="10" borderId="53" xfId="0" applyNumberFormat="1" applyFont="1" applyFill="1" applyBorder="1" applyAlignment="1" applyProtection="1">
      <alignment horizontal="right"/>
    </xf>
    <xf numFmtId="0" fontId="0" fillId="0" borderId="55" xfId="0" applyFill="1" applyBorder="1"/>
    <xf numFmtId="0" fontId="16" fillId="0" borderId="63" xfId="0" applyFont="1" applyBorder="1"/>
    <xf numFmtId="0" fontId="8" fillId="0" borderId="50" xfId="0" applyFont="1" applyBorder="1"/>
    <xf numFmtId="0" fontId="8" fillId="0" borderId="49" xfId="0" applyFont="1" applyBorder="1"/>
    <xf numFmtId="4" fontId="4" fillId="0" borderId="56" xfId="0" applyNumberFormat="1" applyFont="1" applyFill="1" applyBorder="1" applyAlignment="1" applyProtection="1">
      <alignment horizontal="center"/>
    </xf>
    <xf numFmtId="3" fontId="5" fillId="4" borderId="15" xfId="0" applyNumberFormat="1" applyFont="1" applyFill="1" applyBorder="1" applyAlignment="1" applyProtection="1"/>
    <xf numFmtId="0" fontId="32" fillId="0" borderId="0" xfId="0" applyFont="1"/>
    <xf numFmtId="0" fontId="33" fillId="0" borderId="0" xfId="0" applyFont="1"/>
    <xf numFmtId="0" fontId="28" fillId="0" borderId="0" xfId="0" applyFont="1"/>
    <xf numFmtId="0" fontId="33" fillId="0" borderId="1" xfId="0" applyFont="1" applyBorder="1" applyAlignment="1">
      <alignment wrapText="1"/>
    </xf>
    <xf numFmtId="0" fontId="33" fillId="0" borderId="2" xfId="0" applyFont="1" applyBorder="1" applyAlignment="1">
      <alignment wrapText="1"/>
    </xf>
    <xf numFmtId="0" fontId="33" fillId="0" borderId="56" xfId="0" applyFont="1" applyBorder="1" applyAlignment="1">
      <alignment horizontal="left"/>
    </xf>
    <xf numFmtId="0" fontId="0" fillId="0" borderId="64" xfId="0" applyBorder="1" applyAlignment="1">
      <alignment horizontal="center"/>
    </xf>
    <xf numFmtId="0" fontId="0" fillId="0" borderId="58" xfId="0" applyBorder="1" applyAlignment="1">
      <alignment horizontal="center"/>
    </xf>
    <xf numFmtId="0" fontId="33" fillId="0" borderId="19" xfId="0" applyFont="1" applyBorder="1"/>
    <xf numFmtId="0" fontId="33" fillId="0" borderId="3" xfId="0" applyFont="1" applyBorder="1" applyAlignment="1">
      <alignment wrapText="1"/>
    </xf>
    <xf numFmtId="0" fontId="33" fillId="0" borderId="4" xfId="0" applyFont="1" applyBorder="1" applyAlignment="1">
      <alignment wrapText="1"/>
    </xf>
    <xf numFmtId="0" fontId="33" fillId="0" borderId="26" xfId="0" applyFont="1" applyBorder="1" applyAlignment="1">
      <alignment wrapText="1"/>
    </xf>
    <xf numFmtId="0" fontId="33" fillId="0" borderId="5" xfId="0" applyFont="1" applyBorder="1" applyAlignment="1">
      <alignment wrapText="1"/>
    </xf>
    <xf numFmtId="0" fontId="33" fillId="0" borderId="28" xfId="0" applyFont="1" applyBorder="1" applyAlignment="1">
      <alignment wrapText="1"/>
    </xf>
    <xf numFmtId="0" fontId="33" fillId="0" borderId="28" xfId="0" applyFont="1" applyFill="1" applyBorder="1" applyAlignment="1">
      <alignment wrapText="1"/>
    </xf>
    <xf numFmtId="0" fontId="33" fillId="0" borderId="28" xfId="0" applyFont="1" applyBorder="1"/>
    <xf numFmtId="0" fontId="33" fillId="0" borderId="51" xfId="0" applyFont="1" applyBorder="1"/>
    <xf numFmtId="0" fontId="0" fillId="0" borderId="0" xfId="0" applyAlignment="1">
      <alignment wrapText="1"/>
    </xf>
    <xf numFmtId="0" fontId="28" fillId="0" borderId="22" xfId="0" applyFont="1" applyFill="1" applyBorder="1" applyAlignment="1">
      <alignment wrapText="1"/>
    </xf>
    <xf numFmtId="0" fontId="28" fillId="4" borderId="24" xfId="0" applyFont="1" applyFill="1" applyBorder="1" applyAlignment="1">
      <alignment wrapText="1"/>
    </xf>
    <xf numFmtId="0" fontId="0" fillId="0" borderId="13" xfId="0" applyFill="1" applyBorder="1" applyAlignment="1">
      <alignment wrapText="1"/>
    </xf>
    <xf numFmtId="0" fontId="20" fillId="4" borderId="13" xfId="0" applyFont="1" applyFill="1" applyBorder="1" applyAlignment="1">
      <alignment wrapText="1"/>
    </xf>
    <xf numFmtId="0" fontId="28" fillId="0" borderId="55" xfId="0" applyFont="1" applyFill="1" applyBorder="1"/>
    <xf numFmtId="0" fontId="0" fillId="0" borderId="13" xfId="0" applyFill="1" applyBorder="1"/>
    <xf numFmtId="0" fontId="20" fillId="0" borderId="13" xfId="0" applyFont="1" applyFill="1" applyBorder="1" applyAlignment="1">
      <alignment wrapText="1"/>
    </xf>
    <xf numFmtId="0" fontId="20" fillId="0" borderId="16" xfId="0" applyFont="1" applyFill="1" applyBorder="1" applyAlignment="1">
      <alignment wrapText="1"/>
    </xf>
    <xf numFmtId="0" fontId="28" fillId="9" borderId="23" xfId="0" applyFont="1" applyFill="1" applyBorder="1"/>
    <xf numFmtId="0" fontId="28" fillId="0" borderId="65" xfId="0" applyFont="1" applyFill="1" applyBorder="1" applyAlignment="1">
      <alignment wrapText="1"/>
    </xf>
    <xf numFmtId="0" fontId="0" fillId="0" borderId="55" xfId="0" applyFill="1" applyBorder="1" applyAlignment="1">
      <alignment wrapText="1"/>
    </xf>
    <xf numFmtId="0" fontId="0" fillId="13" borderId="24" xfId="0" applyFill="1" applyBorder="1"/>
    <xf numFmtId="0" fontId="0" fillId="0" borderId="24" xfId="0" applyFill="1" applyBorder="1"/>
    <xf numFmtId="0" fontId="20" fillId="0" borderId="55" xfId="0" applyFont="1" applyFill="1" applyBorder="1" applyAlignment="1">
      <alignment wrapText="1"/>
    </xf>
    <xf numFmtId="0" fontId="28" fillId="9" borderId="66" xfId="0" applyFont="1" applyFill="1" applyBorder="1"/>
    <xf numFmtId="0" fontId="0" fillId="0" borderId="65" xfId="0" applyFont="1" applyFill="1" applyBorder="1" applyAlignment="1">
      <alignment wrapText="1"/>
    </xf>
    <xf numFmtId="0" fontId="20" fillId="4" borderId="55" xfId="0" applyFont="1" applyFill="1" applyBorder="1" applyAlignment="1">
      <alignment wrapText="1"/>
    </xf>
    <xf numFmtId="0" fontId="0" fillId="0" borderId="22" xfId="0" applyFont="1" applyFill="1" applyBorder="1" applyAlignment="1">
      <alignment wrapText="1"/>
    </xf>
    <xf numFmtId="0" fontId="28" fillId="0" borderId="13" xfId="0" applyFont="1" applyFill="1" applyBorder="1" applyAlignment="1">
      <alignment wrapText="1"/>
    </xf>
    <xf numFmtId="0" fontId="28" fillId="0" borderId="16" xfId="0" applyFont="1" applyFill="1" applyBorder="1"/>
    <xf numFmtId="0" fontId="0" fillId="4" borderId="24" xfId="0" applyFont="1" applyFill="1" applyBorder="1" applyAlignment="1">
      <alignment wrapText="1"/>
    </xf>
    <xf numFmtId="0" fontId="16" fillId="0" borderId="65" xfId="0" applyNumberFormat="1" applyFont="1" applyFill="1" applyBorder="1" applyAlignment="1" applyProtection="1">
      <alignment wrapText="1" shrinkToFit="1"/>
    </xf>
    <xf numFmtId="0" fontId="28" fillId="4" borderId="55" xfId="0" applyFont="1" applyFill="1" applyBorder="1" applyAlignment="1">
      <alignment wrapText="1"/>
    </xf>
    <xf numFmtId="0" fontId="16" fillId="0" borderId="65" xfId="0" applyNumberFormat="1" applyFont="1" applyFill="1" applyBorder="1" applyAlignment="1" applyProtection="1"/>
    <xf numFmtId="0" fontId="28" fillId="7" borderId="55" xfId="0" applyFont="1" applyFill="1" applyBorder="1" applyAlignment="1">
      <alignment wrapText="1"/>
    </xf>
    <xf numFmtId="0" fontId="28" fillId="0" borderId="55" xfId="0" applyFont="1" applyFill="1" applyBorder="1" applyAlignment="1">
      <alignment wrapText="1"/>
    </xf>
    <xf numFmtId="0" fontId="28" fillId="0" borderId="66" xfId="0" applyFont="1" applyBorder="1"/>
    <xf numFmtId="0" fontId="33" fillId="0" borderId="17" xfId="0" applyFont="1" applyBorder="1"/>
    <xf numFmtId="0" fontId="33" fillId="0" borderId="57" xfId="0" applyFont="1" applyBorder="1"/>
    <xf numFmtId="0" fontId="33" fillId="0" borderId="14" xfId="0" applyFont="1" applyBorder="1"/>
    <xf numFmtId="3" fontId="33" fillId="0" borderId="14" xfId="0" applyNumberFormat="1" applyFont="1" applyFill="1" applyBorder="1"/>
    <xf numFmtId="0" fontId="33" fillId="0" borderId="14" xfId="0" applyFont="1" applyFill="1" applyBorder="1"/>
    <xf numFmtId="0" fontId="33" fillId="0" borderId="54" xfId="0" applyFont="1" applyFill="1" applyBorder="1"/>
    <xf numFmtId="0" fontId="33" fillId="0" borderId="54" xfId="0" applyFont="1" applyBorder="1"/>
    <xf numFmtId="0" fontId="28" fillId="0" borderId="32" xfId="0" applyFont="1" applyFill="1" applyBorder="1" applyAlignment="1">
      <alignment wrapText="1"/>
    </xf>
    <xf numFmtId="0" fontId="28" fillId="4" borderId="19" xfId="0" applyFont="1" applyFill="1" applyBorder="1" applyAlignment="1">
      <alignment wrapText="1"/>
    </xf>
    <xf numFmtId="0" fontId="0" fillId="0" borderId="19" xfId="0" applyFill="1" applyBorder="1" applyAlignment="1">
      <alignment wrapText="1"/>
    </xf>
    <xf numFmtId="0" fontId="0" fillId="0" borderId="19" xfId="0" applyFill="1" applyBorder="1"/>
    <xf numFmtId="0" fontId="20" fillId="4" borderId="19" xfId="0" applyFont="1" applyFill="1" applyBorder="1" applyAlignment="1">
      <alignment wrapText="1"/>
    </xf>
    <xf numFmtId="0" fontId="28" fillId="0" borderId="19" xfId="0" applyFont="1" applyFill="1" applyBorder="1"/>
    <xf numFmtId="0" fontId="20" fillId="0" borderId="19" xfId="0" applyFont="1" applyFill="1" applyBorder="1" applyAlignment="1">
      <alignment wrapText="1"/>
    </xf>
    <xf numFmtId="0" fontId="28" fillId="0" borderId="37" xfId="0" applyFont="1" applyBorder="1" applyAlignment="1">
      <alignment wrapText="1"/>
    </xf>
    <xf numFmtId="0" fontId="0" fillId="4" borderId="55" xfId="0" applyFont="1" applyFill="1" applyBorder="1" applyAlignment="1">
      <alignment wrapText="1"/>
    </xf>
    <xf numFmtId="0" fontId="0" fillId="0" borderId="33" xfId="0" applyFont="1" applyFill="1" applyBorder="1" applyAlignment="1">
      <alignment wrapText="1"/>
    </xf>
    <xf numFmtId="0" fontId="28" fillId="7" borderId="28" xfId="0" applyFont="1" applyFill="1" applyBorder="1" applyAlignment="1">
      <alignment wrapText="1"/>
    </xf>
    <xf numFmtId="0" fontId="0" fillId="0" borderId="28" xfId="0" applyFill="1" applyBorder="1" applyAlignment="1">
      <alignment wrapText="1"/>
    </xf>
    <xf numFmtId="0" fontId="28" fillId="0" borderId="28" xfId="0" applyFont="1" applyFill="1" applyBorder="1" applyAlignment="1">
      <alignment wrapText="1"/>
    </xf>
    <xf numFmtId="0" fontId="20" fillId="4" borderId="28" xfId="0" applyFont="1" applyFill="1" applyBorder="1" applyAlignment="1">
      <alignment wrapText="1"/>
    </xf>
    <xf numFmtId="0" fontId="0" fillId="0" borderId="28" xfId="0" applyFill="1" applyBorder="1"/>
    <xf numFmtId="0" fontId="28" fillId="0" borderId="28" xfId="0" applyFont="1" applyFill="1" applyBorder="1"/>
    <xf numFmtId="0" fontId="20" fillId="0" borderId="28" xfId="0" applyFont="1" applyFill="1" applyBorder="1" applyAlignment="1">
      <alignment wrapText="1"/>
    </xf>
    <xf numFmtId="0" fontId="28" fillId="9" borderId="51" xfId="0" applyFont="1" applyFill="1" applyBorder="1"/>
    <xf numFmtId="0" fontId="33" fillId="0" borderId="64" xfId="0" applyFont="1" applyBorder="1" applyAlignment="1">
      <alignment horizontal="left"/>
    </xf>
    <xf numFmtId="0" fontId="33" fillId="0" borderId="2" xfId="0" applyFont="1" applyBorder="1" applyAlignment="1">
      <alignment textRotation="88" wrapText="1"/>
    </xf>
    <xf numFmtId="0" fontId="20" fillId="0" borderId="10" xfId="0" applyFont="1" applyFill="1" applyBorder="1" applyAlignment="1">
      <alignment wrapText="1"/>
    </xf>
    <xf numFmtId="0" fontId="4" fillId="3" borderId="62" xfId="0" applyNumberFormat="1" applyFont="1" applyFill="1" applyBorder="1" applyAlignment="1" applyProtection="1">
      <alignment horizontal="center"/>
    </xf>
    <xf numFmtId="0" fontId="0" fillId="3" borderId="63" xfId="0" applyFill="1" applyBorder="1" applyAlignment="1">
      <alignment horizontal="center"/>
    </xf>
    <xf numFmtId="0" fontId="20" fillId="0" borderId="67" xfId="0" applyFont="1" applyFill="1" applyBorder="1" applyAlignment="1">
      <alignment horizontal="right" wrapText="1"/>
    </xf>
    <xf numFmtId="0" fontId="0" fillId="0" borderId="68" xfId="0" applyFill="1" applyBorder="1" applyAlignment="1">
      <alignment wrapText="1"/>
    </xf>
    <xf numFmtId="3" fontId="4" fillId="0" borderId="28" xfId="0" applyNumberFormat="1" applyFont="1" applyFill="1" applyBorder="1" applyAlignment="1" applyProtection="1"/>
    <xf numFmtId="169" fontId="0" fillId="0" borderId="0" xfId="0" applyNumberFormat="1" applyFont="1" applyFill="1"/>
  </cellXfs>
  <cellStyles count="3">
    <cellStyle name="Normální" xfId="0" builtinId="0"/>
    <cellStyle name="Normální 2" xfId="1"/>
    <cellStyle name="Procenta" xfId="2" builtinId="5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1"/>
  <dimension ref="A1:S63"/>
  <sheetViews>
    <sheetView tabSelected="1" zoomScaleNormal="100" workbookViewId="0">
      <selection activeCell="N44" sqref="N44"/>
    </sheetView>
  </sheetViews>
  <sheetFormatPr defaultColWidth="7.85546875" defaultRowHeight="12.75" x14ac:dyDescent="0.2"/>
  <cols>
    <col min="1" max="1" width="7.42578125" style="95" customWidth="1"/>
    <col min="2" max="2" width="22.85546875" style="95" customWidth="1"/>
    <col min="3" max="3" width="9.28515625" style="103" customWidth="1"/>
    <col min="4" max="4" width="9.42578125" style="95" customWidth="1"/>
    <col min="5" max="5" width="10.7109375" style="113" customWidth="1"/>
    <col min="6" max="6" width="9" style="95" customWidth="1"/>
    <col min="7" max="7" width="9" style="95" hidden="1" customWidth="1"/>
    <col min="8" max="8" width="7.28515625" style="95" hidden="1" customWidth="1"/>
    <col min="9" max="9" width="8.42578125" style="95" hidden="1" customWidth="1"/>
    <col min="10" max="10" width="9" style="95" hidden="1" customWidth="1"/>
    <col min="11" max="11" width="8.42578125" style="95" hidden="1" customWidth="1"/>
    <col min="12" max="12" width="6" style="95" hidden="1" customWidth="1"/>
    <col min="13" max="13" width="10.28515625" style="95" customWidth="1"/>
    <col min="14" max="14" width="6.85546875" style="95" customWidth="1"/>
    <col min="15" max="15" width="16.140625" style="95" customWidth="1"/>
    <col min="16" max="17" width="9.85546875" style="95" customWidth="1"/>
    <col min="18" max="18" width="9.85546875" style="95" hidden="1" customWidth="1"/>
    <col min="19" max="19" width="10.140625" style="95" hidden="1" customWidth="1"/>
    <col min="20" max="20" width="11" style="95" customWidth="1"/>
    <col min="21" max="16384" width="7.85546875" style="95"/>
  </cols>
  <sheetData>
    <row r="1" spans="1:19" s="1" customFormat="1" ht="18" x14ac:dyDescent="0.25">
      <c r="B1" s="105" t="s">
        <v>484</v>
      </c>
      <c r="C1" s="2"/>
      <c r="E1" s="206"/>
    </row>
    <row r="2" spans="1:19" s="1" customFormat="1" ht="15.75" x14ac:dyDescent="0.25">
      <c r="B2" s="176" t="s">
        <v>569</v>
      </c>
      <c r="C2" s="175"/>
      <c r="D2" s="175"/>
      <c r="E2" s="207"/>
      <c r="F2" s="175"/>
      <c r="G2" s="175"/>
      <c r="H2" s="175"/>
      <c r="I2" s="175"/>
      <c r="J2" s="175"/>
      <c r="K2" s="175"/>
      <c r="L2" s="175"/>
      <c r="M2" s="175"/>
      <c r="N2" s="175"/>
      <c r="O2" s="175"/>
    </row>
    <row r="3" spans="1:19" s="1" customFormat="1" ht="15.75" x14ac:dyDescent="0.25">
      <c r="B3" s="176" t="s">
        <v>495</v>
      </c>
      <c r="C3" s="175"/>
      <c r="D3" s="175"/>
      <c r="E3" s="207"/>
      <c r="F3" s="175"/>
      <c r="G3" s="175"/>
      <c r="H3" s="175"/>
      <c r="I3" s="175"/>
      <c r="J3" s="175"/>
      <c r="K3" s="175"/>
      <c r="L3" s="175"/>
      <c r="M3" s="175"/>
      <c r="N3" s="175"/>
      <c r="O3" s="175"/>
    </row>
    <row r="4" spans="1:19" s="1" customFormat="1" ht="15.75" x14ac:dyDescent="0.25">
      <c r="B4" s="176" t="s">
        <v>567</v>
      </c>
      <c r="C4" s="175"/>
      <c r="D4" s="175"/>
      <c r="E4" s="207"/>
      <c r="F4" s="175"/>
      <c r="G4" s="175"/>
      <c r="H4" s="175"/>
      <c r="I4" s="175"/>
      <c r="J4" s="175"/>
      <c r="K4" s="175"/>
      <c r="L4" s="175"/>
      <c r="M4" s="175"/>
      <c r="N4" s="175"/>
      <c r="O4" s="175"/>
    </row>
    <row r="5" spans="1:19" s="1" customFormat="1" ht="15.75" x14ac:dyDescent="0.25">
      <c r="B5" s="176" t="s">
        <v>570</v>
      </c>
      <c r="C5" s="2"/>
      <c r="E5" s="207"/>
      <c r="F5" s="175"/>
      <c r="G5" s="175"/>
      <c r="H5" s="175"/>
      <c r="I5" s="175"/>
      <c r="J5" s="175"/>
      <c r="K5" s="175"/>
      <c r="L5" s="175"/>
      <c r="M5" s="175"/>
      <c r="N5" s="175"/>
      <c r="O5" s="175"/>
    </row>
    <row r="6" spans="1:19" ht="13.5" thickBot="1" x14ac:dyDescent="0.25">
      <c r="B6" s="3" t="s">
        <v>150</v>
      </c>
      <c r="O6" s="131"/>
    </row>
    <row r="7" spans="1:19" s="3" customFormat="1" x14ac:dyDescent="0.2">
      <c r="A7" s="216"/>
      <c r="B7" s="4"/>
      <c r="C7" s="5" t="s">
        <v>2</v>
      </c>
      <c r="D7" s="174" t="s">
        <v>132</v>
      </c>
      <c r="E7" s="208" t="s">
        <v>99</v>
      </c>
      <c r="F7" s="6" t="s">
        <v>4</v>
      </c>
      <c r="G7" s="79" t="s">
        <v>5</v>
      </c>
      <c r="H7" s="6" t="s">
        <v>4</v>
      </c>
      <c r="I7" s="79" t="s">
        <v>5</v>
      </c>
      <c r="J7" s="6" t="s">
        <v>4</v>
      </c>
      <c r="K7" s="79" t="s">
        <v>5</v>
      </c>
      <c r="L7" s="6" t="s">
        <v>4</v>
      </c>
      <c r="M7" s="79" t="s">
        <v>5</v>
      </c>
      <c r="N7" s="6" t="s">
        <v>4</v>
      </c>
      <c r="O7" s="223" t="s">
        <v>417</v>
      </c>
      <c r="P7" s="79" t="s">
        <v>2</v>
      </c>
      <c r="Q7" s="169" t="s">
        <v>415</v>
      </c>
      <c r="R7" s="474" t="s">
        <v>364</v>
      </c>
      <c r="S7" s="474" t="s">
        <v>196</v>
      </c>
    </row>
    <row r="8" spans="1:19" s="3" customFormat="1" ht="13.5" thickBot="1" x14ac:dyDescent="0.25">
      <c r="A8" s="217"/>
      <c r="B8" s="7"/>
      <c r="C8" s="8">
        <v>2018</v>
      </c>
      <c r="D8" s="8">
        <v>2018</v>
      </c>
      <c r="E8" s="209" t="s">
        <v>94</v>
      </c>
      <c r="F8" s="82"/>
      <c r="G8" s="80" t="s">
        <v>401</v>
      </c>
      <c r="H8" s="9" t="s">
        <v>6</v>
      </c>
      <c r="I8" s="80" t="s">
        <v>404</v>
      </c>
      <c r="J8" s="9" t="s">
        <v>6</v>
      </c>
      <c r="K8" s="80" t="s">
        <v>405</v>
      </c>
      <c r="L8" s="9" t="s">
        <v>6</v>
      </c>
      <c r="M8" s="80" t="s">
        <v>406</v>
      </c>
      <c r="N8" s="9" t="s">
        <v>6</v>
      </c>
      <c r="O8" s="168" t="s">
        <v>418</v>
      </c>
      <c r="P8" s="166">
        <v>2019</v>
      </c>
      <c r="Q8" s="9" t="s">
        <v>416</v>
      </c>
      <c r="R8" s="475" t="s">
        <v>356</v>
      </c>
      <c r="S8" s="475" t="s">
        <v>446</v>
      </c>
    </row>
    <row r="9" spans="1:19" x14ac:dyDescent="0.2">
      <c r="A9" s="218"/>
      <c r="B9" s="102" t="s">
        <v>7</v>
      </c>
      <c r="C9" s="10">
        <f>příjmy!F157</f>
        <v>91121</v>
      </c>
      <c r="D9" s="16">
        <f>+příjmy!G157</f>
        <v>0</v>
      </c>
      <c r="E9" s="228">
        <f>SUM(C9:D9)</f>
        <v>91121</v>
      </c>
      <c r="F9" s="83">
        <f>C9/C13</f>
        <v>0.57969806663400913</v>
      </c>
      <c r="G9" s="10">
        <f>+příjmy!I157</f>
        <v>24922.761000000002</v>
      </c>
      <c r="H9" s="11">
        <f>G9/$E9*100</f>
        <v>27.351281263375078</v>
      </c>
      <c r="I9" s="10">
        <f>+příjmy!K157</f>
        <v>48993.236389999998</v>
      </c>
      <c r="J9" s="11">
        <f>I9/$E9*100</f>
        <v>53.767228619088904</v>
      </c>
      <c r="K9" s="10">
        <f>příjmy!M157</f>
        <v>71196.877260000008</v>
      </c>
      <c r="L9" s="11">
        <f t="shared" ref="L9:L16" si="0">K9/$E9*100</f>
        <v>78.134433621228922</v>
      </c>
      <c r="M9" s="10">
        <f>+příjmy!O157</f>
        <v>95464.905759999994</v>
      </c>
      <c r="N9" s="11">
        <f t="shared" ref="N9:N16" si="1">M9/$E9*100</f>
        <v>104.767184030026</v>
      </c>
      <c r="O9" s="233">
        <f>M9-E9</f>
        <v>4343.9057599999942</v>
      </c>
      <c r="P9" s="228">
        <f>+příjmy!U157</f>
        <v>93221</v>
      </c>
      <c r="Q9" s="170">
        <f t="shared" ref="Q9:Q16" si="2">P9/C9</f>
        <v>1.0230462791233634</v>
      </c>
      <c r="R9" s="373">
        <f>příjmy!S157</f>
        <v>94876.741333333339</v>
      </c>
      <c r="S9" s="373">
        <f>R9-E9</f>
        <v>3755.7413333333388</v>
      </c>
    </row>
    <row r="10" spans="1:19" x14ac:dyDescent="0.2">
      <c r="A10" s="218"/>
      <c r="B10" s="102" t="s">
        <v>8</v>
      </c>
      <c r="C10" s="10">
        <f>příjmy!F158</f>
        <v>27406</v>
      </c>
      <c r="D10" s="16">
        <f>+příjmy!G158</f>
        <v>2399.9128100000003</v>
      </c>
      <c r="E10" s="228">
        <f>SUM(C10:D10)</f>
        <v>29805.912810000002</v>
      </c>
      <c r="F10" s="83">
        <f>C10/C13</f>
        <v>0.17435284088378811</v>
      </c>
      <c r="G10" s="10">
        <f>+příjmy!I158</f>
        <v>6101.8324700000003</v>
      </c>
      <c r="H10" s="11">
        <f t="shared" ref="H10:H15" si="3">G10/$E10*100</f>
        <v>20.471885927119839</v>
      </c>
      <c r="I10" s="10">
        <f>+příjmy!K158</f>
        <v>11214.487970000002</v>
      </c>
      <c r="J10" s="11">
        <f t="shared" ref="J10:J15" si="4">I10/$E10*100</f>
        <v>37.625044538939598</v>
      </c>
      <c r="K10" s="10">
        <f>příjmy!M158</f>
        <v>24341.411599999999</v>
      </c>
      <c r="L10" s="11">
        <f t="shared" si="0"/>
        <v>81.666385308063312</v>
      </c>
      <c r="M10" s="10">
        <f>+příjmy!O158</f>
        <v>30140.540660000002</v>
      </c>
      <c r="N10" s="11">
        <f t="shared" si="1"/>
        <v>101.12268948826735</v>
      </c>
      <c r="O10" s="233">
        <f t="shared" ref="O10:O18" si="5">M10-E10</f>
        <v>334.62785000000076</v>
      </c>
      <c r="P10" s="228">
        <f>+příjmy!U158</f>
        <v>27393</v>
      </c>
      <c r="Q10" s="170">
        <f t="shared" si="2"/>
        <v>0.99952565131722981</v>
      </c>
      <c r="R10" s="373">
        <f>příjmy!S158</f>
        <v>29412.10550666667</v>
      </c>
      <c r="S10" s="373">
        <f>R10-E10</f>
        <v>-393.80730333333122</v>
      </c>
    </row>
    <row r="11" spans="1:19" x14ac:dyDescent="0.2">
      <c r="A11" s="218"/>
      <c r="B11" s="102" t="s">
        <v>9</v>
      </c>
      <c r="C11" s="10">
        <f>příjmy!F161</f>
        <v>8150</v>
      </c>
      <c r="D11" s="16">
        <f>+příjmy!G161</f>
        <v>0</v>
      </c>
      <c r="E11" s="228">
        <f>SUM(C11:D11)</f>
        <v>8150</v>
      </c>
      <c r="F11" s="83">
        <f>C11/C13</f>
        <v>5.1849071488100161E-2</v>
      </c>
      <c r="G11" s="10">
        <f>+příjmy!I161</f>
        <v>493.57299999999998</v>
      </c>
      <c r="H11" s="11">
        <f t="shared" si="3"/>
        <v>6.0561104294478518</v>
      </c>
      <c r="I11" s="10">
        <f>+příjmy!K161</f>
        <v>1123.6559999999999</v>
      </c>
      <c r="J11" s="11">
        <f t="shared" si="4"/>
        <v>13.787190184049077</v>
      </c>
      <c r="K11" s="10">
        <f>příjmy!M161</f>
        <v>1763.8679999999999</v>
      </c>
      <c r="L11" s="11">
        <f t="shared" si="0"/>
        <v>21.642552147239265</v>
      </c>
      <c r="M11" s="10">
        <f>+příjmy!O161</f>
        <v>2792.8789999999999</v>
      </c>
      <c r="N11" s="11">
        <f t="shared" si="1"/>
        <v>34.268453987730055</v>
      </c>
      <c r="O11" s="233">
        <f t="shared" si="5"/>
        <v>-5357.1210000000001</v>
      </c>
      <c r="P11" s="228">
        <f>+příjmy!U161</f>
        <v>13558</v>
      </c>
      <c r="Q11" s="170">
        <f t="shared" si="2"/>
        <v>1.663558282208589</v>
      </c>
      <c r="R11" s="373">
        <f>příjmy!S110</f>
        <v>2794.8450000000003</v>
      </c>
      <c r="S11" s="373">
        <f>R11-E11</f>
        <v>-5355.1549999999997</v>
      </c>
    </row>
    <row r="12" spans="1:19" x14ac:dyDescent="0.2">
      <c r="A12" s="218"/>
      <c r="B12" s="102" t="s">
        <v>10</v>
      </c>
      <c r="C12" s="10">
        <f>příjmy!F159+příjmy!F162</f>
        <v>30510</v>
      </c>
      <c r="D12" s="16">
        <f>+příjmy!G159+příjmy!G162</f>
        <v>28103.721390000002</v>
      </c>
      <c r="E12" s="228">
        <f>SUM(C12:D12)</f>
        <v>58613.721390000006</v>
      </c>
      <c r="F12" s="83">
        <f>C12/C13</f>
        <v>0.19410002099410256</v>
      </c>
      <c r="G12" s="10">
        <f>+příjmy!I159+příjmy!I162</f>
        <v>12168.463079999998</v>
      </c>
      <c r="H12" s="11">
        <f t="shared" si="3"/>
        <v>20.760434231831663</v>
      </c>
      <c r="I12" s="10">
        <f>+příjmy!K159+příjmy!K162</f>
        <v>21751.812880000005</v>
      </c>
      <c r="J12" s="11">
        <f t="shared" si="4"/>
        <v>37.110445070138553</v>
      </c>
      <c r="K12" s="10">
        <f>příjmy!M159+příjmy!M162</f>
        <v>33567.593480000003</v>
      </c>
      <c r="L12" s="11">
        <f t="shared" si="0"/>
        <v>57.269172958069369</v>
      </c>
      <c r="M12" s="10">
        <f>+příjmy!O159+příjmy!O162</f>
        <v>58635.214870000011</v>
      </c>
      <c r="N12" s="11">
        <f t="shared" si="1"/>
        <v>100.03666970717828</v>
      </c>
      <c r="O12" s="233">
        <f t="shared" si="5"/>
        <v>21.493480000004638</v>
      </c>
      <c r="P12" s="228">
        <f>+příjmy!U159+příjmy!U162</f>
        <v>44305</v>
      </c>
      <c r="Q12" s="170">
        <f t="shared" si="2"/>
        <v>1.4521468371025894</v>
      </c>
      <c r="R12" s="373">
        <f>příjmy!S159+příjmy!S162</f>
        <v>58585.406156666679</v>
      </c>
      <c r="S12" s="373">
        <f>R12-E12</f>
        <v>-28.315233333327342</v>
      </c>
    </row>
    <row r="13" spans="1:19" s="3" customFormat="1" x14ac:dyDescent="0.2">
      <c r="A13" s="219"/>
      <c r="B13" s="12" t="s">
        <v>11</v>
      </c>
      <c r="C13" s="13">
        <f>SUM(C9:C12)</f>
        <v>157187</v>
      </c>
      <c r="D13" s="92">
        <f>SUM(D9:D12)</f>
        <v>30503.634200000004</v>
      </c>
      <c r="E13" s="229">
        <f>SUM(E9:E12)</f>
        <v>187690.63420000003</v>
      </c>
      <c r="F13" s="84">
        <f>SUM(F9:F12)</f>
        <v>1</v>
      </c>
      <c r="G13" s="13">
        <f>SUM(G9:G12)</f>
        <v>43686.629549999998</v>
      </c>
      <c r="H13" s="14">
        <f>G13/$E13*100</f>
        <v>23.2758708159344</v>
      </c>
      <c r="I13" s="13">
        <f>SUM(I9:I12)</f>
        <v>83083.193240000008</v>
      </c>
      <c r="J13" s="14">
        <f>I13/$E13*100</f>
        <v>44.266030425081269</v>
      </c>
      <c r="K13" s="13">
        <f>SUM(K9:K12)</f>
        <v>130869.75034</v>
      </c>
      <c r="L13" s="14">
        <f t="shared" si="0"/>
        <v>69.726308346610068</v>
      </c>
      <c r="M13" s="13">
        <f>SUM(M9:M12)</f>
        <v>187033.54029</v>
      </c>
      <c r="N13" s="14">
        <f t="shared" si="1"/>
        <v>99.649905860886037</v>
      </c>
      <c r="O13" s="234">
        <f t="shared" si="5"/>
        <v>-657.09391000002506</v>
      </c>
      <c r="P13" s="229">
        <f>SUM(P9:P12)</f>
        <v>178477</v>
      </c>
      <c r="Q13" s="171">
        <f t="shared" si="2"/>
        <v>1.1354437707952947</v>
      </c>
      <c r="R13" s="374">
        <f>SUM(R9:R12)</f>
        <v>185669.09799666668</v>
      </c>
      <c r="S13" s="374">
        <f>SUM(S9:S12)</f>
        <v>-2021.5362033333195</v>
      </c>
    </row>
    <row r="14" spans="1:19" x14ac:dyDescent="0.2">
      <c r="A14" s="218"/>
      <c r="B14" s="102" t="s">
        <v>12</v>
      </c>
      <c r="C14" s="10">
        <f>+výdaje!E126</f>
        <v>141863</v>
      </c>
      <c r="D14" s="16">
        <f>+výdaje!H126</f>
        <v>10977.958250000001</v>
      </c>
      <c r="E14" s="228">
        <f>SUM(C14:D14)</f>
        <v>152840.95825</v>
      </c>
      <c r="F14" s="83">
        <f>C14/C16</f>
        <v>0.66197393410264904</v>
      </c>
      <c r="G14" s="10">
        <f>+výdaje!M126</f>
        <v>35808.278610000001</v>
      </c>
      <c r="H14" s="11">
        <f t="shared" si="3"/>
        <v>23.428457280036717</v>
      </c>
      <c r="I14" s="10">
        <f>+výdaje!Q126</f>
        <v>66843.14013</v>
      </c>
      <c r="J14" s="11">
        <f t="shared" si="4"/>
        <v>43.733787654396629</v>
      </c>
      <c r="K14" s="10">
        <f>výdaje!U126</f>
        <v>102494.68668000001</v>
      </c>
      <c r="L14" s="11">
        <f t="shared" si="0"/>
        <v>67.059699084293072</v>
      </c>
      <c r="M14" s="10">
        <f>+výdaje!Y126</f>
        <v>141517.18680999998</v>
      </c>
      <c r="N14" s="11">
        <f t="shared" si="1"/>
        <v>92.59114077165242</v>
      </c>
      <c r="O14" s="233">
        <f t="shared" si="5"/>
        <v>-11323.771440000011</v>
      </c>
      <c r="P14" s="228">
        <f>+výdaje!AD126</f>
        <v>139399</v>
      </c>
      <c r="Q14" s="170">
        <f t="shared" si="2"/>
        <v>0.9826311300339059</v>
      </c>
      <c r="R14" s="373">
        <f>výdaje!AP126</f>
        <v>148118.72744333334</v>
      </c>
      <c r="S14" s="373">
        <f>R14-E14</f>
        <v>-4722.2308066666592</v>
      </c>
    </row>
    <row r="15" spans="1:19" x14ac:dyDescent="0.2">
      <c r="A15" s="218"/>
      <c r="B15" s="102" t="s">
        <v>13</v>
      </c>
      <c r="C15" s="10">
        <f>+výdaje!F126</f>
        <v>72440</v>
      </c>
      <c r="D15" s="16">
        <f>+výdaje!I126</f>
        <v>17909.375950000001</v>
      </c>
      <c r="E15" s="228">
        <f>SUM(C15:D15)</f>
        <v>90349.375950000001</v>
      </c>
      <c r="F15" s="83">
        <f>C15/C16</f>
        <v>0.33802606589735096</v>
      </c>
      <c r="G15" s="10">
        <f>+výdaje!N126</f>
        <v>2778.0944899999995</v>
      </c>
      <c r="H15" s="11">
        <f t="shared" si="3"/>
        <v>3.0748352833531656</v>
      </c>
      <c r="I15" s="10">
        <f>+výdaje!R126</f>
        <v>25380.273020000001</v>
      </c>
      <c r="J15" s="11">
        <f t="shared" si="4"/>
        <v>28.0912543701969</v>
      </c>
      <c r="K15" s="10">
        <f>výdaje!V126</f>
        <v>54403.294499999996</v>
      </c>
      <c r="L15" s="11">
        <f t="shared" si="0"/>
        <v>60.214355581279463</v>
      </c>
      <c r="M15" s="10">
        <f>+výdaje!Z126</f>
        <v>78477.21060000002</v>
      </c>
      <c r="N15" s="11">
        <f t="shared" si="1"/>
        <v>86.859715161098478</v>
      </c>
      <c r="O15" s="233">
        <f t="shared" si="5"/>
        <v>-11872.165349999981</v>
      </c>
      <c r="P15" s="228">
        <f>+výdaje!AE126</f>
        <v>59432</v>
      </c>
      <c r="Q15" s="170">
        <f t="shared" si="2"/>
        <v>0.8204307012700166</v>
      </c>
      <c r="R15" s="373">
        <f>výdaje!AQ126</f>
        <v>84983.375950000001</v>
      </c>
      <c r="S15" s="373">
        <f>R15-E15</f>
        <v>-5366</v>
      </c>
    </row>
    <row r="16" spans="1:19" s="3" customFormat="1" x14ac:dyDescent="0.2">
      <c r="A16" s="219"/>
      <c r="B16" s="12" t="s">
        <v>14</v>
      </c>
      <c r="C16" s="13">
        <f>SUM(C14:C15)</f>
        <v>214303</v>
      </c>
      <c r="D16" s="92">
        <f>SUM(D14:D15)</f>
        <v>28887.334200000005</v>
      </c>
      <c r="E16" s="229">
        <f>SUM(E14:E15)</f>
        <v>243190.33419999998</v>
      </c>
      <c r="F16" s="84">
        <v>1</v>
      </c>
      <c r="G16" s="13">
        <f>SUM(G14:G15)</f>
        <v>38586.373099999997</v>
      </c>
      <c r="H16" s="14">
        <f>G16/$E16*100</f>
        <v>15.866737971693615</v>
      </c>
      <c r="I16" s="13">
        <f>SUM(I14:I15)</f>
        <v>92223.413150000008</v>
      </c>
      <c r="J16" s="14">
        <f>I16/$E16*100</f>
        <v>37.922318521983435</v>
      </c>
      <c r="K16" s="13">
        <f>SUM(K14:K15)</f>
        <v>156897.98118</v>
      </c>
      <c r="L16" s="14">
        <f t="shared" si="0"/>
        <v>64.516536685609765</v>
      </c>
      <c r="M16" s="13">
        <f>SUM(M14:M15)</f>
        <v>219994.39741000001</v>
      </c>
      <c r="N16" s="14">
        <f t="shared" si="1"/>
        <v>90.461817955756572</v>
      </c>
      <c r="O16" s="234">
        <f t="shared" si="5"/>
        <v>-23195.936789999978</v>
      </c>
      <c r="P16" s="229">
        <f>SUM(P14:P15)</f>
        <v>198831</v>
      </c>
      <c r="Q16" s="171">
        <f t="shared" si="2"/>
        <v>0.92780315721198492</v>
      </c>
      <c r="R16" s="374">
        <f>SUM(R14:R15)</f>
        <v>233102.10339333332</v>
      </c>
      <c r="S16" s="374">
        <f>SUM(S14:S15)</f>
        <v>-10088.230806666659</v>
      </c>
    </row>
    <row r="17" spans="1:19" x14ac:dyDescent="0.2">
      <c r="A17" s="218"/>
      <c r="B17" s="102"/>
      <c r="C17" s="10"/>
      <c r="D17" s="93"/>
      <c r="E17" s="228"/>
      <c r="F17" s="85"/>
      <c r="G17" s="10"/>
      <c r="H17" s="14"/>
      <c r="I17" s="10"/>
      <c r="J17" s="14"/>
      <c r="K17" s="10"/>
      <c r="L17" s="14"/>
      <c r="M17" s="10"/>
      <c r="N17" s="14"/>
      <c r="O17" s="164"/>
      <c r="P17" s="10"/>
      <c r="Q17" s="74"/>
      <c r="R17" s="373"/>
      <c r="S17" s="373"/>
    </row>
    <row r="18" spans="1:19" s="3" customFormat="1" x14ac:dyDescent="0.2">
      <c r="A18" s="219"/>
      <c r="B18" s="12" t="s">
        <v>15</v>
      </c>
      <c r="C18" s="13">
        <f>C13-C16</f>
        <v>-57116</v>
      </c>
      <c r="D18" s="13">
        <f>D13-D16</f>
        <v>1616.2999999999993</v>
      </c>
      <c r="E18" s="229">
        <f>E13-E16</f>
        <v>-55499.699999999953</v>
      </c>
      <c r="F18" s="86"/>
      <c r="G18" s="13">
        <f>G13-G16</f>
        <v>5100.2564500000008</v>
      </c>
      <c r="H18" s="14"/>
      <c r="I18" s="13">
        <f>I13-I16</f>
        <v>-9140.2199099999998</v>
      </c>
      <c r="J18" s="11"/>
      <c r="K18" s="13">
        <f>K13-K16</f>
        <v>-26028.230840000004</v>
      </c>
      <c r="L18" s="11"/>
      <c r="M18" s="13">
        <f>M13-M16</f>
        <v>-32960.857120000001</v>
      </c>
      <c r="N18" s="11"/>
      <c r="O18" s="234">
        <f t="shared" si="5"/>
        <v>22538.842879999953</v>
      </c>
      <c r="P18" s="229">
        <f>P13-P16</f>
        <v>-20354</v>
      </c>
      <c r="Q18" s="73"/>
      <c r="R18" s="373">
        <f>R13-R16</f>
        <v>-47433.005396666646</v>
      </c>
      <c r="S18" s="373">
        <f>R18-J18</f>
        <v>-47433.005396666646</v>
      </c>
    </row>
    <row r="19" spans="1:19" x14ac:dyDescent="0.2">
      <c r="A19" s="218"/>
      <c r="B19" s="102"/>
      <c r="C19" s="10"/>
      <c r="D19" s="93"/>
      <c r="E19" s="228"/>
      <c r="F19" s="85"/>
      <c r="G19" s="10"/>
      <c r="H19" s="14"/>
      <c r="I19" s="10"/>
      <c r="J19" s="14"/>
      <c r="K19" s="10"/>
      <c r="L19" s="14"/>
      <c r="M19" s="10"/>
      <c r="N19" s="14"/>
      <c r="O19" s="164"/>
      <c r="P19" s="10"/>
      <c r="Q19" s="74"/>
      <c r="R19" s="373"/>
      <c r="S19" s="373"/>
    </row>
    <row r="20" spans="1:19" s="3" customFormat="1" x14ac:dyDescent="0.2">
      <c r="A20" s="220" t="s">
        <v>16</v>
      </c>
      <c r="B20" s="12" t="s">
        <v>17</v>
      </c>
      <c r="C20" s="13"/>
      <c r="D20" s="94"/>
      <c r="E20" s="229"/>
      <c r="F20" s="86"/>
      <c r="G20" s="13"/>
      <c r="H20" s="14"/>
      <c r="I20" s="13"/>
      <c r="J20" s="14"/>
      <c r="K20" s="13"/>
      <c r="L20" s="14"/>
      <c r="M20" s="13"/>
      <c r="N20" s="14"/>
      <c r="O20" s="164"/>
      <c r="P20" s="13"/>
      <c r="Q20" s="73"/>
      <c r="R20" s="373"/>
      <c r="S20" s="373"/>
    </row>
    <row r="21" spans="1:19" x14ac:dyDescent="0.2">
      <c r="A21" s="218">
        <v>8124</v>
      </c>
      <c r="B21" s="102" t="s">
        <v>429</v>
      </c>
      <c r="C21" s="154">
        <v>0</v>
      </c>
      <c r="D21" s="165">
        <v>-1616.3</v>
      </c>
      <c r="E21" s="228">
        <f>SUM(C21:D21)</f>
        <v>-1616.3</v>
      </c>
      <c r="F21" s="85"/>
      <c r="G21" s="10"/>
      <c r="H21" s="11"/>
      <c r="I21" s="10">
        <v>-536.64599999999996</v>
      </c>
      <c r="J21" s="11">
        <f>I21/$E21*100</f>
        <v>33.202128317762792</v>
      </c>
      <c r="K21" s="10">
        <v>-1075.405</v>
      </c>
      <c r="L21" s="11">
        <f>K21/$E21*100</f>
        <v>66.534987316710996</v>
      </c>
      <c r="M21" s="10">
        <v>-1616.288</v>
      </c>
      <c r="N21" s="11">
        <f>M21/$E21*100</f>
        <v>99.99925756357112</v>
      </c>
      <c r="O21" s="261"/>
      <c r="P21" s="154">
        <v>-2185</v>
      </c>
      <c r="Q21" s="170"/>
      <c r="R21" s="373">
        <f>E21</f>
        <v>-1616.3</v>
      </c>
      <c r="S21" s="373">
        <f>R21-E21</f>
        <v>0</v>
      </c>
    </row>
    <row r="22" spans="1:19" x14ac:dyDescent="0.2">
      <c r="A22" s="221"/>
      <c r="B22" s="102"/>
      <c r="C22" s="154"/>
      <c r="D22" s="16"/>
      <c r="E22" s="228"/>
      <c r="F22" s="85"/>
      <c r="G22" s="10"/>
      <c r="H22" s="11"/>
      <c r="I22" s="10"/>
      <c r="J22" s="11"/>
      <c r="K22" s="10"/>
      <c r="L22" s="11"/>
      <c r="M22" s="10"/>
      <c r="N22" s="11"/>
      <c r="O22" s="255"/>
      <c r="P22" s="154"/>
      <c r="Q22" s="170"/>
      <c r="R22" s="373">
        <f>SUM(Q22:Q22)</f>
        <v>0</v>
      </c>
      <c r="S22" s="373">
        <f>R22-E22</f>
        <v>0</v>
      </c>
    </row>
    <row r="23" spans="1:19" x14ac:dyDescent="0.2">
      <c r="A23" s="218">
        <v>8113</v>
      </c>
      <c r="B23" s="102" t="s">
        <v>340</v>
      </c>
      <c r="C23" s="16"/>
      <c r="D23" s="16">
        <f>24000-24000</f>
        <v>0</v>
      </c>
      <c r="E23" s="228">
        <f>SUM(C23:D23)</f>
        <v>0</v>
      </c>
      <c r="F23" s="85"/>
      <c r="G23" s="16"/>
      <c r="H23" s="11"/>
      <c r="I23" s="16">
        <v>0</v>
      </c>
      <c r="J23" s="11"/>
      <c r="K23" s="16">
        <v>0</v>
      </c>
      <c r="L23" s="11"/>
      <c r="M23" s="16">
        <v>0</v>
      </c>
      <c r="N23" s="11"/>
      <c r="O23" s="164"/>
      <c r="P23" s="16">
        <v>0</v>
      </c>
      <c r="Q23" s="74"/>
      <c r="R23" s="508">
        <v>0</v>
      </c>
      <c r="S23" s="373">
        <f>R23-E23</f>
        <v>0</v>
      </c>
    </row>
    <row r="24" spans="1:19" x14ac:dyDescent="0.2">
      <c r="A24" s="218"/>
      <c r="B24" s="102"/>
      <c r="C24" s="17"/>
      <c r="D24" s="16"/>
      <c r="E24" s="228"/>
      <c r="F24" s="85"/>
      <c r="G24" s="17"/>
      <c r="H24" s="11"/>
      <c r="I24" s="17"/>
      <c r="J24" s="11"/>
      <c r="K24" s="17"/>
      <c r="L24" s="11"/>
      <c r="M24" s="17"/>
      <c r="N24" s="11"/>
      <c r="O24" s="164"/>
      <c r="P24" s="17"/>
      <c r="Q24" s="74"/>
      <c r="R24" s="373">
        <f>SUM(Q24:Q24)</f>
        <v>0</v>
      </c>
      <c r="S24" s="373">
        <f>R24-E24</f>
        <v>0</v>
      </c>
    </row>
    <row r="25" spans="1:19" x14ac:dyDescent="0.2">
      <c r="A25" s="218">
        <v>8115</v>
      </c>
      <c r="B25" s="102" t="s">
        <v>494</v>
      </c>
      <c r="C25" s="154">
        <v>57116</v>
      </c>
      <c r="D25" s="16"/>
      <c r="E25" s="228">
        <f>SUM(C25:D25)</f>
        <v>57116</v>
      </c>
      <c r="F25" s="85"/>
      <c r="G25" s="10">
        <f>E25/4</f>
        <v>14279</v>
      </c>
      <c r="H25" s="11">
        <f>G25/$E25*100</f>
        <v>25</v>
      </c>
      <c r="I25" s="10">
        <f>C25/2</f>
        <v>28558</v>
      </c>
      <c r="J25" s="11">
        <f>I25/$E25*100</f>
        <v>50</v>
      </c>
      <c r="K25" s="10">
        <f>E25/4*3</f>
        <v>42837</v>
      </c>
      <c r="L25" s="11">
        <f>K25/$E25*100</f>
        <v>75</v>
      </c>
      <c r="M25" s="10">
        <v>57116</v>
      </c>
      <c r="N25" s="11">
        <f>M25/$E25*100</f>
        <v>100</v>
      </c>
      <c r="O25" s="164"/>
      <c r="P25" s="154">
        <v>22539</v>
      </c>
      <c r="Q25" s="133"/>
      <c r="R25" s="373">
        <v>57116</v>
      </c>
      <c r="S25" s="373">
        <f>R25-E25</f>
        <v>0</v>
      </c>
    </row>
    <row r="26" spans="1:19" x14ac:dyDescent="0.2">
      <c r="A26" s="218"/>
      <c r="B26" s="102"/>
      <c r="C26" s="10"/>
      <c r="D26" s="165"/>
      <c r="E26" s="228"/>
      <c r="F26" s="85"/>
      <c r="G26" s="10"/>
      <c r="H26" s="14"/>
      <c r="I26" s="10"/>
      <c r="J26" s="14"/>
      <c r="K26" s="10"/>
      <c r="L26" s="14"/>
      <c r="M26" s="10"/>
      <c r="N26" s="14"/>
      <c r="O26" s="164"/>
      <c r="P26" s="154"/>
      <c r="Q26" s="74"/>
      <c r="R26" s="373"/>
      <c r="S26" s="373"/>
    </row>
    <row r="27" spans="1:19" x14ac:dyDescent="0.2">
      <c r="A27" s="218">
        <v>8115</v>
      </c>
      <c r="B27" s="12" t="s">
        <v>134</v>
      </c>
      <c r="C27" s="92">
        <f>-C21-C23+C29-C25-C22</f>
        <v>0</v>
      </c>
      <c r="D27" s="500">
        <f>-D21-D23+D29-D25-D22</f>
        <v>6.8212102632969618E-13</v>
      </c>
      <c r="E27" s="92">
        <f>-E21-E23+E29-E25-E22</f>
        <v>-4.3655745685100555E-11</v>
      </c>
      <c r="F27" s="85"/>
      <c r="G27" s="92">
        <f>-G21-G23+G29-G25-G22</f>
        <v>-19379.256450000001</v>
      </c>
      <c r="H27" s="85"/>
      <c r="I27" s="92">
        <f>-I21-I23+I29-I25-I22</f>
        <v>-18881.13409</v>
      </c>
      <c r="J27" s="85"/>
      <c r="K27" s="92">
        <f>-K21-K23+K29-K25-K22</f>
        <v>-15733.364159999997</v>
      </c>
      <c r="L27" s="85"/>
      <c r="M27" s="92">
        <f>-M21-M23+M29-M25-M22</f>
        <v>-22538.854879999999</v>
      </c>
      <c r="N27" s="85"/>
      <c r="O27" s="164"/>
      <c r="P27" s="92">
        <f>-P21-P23+P29-P25-P22</f>
        <v>0</v>
      </c>
      <c r="Q27" s="74"/>
      <c r="R27" s="374">
        <f>-R21-R23+R29-R25-R22</f>
        <v>-8066.6946033333516</v>
      </c>
      <c r="S27" s="373">
        <f>J27-R27</f>
        <v>8066.6946033333516</v>
      </c>
    </row>
    <row r="28" spans="1:19" s="3" customFormat="1" x14ac:dyDescent="0.2">
      <c r="A28" s="219"/>
      <c r="B28" s="102"/>
      <c r="C28" s="13"/>
      <c r="D28" s="18"/>
      <c r="E28" s="230"/>
      <c r="F28" s="87"/>
      <c r="G28" s="13"/>
      <c r="H28" s="14"/>
      <c r="I28" s="13"/>
      <c r="J28" s="14"/>
      <c r="K28" s="13"/>
      <c r="L28" s="14"/>
      <c r="M28" s="13"/>
      <c r="N28" s="14"/>
      <c r="O28" s="164"/>
      <c r="P28" s="13"/>
      <c r="Q28" s="73"/>
      <c r="R28" s="373"/>
      <c r="S28" s="373"/>
    </row>
    <row r="29" spans="1:19" ht="13.5" thickBot="1" x14ac:dyDescent="0.25">
      <c r="A29" s="222"/>
      <c r="B29" s="129" t="s">
        <v>18</v>
      </c>
      <c r="C29" s="81">
        <f>-C18</f>
        <v>57116</v>
      </c>
      <c r="D29" s="180">
        <f>-D18</f>
        <v>-1616.2999999999993</v>
      </c>
      <c r="E29" s="231">
        <f>-E18</f>
        <v>55499.699999999953</v>
      </c>
      <c r="F29" s="88"/>
      <c r="G29" s="81">
        <f>-G18</f>
        <v>-5100.2564500000008</v>
      </c>
      <c r="H29" s="19"/>
      <c r="I29" s="81">
        <f>-I18</f>
        <v>9140.2199099999998</v>
      </c>
      <c r="J29" s="19"/>
      <c r="K29" s="81">
        <f>-K18</f>
        <v>26028.230840000004</v>
      </c>
      <c r="L29" s="19"/>
      <c r="M29" s="81">
        <f>-M18</f>
        <v>32960.857120000001</v>
      </c>
      <c r="N29" s="19"/>
      <c r="O29" s="167"/>
      <c r="P29" s="81">
        <f>-P18</f>
        <v>20354</v>
      </c>
      <c r="Q29" s="172"/>
      <c r="R29" s="476">
        <f>-R18</f>
        <v>47433.005396666646</v>
      </c>
      <c r="S29" s="476">
        <f>R29-J29</f>
        <v>47433.005396666646</v>
      </c>
    </row>
    <row r="30" spans="1:19" x14ac:dyDescent="0.2">
      <c r="C30" s="20"/>
      <c r="E30" s="66"/>
      <c r="F30" s="21"/>
      <c r="G30" s="21"/>
      <c r="H30" s="21"/>
      <c r="I30" s="21"/>
      <c r="J30" s="21"/>
      <c r="K30" s="21"/>
      <c r="L30" s="21"/>
      <c r="M30" s="21"/>
      <c r="N30" s="21"/>
      <c r="P30" s="21"/>
    </row>
    <row r="31" spans="1:19" x14ac:dyDescent="0.2">
      <c r="B31" s="350"/>
      <c r="C31" s="335"/>
      <c r="D31" s="117"/>
      <c r="E31" s="148"/>
      <c r="F31" s="349"/>
      <c r="G31" s="117"/>
      <c r="H31" s="117"/>
      <c r="I31" s="117"/>
      <c r="J31" s="117"/>
      <c r="K31" s="117"/>
      <c r="L31" s="117"/>
      <c r="M31" s="117"/>
      <c r="N31" s="117"/>
      <c r="O31" s="117"/>
      <c r="P31" s="519"/>
    </row>
    <row r="32" spans="1:19" ht="15" customHeight="1" x14ac:dyDescent="0.2">
      <c r="D32" s="98"/>
      <c r="E32" s="450"/>
      <c r="F32" s="349"/>
      <c r="G32" s="117"/>
      <c r="H32" s="117"/>
      <c r="I32" s="117"/>
      <c r="J32" s="117"/>
      <c r="K32" s="117"/>
      <c r="L32" s="117"/>
      <c r="M32" s="117"/>
      <c r="N32" s="117"/>
      <c r="O32" s="117"/>
      <c r="P32" s="519"/>
    </row>
    <row r="33" spans="1:16" x14ac:dyDescent="0.2">
      <c r="A33" s="617" t="s">
        <v>578</v>
      </c>
      <c r="B33" s="350"/>
      <c r="C33" s="98"/>
      <c r="D33" s="98"/>
      <c r="E33" s="450"/>
      <c r="F33" s="349"/>
      <c r="G33" s="117"/>
      <c r="H33" s="117"/>
      <c r="I33" s="117"/>
      <c r="J33" s="117"/>
      <c r="K33" s="117"/>
      <c r="L33" s="117"/>
      <c r="M33" s="117"/>
      <c r="N33" s="117"/>
      <c r="O33" s="117" t="s">
        <v>576</v>
      </c>
      <c r="P33" s="148"/>
    </row>
    <row r="34" spans="1:16" x14ac:dyDescent="0.2">
      <c r="B34" s="350"/>
      <c r="C34" s="502"/>
      <c r="D34" s="502"/>
      <c r="E34" s="515"/>
      <c r="F34" s="349"/>
      <c r="G34" s="117"/>
      <c r="H34" s="117"/>
      <c r="I34" s="117"/>
      <c r="J34" s="117"/>
      <c r="K34" s="117"/>
      <c r="L34" s="117"/>
      <c r="M34" s="117"/>
      <c r="N34" s="117"/>
      <c r="O34" s="117" t="s">
        <v>577</v>
      </c>
      <c r="P34" s="117"/>
    </row>
    <row r="35" spans="1:16" x14ac:dyDescent="0.2">
      <c r="B35" s="350"/>
      <c r="C35" s="335"/>
      <c r="D35" s="117"/>
      <c r="E35" s="515"/>
      <c r="F35" s="349"/>
      <c r="G35" s="117"/>
      <c r="H35" s="117"/>
      <c r="I35" s="117"/>
      <c r="J35" s="117"/>
      <c r="K35" s="117"/>
      <c r="L35" s="117"/>
      <c r="M35" s="117"/>
      <c r="N35" s="117"/>
      <c r="O35" s="117"/>
      <c r="P35" s="117"/>
    </row>
    <row r="36" spans="1:16" x14ac:dyDescent="0.2">
      <c r="B36" s="350"/>
      <c r="C36" s="335"/>
      <c r="D36" s="117"/>
      <c r="E36" s="515"/>
      <c r="F36" s="349"/>
      <c r="G36" s="117"/>
      <c r="H36" s="117"/>
      <c r="I36" s="117"/>
      <c r="J36" s="117"/>
      <c r="K36" s="117"/>
      <c r="L36" s="117"/>
      <c r="M36" s="117"/>
      <c r="N36" s="117"/>
      <c r="O36" s="117"/>
      <c r="P36" s="117"/>
    </row>
    <row r="37" spans="1:16" x14ac:dyDescent="0.2">
      <c r="B37" s="350"/>
      <c r="C37" s="335"/>
      <c r="D37" s="117"/>
      <c r="E37" s="148"/>
      <c r="F37" s="349"/>
      <c r="G37" s="117"/>
      <c r="H37" s="117"/>
      <c r="I37" s="117"/>
      <c r="J37" s="117"/>
      <c r="K37" s="117"/>
      <c r="L37" s="117"/>
      <c r="M37" s="117"/>
      <c r="N37" s="117"/>
      <c r="O37" s="117"/>
      <c r="P37" s="117"/>
    </row>
    <row r="38" spans="1:16" x14ac:dyDescent="0.2">
      <c r="B38" s="350"/>
      <c r="C38" s="335"/>
      <c r="D38" s="117"/>
      <c r="E38" s="148"/>
      <c r="F38" s="349"/>
      <c r="G38" s="117"/>
      <c r="H38" s="117"/>
      <c r="I38" s="117"/>
      <c r="J38" s="117"/>
      <c r="K38" s="117"/>
      <c r="L38" s="117"/>
      <c r="M38" s="117"/>
      <c r="N38" s="117"/>
      <c r="O38" s="117"/>
      <c r="P38" s="117"/>
    </row>
    <row r="39" spans="1:16" x14ac:dyDescent="0.2">
      <c r="B39" s="350"/>
      <c r="C39" s="335"/>
      <c r="D39" s="117"/>
      <c r="E39" s="148"/>
      <c r="F39" s="349"/>
      <c r="G39" s="117"/>
      <c r="H39" s="117"/>
      <c r="I39" s="117"/>
      <c r="J39" s="117"/>
      <c r="K39" s="117"/>
      <c r="L39" s="117"/>
      <c r="M39" s="117"/>
      <c r="N39" s="117"/>
      <c r="O39" s="117"/>
      <c r="P39" s="117"/>
    </row>
    <row r="40" spans="1:16" x14ac:dyDescent="0.2">
      <c r="B40" s="351"/>
      <c r="C40" s="335"/>
      <c r="D40" s="117"/>
      <c r="E40" s="148"/>
      <c r="F40" s="349"/>
      <c r="G40" s="117"/>
      <c r="H40" s="117"/>
      <c r="I40" s="117"/>
      <c r="J40" s="117"/>
      <c r="K40" s="117"/>
      <c r="L40" s="117"/>
      <c r="M40" s="117"/>
      <c r="N40" s="117"/>
      <c r="O40" s="117"/>
      <c r="P40" s="117"/>
    </row>
    <row r="41" spans="1:16" x14ac:dyDescent="0.2">
      <c r="B41" s="351"/>
      <c r="C41" s="335"/>
      <c r="D41" s="117"/>
      <c r="E41" s="148"/>
      <c r="F41" s="349"/>
      <c r="G41" s="117"/>
      <c r="H41" s="117"/>
      <c r="I41" s="117"/>
      <c r="J41" s="117"/>
      <c r="K41" s="117"/>
      <c r="L41" s="117"/>
      <c r="M41" s="117"/>
      <c r="N41" s="117"/>
      <c r="O41" s="117"/>
      <c r="P41" s="117"/>
    </row>
    <row r="42" spans="1:16" x14ac:dyDescent="0.2">
      <c r="B42" s="350"/>
      <c r="C42" s="335"/>
      <c r="D42" s="117"/>
      <c r="E42" s="148"/>
      <c r="F42" s="349"/>
      <c r="G42" s="117"/>
      <c r="H42" s="117"/>
      <c r="I42" s="117"/>
      <c r="J42" s="117"/>
      <c r="K42" s="117"/>
      <c r="L42" s="117"/>
      <c r="M42" s="117"/>
      <c r="N42" s="117"/>
      <c r="O42" s="117"/>
      <c r="P42" s="117"/>
    </row>
    <row r="43" spans="1:16" x14ac:dyDescent="0.2">
      <c r="B43" s="350"/>
      <c r="C43" s="335"/>
      <c r="D43" s="117"/>
      <c r="E43" s="148"/>
      <c r="F43" s="349"/>
      <c r="G43" s="117"/>
      <c r="H43" s="117"/>
      <c r="I43" s="117"/>
      <c r="J43" s="117"/>
      <c r="K43" s="117"/>
      <c r="L43" s="117"/>
      <c r="M43" s="117"/>
      <c r="N43" s="117"/>
      <c r="O43" s="117"/>
      <c r="P43" s="117"/>
    </row>
    <row r="44" spans="1:16" x14ac:dyDescent="0.2">
      <c r="B44" s="350"/>
      <c r="C44" s="335"/>
      <c r="D44" s="117"/>
      <c r="E44" s="148"/>
      <c r="F44" s="349"/>
      <c r="G44" s="117"/>
      <c r="H44" s="117"/>
      <c r="I44" s="117"/>
      <c r="J44" s="117"/>
      <c r="K44" s="117"/>
      <c r="L44" s="117"/>
      <c r="M44" s="117"/>
      <c r="N44" s="117"/>
      <c r="O44" s="117"/>
      <c r="P44" s="117"/>
    </row>
    <row r="45" spans="1:16" x14ac:dyDescent="0.2">
      <c r="B45" s="350"/>
      <c r="C45" s="335"/>
      <c r="D45" s="117"/>
      <c r="E45" s="148"/>
      <c r="F45" s="349"/>
      <c r="G45" s="117"/>
      <c r="H45" s="117"/>
      <c r="I45" s="117"/>
      <c r="J45" s="117"/>
      <c r="K45" s="117"/>
      <c r="L45" s="117"/>
      <c r="M45" s="117"/>
      <c r="N45" s="117"/>
      <c r="O45" s="117"/>
      <c r="P45" s="117"/>
    </row>
    <row r="46" spans="1:16" x14ac:dyDescent="0.2">
      <c r="B46" s="350"/>
      <c r="C46" s="335"/>
      <c r="D46" s="117"/>
      <c r="E46" s="148"/>
      <c r="F46" s="349"/>
      <c r="G46" s="117"/>
      <c r="H46" s="117"/>
      <c r="I46" s="117"/>
      <c r="J46" s="117"/>
      <c r="K46" s="117"/>
      <c r="L46" s="117"/>
      <c r="M46" s="117"/>
      <c r="N46" s="117"/>
      <c r="O46" s="117"/>
      <c r="P46" s="117"/>
    </row>
    <row r="47" spans="1:16" x14ac:dyDescent="0.2">
      <c r="B47" s="350"/>
      <c r="C47" s="335"/>
      <c r="D47" s="117"/>
      <c r="E47" s="148"/>
      <c r="F47" s="349"/>
      <c r="G47" s="117"/>
      <c r="H47" s="117"/>
      <c r="I47" s="117"/>
      <c r="J47" s="117"/>
      <c r="K47" s="117"/>
      <c r="L47" s="117"/>
      <c r="M47" s="117"/>
      <c r="N47" s="117"/>
      <c r="O47" s="117"/>
      <c r="P47" s="117"/>
    </row>
    <row r="48" spans="1:16" x14ac:dyDescent="0.2">
      <c r="B48" s="350"/>
      <c r="C48" s="335"/>
      <c r="D48" s="117"/>
      <c r="E48" s="148"/>
      <c r="F48" s="349"/>
      <c r="G48" s="117"/>
      <c r="H48" s="117"/>
      <c r="I48" s="117"/>
      <c r="J48" s="117"/>
      <c r="K48" s="117"/>
      <c r="L48" s="117"/>
      <c r="M48" s="117"/>
      <c r="N48" s="117"/>
      <c r="O48" s="117"/>
      <c r="P48" s="117"/>
    </row>
    <row r="49" spans="2:16" x14ac:dyDescent="0.2">
      <c r="B49" s="350"/>
      <c r="C49" s="335"/>
      <c r="D49" s="117"/>
      <c r="E49" s="148"/>
      <c r="F49" s="349"/>
      <c r="G49" s="117"/>
      <c r="H49" s="117"/>
      <c r="I49" s="117"/>
      <c r="J49" s="117"/>
      <c r="K49" s="117"/>
      <c r="L49" s="117"/>
      <c r="M49" s="117"/>
      <c r="N49" s="117"/>
      <c r="O49" s="117"/>
      <c r="P49" s="117"/>
    </row>
    <row r="50" spans="2:16" x14ac:dyDescent="0.2">
      <c r="B50" s="350"/>
      <c r="C50" s="335"/>
      <c r="D50" s="117"/>
      <c r="E50" s="148"/>
      <c r="F50" s="349"/>
      <c r="G50" s="117"/>
      <c r="H50" s="117"/>
      <c r="I50" s="117"/>
      <c r="J50" s="117"/>
      <c r="K50" s="117"/>
      <c r="L50" s="117"/>
      <c r="M50" s="117"/>
      <c r="N50" s="117"/>
      <c r="O50" s="117"/>
      <c r="P50" s="117"/>
    </row>
    <row r="51" spans="2:16" x14ac:dyDescent="0.2">
      <c r="B51" s="350"/>
      <c r="C51" s="335"/>
      <c r="D51" s="117"/>
      <c r="E51" s="148"/>
      <c r="F51" s="349"/>
      <c r="G51" s="117"/>
      <c r="H51" s="117"/>
      <c r="I51" s="117"/>
      <c r="J51" s="117"/>
      <c r="K51" s="117"/>
      <c r="L51" s="117"/>
      <c r="M51" s="117"/>
      <c r="N51" s="117"/>
      <c r="O51" s="117"/>
      <c r="P51" s="117"/>
    </row>
    <row r="52" spans="2:16" x14ac:dyDescent="0.2">
      <c r="B52" s="350"/>
      <c r="C52" s="335"/>
      <c r="D52" s="117"/>
      <c r="E52" s="148"/>
      <c r="F52" s="349"/>
      <c r="G52" s="117"/>
      <c r="H52" s="117"/>
      <c r="I52" s="117"/>
      <c r="J52" s="117"/>
      <c r="K52" s="117"/>
      <c r="L52" s="117"/>
      <c r="M52" s="117"/>
      <c r="N52" s="117"/>
      <c r="O52" s="117"/>
      <c r="P52" s="117"/>
    </row>
    <row r="53" spans="2:16" x14ac:dyDescent="0.2">
      <c r="B53" s="351"/>
      <c r="C53" s="335"/>
      <c r="D53" s="117"/>
      <c r="E53" s="148"/>
      <c r="F53" s="349"/>
      <c r="G53" s="117"/>
      <c r="H53" s="117"/>
      <c r="I53" s="117"/>
      <c r="J53" s="117"/>
      <c r="K53" s="117"/>
      <c r="L53" s="117"/>
      <c r="M53" s="117"/>
      <c r="N53" s="117"/>
      <c r="O53" s="117"/>
      <c r="P53" s="117"/>
    </row>
    <row r="54" spans="2:16" x14ac:dyDescent="0.2">
      <c r="B54" s="351"/>
      <c r="C54" s="335"/>
      <c r="D54" s="117"/>
      <c r="E54" s="148"/>
      <c r="F54" s="349"/>
      <c r="G54" s="117"/>
      <c r="H54" s="117"/>
      <c r="I54" s="117"/>
      <c r="J54" s="117"/>
      <c r="K54" s="117"/>
      <c r="L54" s="117"/>
      <c r="M54" s="117"/>
      <c r="N54" s="117"/>
      <c r="O54" s="117"/>
      <c r="P54" s="117"/>
    </row>
    <row r="55" spans="2:16" x14ac:dyDescent="0.2">
      <c r="B55" s="351"/>
      <c r="C55" s="335"/>
      <c r="D55" s="117"/>
      <c r="E55" s="148"/>
      <c r="F55" s="349"/>
      <c r="G55" s="117"/>
      <c r="H55" s="117"/>
      <c r="I55" s="117"/>
      <c r="J55" s="117"/>
      <c r="K55" s="117"/>
      <c r="L55" s="117"/>
      <c r="M55" s="117"/>
      <c r="N55" s="117"/>
      <c r="O55" s="117"/>
      <c r="P55" s="117"/>
    </row>
    <row r="56" spans="2:16" x14ac:dyDescent="0.2">
      <c r="B56" s="351"/>
      <c r="C56" s="335"/>
      <c r="D56" s="117"/>
      <c r="E56" s="148"/>
      <c r="F56" s="349"/>
      <c r="G56" s="117"/>
      <c r="H56" s="117"/>
      <c r="I56" s="117"/>
      <c r="J56" s="117"/>
      <c r="K56" s="117"/>
      <c r="L56" s="117"/>
      <c r="M56" s="117"/>
      <c r="N56" s="117"/>
      <c r="O56" s="117"/>
      <c r="P56" s="117"/>
    </row>
    <row r="57" spans="2:16" x14ac:dyDescent="0.2">
      <c r="B57" s="351"/>
      <c r="C57" s="335"/>
      <c r="D57" s="117"/>
      <c r="E57" s="148"/>
      <c r="F57" s="349"/>
      <c r="G57" s="117"/>
      <c r="H57" s="117"/>
      <c r="I57" s="117"/>
      <c r="J57" s="117"/>
      <c r="K57" s="117"/>
      <c r="L57" s="117"/>
      <c r="M57" s="117"/>
      <c r="N57" s="117"/>
      <c r="O57" s="117"/>
      <c r="P57" s="117"/>
    </row>
    <row r="58" spans="2:16" x14ac:dyDescent="0.2">
      <c r="B58" s="351"/>
      <c r="C58" s="335"/>
      <c r="D58" s="117"/>
      <c r="E58" s="148"/>
      <c r="F58" s="349"/>
      <c r="G58" s="117"/>
      <c r="H58" s="117"/>
      <c r="I58" s="117"/>
      <c r="J58" s="117"/>
      <c r="K58" s="117"/>
      <c r="L58" s="117"/>
      <c r="M58" s="117"/>
      <c r="N58" s="117"/>
      <c r="O58" s="117"/>
      <c r="P58" s="117"/>
    </row>
    <row r="59" spans="2:16" x14ac:dyDescent="0.2">
      <c r="B59" s="351"/>
      <c r="C59" s="335"/>
      <c r="D59" s="117"/>
      <c r="E59" s="148"/>
      <c r="F59" s="349"/>
      <c r="G59" s="117"/>
      <c r="H59" s="117"/>
      <c r="I59" s="117"/>
      <c r="J59" s="117"/>
      <c r="K59" s="117"/>
      <c r="L59" s="117"/>
      <c r="M59" s="117"/>
      <c r="N59" s="117"/>
      <c r="O59" s="117"/>
      <c r="P59" s="117"/>
    </row>
    <row r="60" spans="2:16" x14ac:dyDescent="0.2">
      <c r="B60" s="351"/>
      <c r="C60" s="335"/>
      <c r="D60" s="117"/>
      <c r="E60" s="148"/>
      <c r="F60" s="349"/>
      <c r="G60" s="117"/>
      <c r="H60" s="117"/>
      <c r="I60" s="117"/>
      <c r="J60" s="117"/>
      <c r="K60" s="117"/>
      <c r="L60" s="117"/>
      <c r="M60" s="117"/>
      <c r="N60" s="117"/>
      <c r="O60" s="117"/>
      <c r="P60" s="117"/>
    </row>
    <row r="61" spans="2:16" x14ac:dyDescent="0.2">
      <c r="B61" s="351"/>
      <c r="C61" s="335"/>
      <c r="D61" s="117"/>
      <c r="E61" s="148"/>
      <c r="F61" s="349"/>
      <c r="G61" s="117"/>
      <c r="H61" s="117"/>
      <c r="I61" s="117"/>
      <c r="J61" s="117"/>
      <c r="K61" s="117"/>
      <c r="L61" s="117"/>
      <c r="M61" s="117"/>
      <c r="N61" s="117"/>
      <c r="O61" s="117"/>
      <c r="P61" s="117"/>
    </row>
    <row r="62" spans="2:16" x14ac:dyDescent="0.2">
      <c r="B62" s="351"/>
      <c r="C62" s="335"/>
      <c r="D62" s="117"/>
      <c r="E62" s="148"/>
      <c r="F62" s="349"/>
      <c r="G62" s="117"/>
      <c r="H62" s="117"/>
      <c r="I62" s="117"/>
      <c r="J62" s="117"/>
      <c r="K62" s="117"/>
      <c r="L62" s="117"/>
      <c r="M62" s="117"/>
      <c r="N62" s="117"/>
      <c r="O62" s="117"/>
      <c r="P62" s="117"/>
    </row>
    <row r="63" spans="2:16" x14ac:dyDescent="0.2">
      <c r="B63" s="117"/>
      <c r="C63" s="335"/>
      <c r="D63" s="117"/>
      <c r="E63" s="148"/>
      <c r="F63" s="335"/>
      <c r="G63" s="117"/>
      <c r="H63" s="117"/>
      <c r="I63" s="117"/>
      <c r="J63" s="117"/>
      <c r="K63" s="117"/>
      <c r="L63" s="117"/>
      <c r="M63" s="117"/>
      <c r="N63" s="117"/>
      <c r="O63" s="117"/>
      <c r="P63" s="117"/>
    </row>
  </sheetData>
  <phoneticPr fontId="6" type="noConversion"/>
  <pageMargins left="0.31496062992125984" right="0.27559055118110237" top="0.6692913385826772" bottom="0" header="0.35433070866141736" footer="0.27559055118110237"/>
  <pageSetup paperSize="9" scale="95" orientation="landscape" r:id="rId1"/>
  <headerFooter alignWithMargins="0">
    <oddHeader>&amp;R&amp;P. strana</oddHead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2"/>
  <dimension ref="A1:W178"/>
  <sheetViews>
    <sheetView zoomScaleNormal="100" workbookViewId="0">
      <pane ySplit="3" topLeftCell="A4" activePane="bottomLeft" state="frozen"/>
      <selection pane="bottomLeft" activeCell="R108" sqref="R108"/>
    </sheetView>
  </sheetViews>
  <sheetFormatPr defaultColWidth="7.85546875" defaultRowHeight="12.75" x14ac:dyDescent="0.2"/>
  <cols>
    <col min="1" max="1" width="4" style="95" customWidth="1"/>
    <col min="2" max="2" width="4.42578125" style="95" customWidth="1"/>
    <col min="3" max="4" width="5.28515625" style="95" customWidth="1"/>
    <col min="5" max="5" width="27.85546875" style="95" customWidth="1"/>
    <col min="6" max="6" width="7.7109375" style="113" customWidth="1"/>
    <col min="7" max="7" width="7.140625" style="113" customWidth="1"/>
    <col min="8" max="8" width="9.28515625" style="147" customWidth="1"/>
    <col min="9" max="9" width="6.7109375" style="113" hidden="1" customWidth="1"/>
    <col min="10" max="10" width="5.5703125" style="95" hidden="1" customWidth="1"/>
    <col min="11" max="11" width="8.42578125" style="113" hidden="1" customWidth="1"/>
    <col min="12" max="12" width="6.28515625" style="95" hidden="1" customWidth="1"/>
    <col min="13" max="13" width="8.140625" style="113" hidden="1" customWidth="1"/>
    <col min="14" max="14" width="5.85546875" style="95" hidden="1" customWidth="1"/>
    <col min="15" max="15" width="9.140625" style="113" customWidth="1"/>
    <col min="16" max="16" width="5.85546875" style="95" customWidth="1"/>
    <col min="17" max="17" width="7.28515625" style="182" customWidth="1"/>
    <col min="18" max="18" width="18.7109375" style="254" customWidth="1"/>
    <col min="19" max="19" width="7" style="182" hidden="1" customWidth="1"/>
    <col min="20" max="20" width="7.42578125" style="182" hidden="1" customWidth="1"/>
    <col min="21" max="21" width="7.42578125" style="113" customWidth="1"/>
    <col min="22" max="22" width="6.85546875" style="95" customWidth="1"/>
    <col min="23" max="23" width="7.42578125" style="95" customWidth="1"/>
    <col min="24" max="16384" width="7.85546875" style="95"/>
  </cols>
  <sheetData>
    <row r="1" spans="1:23" ht="18" x14ac:dyDescent="0.25">
      <c r="A1" s="105" t="s">
        <v>485</v>
      </c>
      <c r="B1" s="23"/>
      <c r="C1" s="106"/>
      <c r="D1" s="23"/>
      <c r="E1" s="23"/>
      <c r="F1" s="152"/>
      <c r="G1" s="152"/>
      <c r="H1" s="144"/>
      <c r="I1" s="152"/>
      <c r="J1" s="108"/>
      <c r="K1" s="152"/>
      <c r="L1" s="108"/>
      <c r="M1" s="152"/>
      <c r="N1" s="108"/>
      <c r="O1" s="152"/>
      <c r="P1" s="108"/>
      <c r="Q1" s="107"/>
      <c r="R1" s="235"/>
      <c r="S1" s="107"/>
      <c r="T1" s="107"/>
      <c r="U1" s="152"/>
      <c r="V1" s="108"/>
    </row>
    <row r="2" spans="1:23" x14ac:dyDescent="0.2">
      <c r="A2" s="24"/>
      <c r="B2" s="24"/>
      <c r="C2" s="24"/>
      <c r="D2" s="24"/>
      <c r="E2" s="24"/>
      <c r="F2" s="178" t="s">
        <v>2</v>
      </c>
      <c r="G2" s="178"/>
      <c r="H2" s="145" t="s">
        <v>99</v>
      </c>
      <c r="I2" s="178" t="s">
        <v>5</v>
      </c>
      <c r="J2" s="25" t="s">
        <v>5</v>
      </c>
      <c r="K2" s="178" t="s">
        <v>5</v>
      </c>
      <c r="L2" s="25" t="s">
        <v>5</v>
      </c>
      <c r="M2" s="178" t="s">
        <v>5</v>
      </c>
      <c r="N2" s="25" t="s">
        <v>5</v>
      </c>
      <c r="O2" s="178" t="s">
        <v>5</v>
      </c>
      <c r="P2" s="25" t="s">
        <v>5</v>
      </c>
      <c r="Q2" s="257" t="s">
        <v>196</v>
      </c>
      <c r="R2" s="236" t="s">
        <v>19</v>
      </c>
      <c r="S2" s="257" t="s">
        <v>274</v>
      </c>
      <c r="T2" s="257" t="s">
        <v>196</v>
      </c>
      <c r="U2" s="178"/>
      <c r="V2" s="25" t="s">
        <v>403</v>
      </c>
    </row>
    <row r="3" spans="1:23" ht="13.5" thickBot="1" x14ac:dyDescent="0.25">
      <c r="A3" s="26"/>
      <c r="B3" s="26" t="s">
        <v>20</v>
      </c>
      <c r="C3" s="27" t="s">
        <v>21</v>
      </c>
      <c r="D3" s="26" t="s">
        <v>22</v>
      </c>
      <c r="E3" s="26" t="s">
        <v>23</v>
      </c>
      <c r="F3" s="142" t="s">
        <v>356</v>
      </c>
      <c r="G3" s="407" t="s">
        <v>132</v>
      </c>
      <c r="H3" s="143" t="s">
        <v>94</v>
      </c>
      <c r="I3" s="407" t="s">
        <v>401</v>
      </c>
      <c r="J3" s="27" t="s">
        <v>4</v>
      </c>
      <c r="K3" s="407" t="s">
        <v>404</v>
      </c>
      <c r="L3" s="27" t="s">
        <v>4</v>
      </c>
      <c r="M3" s="407" t="s">
        <v>405</v>
      </c>
      <c r="N3" s="27" t="s">
        <v>4</v>
      </c>
      <c r="O3" s="407" t="s">
        <v>406</v>
      </c>
      <c r="P3" s="27" t="s">
        <v>4</v>
      </c>
      <c r="Q3" s="181" t="s">
        <v>356</v>
      </c>
      <c r="R3" s="28" t="s">
        <v>106</v>
      </c>
      <c r="S3" s="181" t="s">
        <v>356</v>
      </c>
      <c r="T3" s="181" t="s">
        <v>357</v>
      </c>
      <c r="U3" s="407" t="s">
        <v>402</v>
      </c>
      <c r="V3" s="28"/>
      <c r="W3" s="354"/>
    </row>
    <row r="4" spans="1:23" x14ac:dyDescent="0.2">
      <c r="A4" s="110" t="s">
        <v>24</v>
      </c>
      <c r="B4" s="77"/>
      <c r="C4" s="110"/>
      <c r="D4" s="77"/>
      <c r="E4" s="110" t="s">
        <v>25</v>
      </c>
      <c r="F4" s="76"/>
      <c r="G4" s="76"/>
      <c r="H4" s="146"/>
      <c r="I4" s="76"/>
      <c r="J4" s="30"/>
      <c r="K4" s="76"/>
      <c r="L4" s="30"/>
      <c r="M4" s="76"/>
      <c r="N4" s="30"/>
      <c r="O4" s="76"/>
      <c r="P4" s="30"/>
      <c r="Q4" s="111"/>
      <c r="R4" s="104"/>
      <c r="S4" s="111"/>
      <c r="T4" s="111"/>
      <c r="U4" s="76"/>
      <c r="V4" s="156"/>
      <c r="W4" s="98"/>
    </row>
    <row r="5" spans="1:23" x14ac:dyDescent="0.2">
      <c r="A5" s="96" t="s">
        <v>26</v>
      </c>
      <c r="B5" s="32"/>
      <c r="C5" s="96"/>
      <c r="D5" s="32"/>
      <c r="E5" s="32"/>
      <c r="F5" s="70">
        <f>SUM(F6:F12)</f>
        <v>74036</v>
      </c>
      <c r="G5" s="70">
        <f>SUM(G6:G12)</f>
        <v>0</v>
      </c>
      <c r="H5" s="70">
        <f>SUM(H6:H12)</f>
        <v>74036</v>
      </c>
      <c r="I5" s="70">
        <f>SUM(I6:I12)</f>
        <v>20497.550660000001</v>
      </c>
      <c r="J5" s="210">
        <f t="shared" ref="J5:J12" si="0">I5/$H5*100</f>
        <v>27.685923955913339</v>
      </c>
      <c r="K5" s="70">
        <f>SUM(K6:K12)</f>
        <v>38124.11709</v>
      </c>
      <c r="L5" s="210">
        <f t="shared" ref="L5:L12" si="1">K5/$H5*100</f>
        <v>51.494026000864444</v>
      </c>
      <c r="M5" s="70">
        <f>SUM(M6:M12)</f>
        <v>57352.59807</v>
      </c>
      <c r="N5" s="210">
        <f t="shared" ref="N5:N12" si="2">M5/$H5*100</f>
        <v>77.46582482846182</v>
      </c>
      <c r="O5" s="70">
        <f>SUM(O6:O12)</f>
        <v>77630.219230000002</v>
      </c>
      <c r="P5" s="210">
        <f t="shared" ref="P5:P12" si="3">O5/$H5*100</f>
        <v>104.85469127181371</v>
      </c>
      <c r="Q5" s="338">
        <f>SUM(Q6:Q12)</f>
        <v>3594.2192299999961</v>
      </c>
      <c r="R5" s="471"/>
      <c r="S5" s="338">
        <f>SUM(S6:S12)</f>
        <v>77217.740000000005</v>
      </c>
      <c r="T5" s="338">
        <f>SUM(T6:T12)</f>
        <v>3181.74</v>
      </c>
      <c r="U5" s="70">
        <f>SUM(U6:U12)</f>
        <v>78694</v>
      </c>
      <c r="V5" s="157">
        <f t="shared" ref="V5:V14" si="4">U5/F5</f>
        <v>1.0629153384839807</v>
      </c>
      <c r="W5" s="501"/>
    </row>
    <row r="6" spans="1:23" x14ac:dyDescent="0.2">
      <c r="A6" s="109" t="s">
        <v>27</v>
      </c>
      <c r="B6" s="29">
        <v>1111</v>
      </c>
      <c r="C6" s="109"/>
      <c r="D6" s="112"/>
      <c r="E6" s="29" t="s">
        <v>111</v>
      </c>
      <c r="F6" s="69">
        <f>15500+550</f>
        <v>16050</v>
      </c>
      <c r="G6" s="69"/>
      <c r="H6" s="69">
        <f t="shared" ref="H6:H12" si="5">SUM(F6:G6)</f>
        <v>16050</v>
      </c>
      <c r="I6" s="69">
        <v>4335.7261099999996</v>
      </c>
      <c r="J6" s="34">
        <f t="shared" si="0"/>
        <v>27.013869844236758</v>
      </c>
      <c r="K6" s="69">
        <v>8443.2163299999993</v>
      </c>
      <c r="L6" s="34">
        <f t="shared" si="1"/>
        <v>52.605709221183794</v>
      </c>
      <c r="M6" s="69">
        <v>12897.822</v>
      </c>
      <c r="N6" s="34">
        <f t="shared" si="2"/>
        <v>80.360261682242992</v>
      </c>
      <c r="O6" s="69">
        <v>17750.757229999999</v>
      </c>
      <c r="P6" s="34">
        <f t="shared" si="3"/>
        <v>110.5966182554517</v>
      </c>
      <c r="Q6" s="258">
        <f>O6-H6</f>
        <v>1700.7572299999993</v>
      </c>
      <c r="R6" s="34" t="s">
        <v>116</v>
      </c>
      <c r="S6" s="416">
        <v>17573</v>
      </c>
      <c r="T6" s="258">
        <f>S6-H6</f>
        <v>1523</v>
      </c>
      <c r="U6" s="69">
        <v>18000</v>
      </c>
      <c r="V6" s="158">
        <f t="shared" si="4"/>
        <v>1.1214953271028036</v>
      </c>
      <c r="W6" s="405"/>
    </row>
    <row r="7" spans="1:23" x14ac:dyDescent="0.2">
      <c r="A7" s="109"/>
      <c r="B7" s="29">
        <v>1112</v>
      </c>
      <c r="C7" s="109"/>
      <c r="D7" s="109"/>
      <c r="E7" s="29" t="s">
        <v>203</v>
      </c>
      <c r="F7" s="69">
        <f>450+50</f>
        <v>500</v>
      </c>
      <c r="G7" s="69"/>
      <c r="H7" s="69">
        <f t="shared" si="5"/>
        <v>500</v>
      </c>
      <c r="I7" s="69">
        <v>112.40152999999999</v>
      </c>
      <c r="J7" s="34">
        <f t="shared" si="0"/>
        <v>22.480305999999999</v>
      </c>
      <c r="K7" s="69">
        <v>112.40152999999999</v>
      </c>
      <c r="L7" s="34">
        <f t="shared" si="1"/>
        <v>22.480305999999999</v>
      </c>
      <c r="M7" s="69">
        <v>211.53368</v>
      </c>
      <c r="N7" s="34">
        <f t="shared" si="2"/>
        <v>42.306736000000001</v>
      </c>
      <c r="O7" s="69">
        <v>423.26906000000002</v>
      </c>
      <c r="P7" s="34">
        <f t="shared" si="3"/>
        <v>84.653812000000002</v>
      </c>
      <c r="Q7" s="258">
        <f t="shared" ref="Q7:Q12" si="6">O7-H7</f>
        <v>-76.730939999999975</v>
      </c>
      <c r="R7" s="34" t="s">
        <v>116</v>
      </c>
      <c r="S7" s="416">
        <v>422</v>
      </c>
      <c r="T7" s="258">
        <f t="shared" ref="T7:T12" si="7">S7-H7</f>
        <v>-78</v>
      </c>
      <c r="U7" s="69">
        <v>500</v>
      </c>
      <c r="V7" s="158">
        <f t="shared" si="4"/>
        <v>1</v>
      </c>
      <c r="W7" s="405"/>
    </row>
    <row r="8" spans="1:23" x14ac:dyDescent="0.2">
      <c r="A8" s="109"/>
      <c r="B8" s="29">
        <v>1113</v>
      </c>
      <c r="C8" s="109"/>
      <c r="D8" s="109"/>
      <c r="E8" s="29" t="s">
        <v>113</v>
      </c>
      <c r="F8" s="69">
        <v>1450</v>
      </c>
      <c r="G8" s="69"/>
      <c r="H8" s="69">
        <f t="shared" si="5"/>
        <v>1450</v>
      </c>
      <c r="I8" s="69">
        <v>351.68662</v>
      </c>
      <c r="J8" s="34">
        <f t="shared" si="0"/>
        <v>24.254249655172412</v>
      </c>
      <c r="K8" s="69">
        <v>727.77441999999996</v>
      </c>
      <c r="L8" s="34">
        <f t="shared" si="1"/>
        <v>50.19133931034483</v>
      </c>
      <c r="M8" s="69">
        <v>1246.8774100000001</v>
      </c>
      <c r="N8" s="34">
        <f t="shared" si="2"/>
        <v>85.991545517241391</v>
      </c>
      <c r="O8" s="69">
        <v>1672.49503</v>
      </c>
      <c r="P8" s="34">
        <f t="shared" si="3"/>
        <v>115.34448482758621</v>
      </c>
      <c r="Q8" s="258">
        <f t="shared" si="6"/>
        <v>222.49503000000004</v>
      </c>
      <c r="R8" s="34" t="s">
        <v>116</v>
      </c>
      <c r="S8" s="416">
        <v>1657</v>
      </c>
      <c r="T8" s="258">
        <f t="shared" si="7"/>
        <v>207</v>
      </c>
      <c r="U8" s="69">
        <v>1600</v>
      </c>
      <c r="V8" s="158">
        <f t="shared" si="4"/>
        <v>1.103448275862069</v>
      </c>
      <c r="W8" s="405"/>
    </row>
    <row r="9" spans="1:23" x14ac:dyDescent="0.2">
      <c r="A9" s="109"/>
      <c r="B9" s="29">
        <v>1121</v>
      </c>
      <c r="C9" s="109"/>
      <c r="D9" s="109"/>
      <c r="E9" s="29" t="s">
        <v>114</v>
      </c>
      <c r="F9" s="69">
        <f>15600+400</f>
        <v>16000</v>
      </c>
      <c r="G9" s="69"/>
      <c r="H9" s="69">
        <f t="shared" si="5"/>
        <v>16000</v>
      </c>
      <c r="I9" s="69">
        <v>3360.87291</v>
      </c>
      <c r="J9" s="34">
        <f t="shared" si="0"/>
        <v>21.0054556875</v>
      </c>
      <c r="K9" s="69">
        <v>7348.9537600000003</v>
      </c>
      <c r="L9" s="34">
        <f t="shared" si="1"/>
        <v>45.930961000000003</v>
      </c>
      <c r="M9" s="69">
        <v>11491.85311</v>
      </c>
      <c r="N9" s="34">
        <f t="shared" si="2"/>
        <v>71.824081937499997</v>
      </c>
      <c r="O9" s="69">
        <v>15358.06286</v>
      </c>
      <c r="P9" s="34">
        <f t="shared" si="3"/>
        <v>95.987892875</v>
      </c>
      <c r="Q9" s="258">
        <f t="shared" si="6"/>
        <v>-641.93714</v>
      </c>
      <c r="R9" s="34" t="s">
        <v>116</v>
      </c>
      <c r="S9" s="416">
        <v>15884</v>
      </c>
      <c r="T9" s="258">
        <f t="shared" si="7"/>
        <v>-116</v>
      </c>
      <c r="U9" s="69">
        <v>16000</v>
      </c>
      <c r="V9" s="158">
        <f t="shared" si="4"/>
        <v>1</v>
      </c>
      <c r="W9" s="405"/>
    </row>
    <row r="10" spans="1:23" x14ac:dyDescent="0.2">
      <c r="A10" s="109"/>
      <c r="B10" s="29">
        <v>1211</v>
      </c>
      <c r="C10" s="109"/>
      <c r="D10" s="109"/>
      <c r="E10" s="29" t="s">
        <v>112</v>
      </c>
      <c r="F10" s="69">
        <v>35600</v>
      </c>
      <c r="G10" s="69"/>
      <c r="H10" s="69">
        <f t="shared" si="5"/>
        <v>35600</v>
      </c>
      <c r="I10" s="69">
        <v>9290.5823099999998</v>
      </c>
      <c r="J10" s="34">
        <f t="shared" si="0"/>
        <v>26.097141320224722</v>
      </c>
      <c r="K10" s="69">
        <v>17963.295900000001</v>
      </c>
      <c r="L10" s="34">
        <f t="shared" si="1"/>
        <v>50.458696348314611</v>
      </c>
      <c r="M10" s="69">
        <v>27442.869589999998</v>
      </c>
      <c r="N10" s="34">
        <f t="shared" si="2"/>
        <v>77.086712331460674</v>
      </c>
      <c r="O10" s="69">
        <v>37790.253579999997</v>
      </c>
      <c r="P10" s="34">
        <f t="shared" si="3"/>
        <v>106.15239769662921</v>
      </c>
      <c r="Q10" s="258">
        <f t="shared" si="6"/>
        <v>2190.2535799999969</v>
      </c>
      <c r="R10" s="34" t="s">
        <v>116</v>
      </c>
      <c r="S10" s="416">
        <v>37065</v>
      </c>
      <c r="T10" s="258">
        <f t="shared" si="7"/>
        <v>1465</v>
      </c>
      <c r="U10" s="69">
        <v>38000</v>
      </c>
      <c r="V10" s="158">
        <f t="shared" si="4"/>
        <v>1.0674157303370786</v>
      </c>
      <c r="W10" s="405"/>
    </row>
    <row r="11" spans="1:23" x14ac:dyDescent="0.2">
      <c r="A11" s="109"/>
      <c r="B11" s="29">
        <v>1111</v>
      </c>
      <c r="C11" s="109"/>
      <c r="D11" s="29">
        <v>2</v>
      </c>
      <c r="E11" s="29" t="s">
        <v>125</v>
      </c>
      <c r="F11" s="69">
        <v>1900</v>
      </c>
      <c r="G11" s="69"/>
      <c r="H11" s="69">
        <f>SUM(F11:G11)</f>
        <v>1900</v>
      </c>
      <c r="I11" s="69">
        <v>510.54118</v>
      </c>
      <c r="J11" s="34">
        <f t="shared" si="0"/>
        <v>26.870588421052631</v>
      </c>
      <c r="K11" s="69">
        <v>992.73514999999998</v>
      </c>
      <c r="L11" s="34">
        <f t="shared" si="1"/>
        <v>52.249218421052632</v>
      </c>
      <c r="M11" s="69">
        <v>1525.90228</v>
      </c>
      <c r="N11" s="34">
        <f t="shared" si="2"/>
        <v>80.310646315789484</v>
      </c>
      <c r="O11" s="69">
        <v>2099.64147</v>
      </c>
      <c r="P11" s="34">
        <f t="shared" si="3"/>
        <v>110.50744578947369</v>
      </c>
      <c r="Q11" s="258">
        <f t="shared" si="6"/>
        <v>199.64147000000003</v>
      </c>
      <c r="R11" s="237"/>
      <c r="S11" s="416">
        <v>2081</v>
      </c>
      <c r="T11" s="258">
        <f t="shared" si="7"/>
        <v>181</v>
      </c>
      <c r="U11" s="69">
        <v>2000</v>
      </c>
      <c r="V11" s="158">
        <f t="shared" si="4"/>
        <v>1.0526315789473684</v>
      </c>
      <c r="W11" s="405"/>
    </row>
    <row r="12" spans="1:23" x14ac:dyDescent="0.2">
      <c r="A12" s="109"/>
      <c r="B12" s="29">
        <v>1122</v>
      </c>
      <c r="C12" s="109"/>
      <c r="D12" s="109"/>
      <c r="E12" s="29" t="s">
        <v>115</v>
      </c>
      <c r="F12" s="69">
        <v>2536</v>
      </c>
      <c r="G12" s="69"/>
      <c r="H12" s="69">
        <f t="shared" si="5"/>
        <v>2536</v>
      </c>
      <c r="I12" s="69">
        <v>2535.7399999999998</v>
      </c>
      <c r="J12" s="34">
        <f t="shared" si="0"/>
        <v>99.989747634069388</v>
      </c>
      <c r="K12" s="69">
        <v>2535.7399999999998</v>
      </c>
      <c r="L12" s="34">
        <f t="shared" si="1"/>
        <v>99.989747634069388</v>
      </c>
      <c r="M12" s="69">
        <v>2535.7399999999998</v>
      </c>
      <c r="N12" s="34">
        <f t="shared" si="2"/>
        <v>99.989747634069388</v>
      </c>
      <c r="O12" s="69">
        <v>2535.7399999999998</v>
      </c>
      <c r="P12" s="34">
        <f t="shared" si="3"/>
        <v>99.989747634069388</v>
      </c>
      <c r="Q12" s="258">
        <f t="shared" si="6"/>
        <v>-0.26000000000021828</v>
      </c>
      <c r="R12" s="112" t="s">
        <v>160</v>
      </c>
      <c r="S12" s="416">
        <f>K12</f>
        <v>2535.7399999999998</v>
      </c>
      <c r="T12" s="258">
        <f t="shared" si="7"/>
        <v>-0.26000000000021828</v>
      </c>
      <c r="U12" s="69">
        <v>2594</v>
      </c>
      <c r="V12" s="158">
        <f t="shared" si="4"/>
        <v>1.0228706624605679</v>
      </c>
      <c r="W12" s="405"/>
    </row>
    <row r="13" spans="1:23" x14ac:dyDescent="0.2">
      <c r="A13" s="96" t="s">
        <v>28</v>
      </c>
      <c r="B13" s="32"/>
      <c r="C13" s="96"/>
      <c r="D13" s="32"/>
      <c r="E13" s="32"/>
      <c r="F13" s="70"/>
      <c r="G13" s="70"/>
      <c r="H13" s="70"/>
      <c r="I13" s="70"/>
      <c r="J13" s="34"/>
      <c r="K13" s="70"/>
      <c r="L13" s="34"/>
      <c r="M13" s="70"/>
      <c r="N13" s="34"/>
      <c r="O13" s="70"/>
      <c r="P13" s="34"/>
      <c r="Q13" s="259"/>
      <c r="R13" s="348"/>
      <c r="S13" s="259"/>
      <c r="T13" s="259"/>
      <c r="U13" s="70"/>
      <c r="V13" s="158"/>
      <c r="W13" s="148"/>
    </row>
    <row r="14" spans="1:23" x14ac:dyDescent="0.2">
      <c r="A14" s="109"/>
      <c r="B14" s="109"/>
      <c r="C14" s="109"/>
      <c r="D14" s="109"/>
      <c r="E14" s="32" t="s">
        <v>153</v>
      </c>
      <c r="F14" s="70">
        <f>SUM(F15:F25)</f>
        <v>4582</v>
      </c>
      <c r="G14" s="70">
        <f>SUM(G15:G25)</f>
        <v>0</v>
      </c>
      <c r="H14" s="70">
        <f>SUM(H15:H25)</f>
        <v>4582</v>
      </c>
      <c r="I14" s="70">
        <f>SUM(I15:I25)</f>
        <v>1129.9549999999999</v>
      </c>
      <c r="J14" s="210">
        <f>I14/$H14*100</f>
        <v>24.660737669140111</v>
      </c>
      <c r="K14" s="70">
        <f>SUM(K15:K25)</f>
        <v>2526.2950000000005</v>
      </c>
      <c r="L14" s="210">
        <f t="shared" ref="L14:L28" si="8">K14/$H14*100</f>
        <v>55.135202968136198</v>
      </c>
      <c r="M14" s="70">
        <f>SUM(M15:M25)</f>
        <v>3769.7350000000001</v>
      </c>
      <c r="N14" s="210">
        <f t="shared" ref="N14:N26" si="9">M14/$H14*100</f>
        <v>82.272697512003489</v>
      </c>
      <c r="O14" s="70">
        <f>SUM(O15:O25)</f>
        <v>4744.1499999999996</v>
      </c>
      <c r="P14" s="210">
        <f t="shared" ref="P14:P26" si="10">O14/$H14*100</f>
        <v>103.53884766477519</v>
      </c>
      <c r="Q14" s="338">
        <f>SUM(Q15:Q25)</f>
        <v>162.14999999999975</v>
      </c>
      <c r="R14" s="348"/>
      <c r="S14" s="338">
        <f>SUM(S15:S25)</f>
        <v>5020.5800000000008</v>
      </c>
      <c r="T14" s="338">
        <f>SUM(T15:T25)</f>
        <v>438.58000000000027</v>
      </c>
      <c r="U14" s="70">
        <f>SUM(U15:U25)</f>
        <v>4775</v>
      </c>
      <c r="V14" s="157">
        <f t="shared" si="4"/>
        <v>1.0421213443910955</v>
      </c>
      <c r="W14" s="148"/>
    </row>
    <row r="15" spans="1:23" x14ac:dyDescent="0.2">
      <c r="A15" s="109"/>
      <c r="B15" s="29">
        <v>1361</v>
      </c>
      <c r="D15" s="112" t="s">
        <v>141</v>
      </c>
      <c r="E15" s="29" t="s">
        <v>29</v>
      </c>
      <c r="F15" s="69">
        <v>180</v>
      </c>
      <c r="G15" s="69"/>
      <c r="H15" s="69">
        <f t="shared" ref="H15:H23" si="11">SUM(F15:G15)</f>
        <v>180</v>
      </c>
      <c r="I15" s="69">
        <f>5.95+26.57+19</f>
        <v>51.52</v>
      </c>
      <c r="J15" s="34">
        <f t="shared" ref="J15:J37" si="12">I15/$H15*100</f>
        <v>28.622222222222227</v>
      </c>
      <c r="K15" s="69">
        <f>8.4+56.32+2+71</f>
        <v>137.72</v>
      </c>
      <c r="L15" s="34">
        <f t="shared" si="8"/>
        <v>76.511111111111106</v>
      </c>
      <c r="M15" s="69">
        <f>11.05+78.08+2.1+85</f>
        <v>176.23</v>
      </c>
      <c r="N15" s="34">
        <f t="shared" si="9"/>
        <v>97.905555555555551</v>
      </c>
      <c r="O15" s="69">
        <f>13.45+99.19+2.12+86</f>
        <v>200.76</v>
      </c>
      <c r="P15" s="34">
        <f t="shared" si="10"/>
        <v>111.53333333333333</v>
      </c>
      <c r="Q15" s="258">
        <f t="shared" ref="Q15:Q25" si="13">O15-H15</f>
        <v>20.759999999999991</v>
      </c>
      <c r="R15" s="238"/>
      <c r="S15" s="262">
        <f>M15/3*4</f>
        <v>234.97333333333333</v>
      </c>
      <c r="T15" s="258">
        <f t="shared" ref="T15:T29" si="14">S15-H15</f>
        <v>54.973333333333329</v>
      </c>
      <c r="U15" s="69">
        <f>180+40</f>
        <v>220</v>
      </c>
      <c r="V15" s="158">
        <f t="shared" ref="V15:V26" si="15">U15/F15</f>
        <v>1.2222222222222223</v>
      </c>
      <c r="W15" s="117"/>
    </row>
    <row r="16" spans="1:23" x14ac:dyDescent="0.2">
      <c r="A16" s="109"/>
      <c r="B16" s="29">
        <v>1361</v>
      </c>
      <c r="C16" s="109"/>
      <c r="D16" s="29">
        <v>7</v>
      </c>
      <c r="E16" s="29" t="s">
        <v>170</v>
      </c>
      <c r="F16" s="69">
        <v>700</v>
      </c>
      <c r="G16" s="69"/>
      <c r="H16" s="69">
        <f t="shared" si="11"/>
        <v>700</v>
      </c>
      <c r="I16" s="69">
        <v>197.9</v>
      </c>
      <c r="J16" s="34">
        <f t="shared" si="12"/>
        <v>28.271428571428569</v>
      </c>
      <c r="K16" s="69">
        <v>399.07499999999999</v>
      </c>
      <c r="L16" s="34">
        <f t="shared" si="8"/>
        <v>57.010714285714279</v>
      </c>
      <c r="M16" s="69">
        <v>550.745</v>
      </c>
      <c r="N16" s="34">
        <f t="shared" si="9"/>
        <v>78.67785714285715</v>
      </c>
      <c r="O16" s="69">
        <v>660.51</v>
      </c>
      <c r="P16" s="34">
        <f t="shared" si="10"/>
        <v>94.358571428571423</v>
      </c>
      <c r="Q16" s="258">
        <f t="shared" si="13"/>
        <v>-39.490000000000009</v>
      </c>
      <c r="R16" s="238"/>
      <c r="S16" s="262">
        <f t="shared" ref="S16:S23" si="16">M16/3*4</f>
        <v>734.32666666666671</v>
      </c>
      <c r="T16" s="258">
        <f t="shared" si="14"/>
        <v>34.326666666666711</v>
      </c>
      <c r="U16" s="69">
        <v>700</v>
      </c>
      <c r="V16" s="158">
        <f t="shared" si="15"/>
        <v>1</v>
      </c>
      <c r="W16" s="117"/>
    </row>
    <row r="17" spans="1:23" x14ac:dyDescent="0.2">
      <c r="A17" s="109"/>
      <c r="B17" s="29">
        <v>1361</v>
      </c>
      <c r="C17" s="109"/>
      <c r="D17" s="29">
        <v>10.23</v>
      </c>
      <c r="E17" s="114" t="s">
        <v>172</v>
      </c>
      <c r="F17" s="69">
        <f>60+25</f>
        <v>85</v>
      </c>
      <c r="G17" s="69"/>
      <c r="H17" s="69">
        <f t="shared" si="11"/>
        <v>85</v>
      </c>
      <c r="I17" s="69">
        <f>36.5+6.25</f>
        <v>42.75</v>
      </c>
      <c r="J17" s="34">
        <f t="shared" si="12"/>
        <v>50.294117647058826</v>
      </c>
      <c r="K17" s="69">
        <f>52.75+19.075</f>
        <v>71.825000000000003</v>
      </c>
      <c r="L17" s="34">
        <f t="shared" si="8"/>
        <v>84.500000000000014</v>
      </c>
      <c r="M17" s="69">
        <f>60.9+44.285</f>
        <v>105.185</v>
      </c>
      <c r="N17" s="34">
        <f t="shared" si="9"/>
        <v>123.74705882352941</v>
      </c>
      <c r="O17" s="69">
        <f>67.675+53.855</f>
        <v>121.53</v>
      </c>
      <c r="P17" s="34">
        <f t="shared" si="10"/>
        <v>142.97647058823532</v>
      </c>
      <c r="Q17" s="258">
        <f t="shared" si="13"/>
        <v>36.53</v>
      </c>
      <c r="R17" s="238"/>
      <c r="S17" s="262">
        <f t="shared" si="16"/>
        <v>140.24666666666667</v>
      </c>
      <c r="T17" s="258">
        <f t="shared" si="14"/>
        <v>55.24666666666667</v>
      </c>
      <c r="U17" s="69">
        <f>60+30</f>
        <v>90</v>
      </c>
      <c r="V17" s="158">
        <f t="shared" si="15"/>
        <v>1.0588235294117647</v>
      </c>
    </row>
    <row r="18" spans="1:23" x14ac:dyDescent="0.2">
      <c r="A18" s="109"/>
      <c r="B18" s="29">
        <v>1361</v>
      </c>
      <c r="C18" s="109"/>
      <c r="D18" s="29">
        <v>11</v>
      </c>
      <c r="E18" s="29" t="s">
        <v>30</v>
      </c>
      <c r="F18" s="69">
        <v>150</v>
      </c>
      <c r="G18" s="69"/>
      <c r="H18" s="69">
        <f t="shared" si="11"/>
        <v>150</v>
      </c>
      <c r="I18" s="69">
        <v>42.92</v>
      </c>
      <c r="J18" s="34">
        <f t="shared" si="12"/>
        <v>28.613333333333337</v>
      </c>
      <c r="K18" s="69">
        <v>83.16</v>
      </c>
      <c r="L18" s="34">
        <f t="shared" si="8"/>
        <v>55.44</v>
      </c>
      <c r="M18" s="69">
        <v>113</v>
      </c>
      <c r="N18" s="34">
        <f t="shared" si="9"/>
        <v>75.333333333333329</v>
      </c>
      <c r="O18" s="69">
        <v>153.44999999999999</v>
      </c>
      <c r="P18" s="34">
        <f t="shared" si="10"/>
        <v>102.3</v>
      </c>
      <c r="Q18" s="258">
        <f t="shared" si="13"/>
        <v>3.4499999999999886</v>
      </c>
      <c r="R18" s="238"/>
      <c r="S18" s="262">
        <f t="shared" si="16"/>
        <v>150.66666666666666</v>
      </c>
      <c r="T18" s="258">
        <f t="shared" si="14"/>
        <v>0.66666666666665719</v>
      </c>
      <c r="U18" s="69">
        <v>150</v>
      </c>
      <c r="V18" s="158">
        <f t="shared" si="15"/>
        <v>1</v>
      </c>
    </row>
    <row r="19" spans="1:23" x14ac:dyDescent="0.2">
      <c r="A19" s="109"/>
      <c r="B19" s="29">
        <v>1361</v>
      </c>
      <c r="C19" s="109"/>
      <c r="D19" s="29">
        <v>24</v>
      </c>
      <c r="E19" s="29" t="s">
        <v>173</v>
      </c>
      <c r="F19" s="69">
        <v>30</v>
      </c>
      <c r="G19" s="69"/>
      <c r="H19" s="69">
        <f t="shared" si="11"/>
        <v>30</v>
      </c>
      <c r="I19" s="69">
        <v>4.2</v>
      </c>
      <c r="J19" s="34">
        <f t="shared" si="12"/>
        <v>14.000000000000002</v>
      </c>
      <c r="K19" s="69">
        <v>18.7</v>
      </c>
      <c r="L19" s="34">
        <f t="shared" si="8"/>
        <v>62.333333333333329</v>
      </c>
      <c r="M19" s="69">
        <v>24</v>
      </c>
      <c r="N19" s="34">
        <f t="shared" si="9"/>
        <v>80</v>
      </c>
      <c r="O19" s="69">
        <v>25.6</v>
      </c>
      <c r="P19" s="34">
        <f t="shared" si="10"/>
        <v>85.333333333333343</v>
      </c>
      <c r="Q19" s="258">
        <f t="shared" si="13"/>
        <v>-4.3999999999999986</v>
      </c>
      <c r="R19" s="238"/>
      <c r="S19" s="262">
        <f t="shared" si="16"/>
        <v>32</v>
      </c>
      <c r="T19" s="258">
        <f t="shared" si="14"/>
        <v>2</v>
      </c>
      <c r="U19" s="69">
        <v>30</v>
      </c>
      <c r="V19" s="158">
        <f t="shared" si="15"/>
        <v>1</v>
      </c>
    </row>
    <row r="20" spans="1:23" x14ac:dyDescent="0.2">
      <c r="A20" s="109"/>
      <c r="B20" s="29">
        <v>1361</v>
      </c>
      <c r="C20" s="109"/>
      <c r="D20" s="29">
        <v>26</v>
      </c>
      <c r="E20" s="29" t="s">
        <v>174</v>
      </c>
      <c r="F20" s="69">
        <v>2200</v>
      </c>
      <c r="G20" s="69"/>
      <c r="H20" s="69">
        <f t="shared" si="11"/>
        <v>2200</v>
      </c>
      <c r="I20" s="69">
        <v>617.06500000000005</v>
      </c>
      <c r="J20" s="34">
        <f t="shared" si="12"/>
        <v>28.048409090909093</v>
      </c>
      <c r="K20" s="69">
        <v>1306.365</v>
      </c>
      <c r="L20" s="34">
        <f t="shared" si="8"/>
        <v>59.380227272727268</v>
      </c>
      <c r="M20" s="69">
        <f>0.4+1983.125+0.8</f>
        <v>1984.325</v>
      </c>
      <c r="N20" s="34">
        <f t="shared" si="9"/>
        <v>90.196590909090915</v>
      </c>
      <c r="O20" s="69">
        <f>2585.855+0.095</f>
        <v>2585.9499999999998</v>
      </c>
      <c r="P20" s="34">
        <f t="shared" si="10"/>
        <v>117.54318181818182</v>
      </c>
      <c r="Q20" s="258">
        <f t="shared" si="13"/>
        <v>385.94999999999982</v>
      </c>
      <c r="R20" s="238"/>
      <c r="S20" s="262">
        <f t="shared" si="16"/>
        <v>2645.7666666666669</v>
      </c>
      <c r="T20" s="258">
        <f t="shared" si="14"/>
        <v>445.76666666666688</v>
      </c>
      <c r="U20" s="69">
        <v>2400</v>
      </c>
      <c r="V20" s="158">
        <f t="shared" si="15"/>
        <v>1.0909090909090908</v>
      </c>
    </row>
    <row r="21" spans="1:23" x14ac:dyDescent="0.2">
      <c r="A21" s="109"/>
      <c r="B21" s="29">
        <v>1353</v>
      </c>
      <c r="C21" s="109"/>
      <c r="D21" s="29">
        <v>26</v>
      </c>
      <c r="E21" s="29" t="s">
        <v>202</v>
      </c>
      <c r="F21" s="69">
        <v>400</v>
      </c>
      <c r="G21" s="69"/>
      <c r="H21" s="69">
        <f t="shared" si="11"/>
        <v>400</v>
      </c>
      <c r="I21" s="69">
        <v>50.2</v>
      </c>
      <c r="J21" s="34">
        <f t="shared" si="12"/>
        <v>12.55</v>
      </c>
      <c r="K21" s="69">
        <v>125.1</v>
      </c>
      <c r="L21" s="34">
        <f t="shared" si="8"/>
        <v>31.274999999999999</v>
      </c>
      <c r="M21" s="69">
        <v>230.6</v>
      </c>
      <c r="N21" s="34">
        <f t="shared" si="9"/>
        <v>57.65</v>
      </c>
      <c r="O21" s="69">
        <v>323.5</v>
      </c>
      <c r="P21" s="34">
        <f t="shared" si="10"/>
        <v>80.875</v>
      </c>
      <c r="Q21" s="258">
        <f t="shared" si="13"/>
        <v>-76.5</v>
      </c>
      <c r="R21" s="238"/>
      <c r="S21" s="262">
        <f t="shared" si="16"/>
        <v>307.46666666666664</v>
      </c>
      <c r="T21" s="258">
        <f t="shared" si="14"/>
        <v>-92.53333333333336</v>
      </c>
      <c r="U21" s="69">
        <v>400</v>
      </c>
      <c r="V21" s="158">
        <f t="shared" si="15"/>
        <v>1</v>
      </c>
    </row>
    <row r="22" spans="1:23" x14ac:dyDescent="0.2">
      <c r="A22" s="109"/>
      <c r="B22" s="29">
        <v>1361</v>
      </c>
      <c r="C22" s="109"/>
      <c r="D22" s="29">
        <v>32.33</v>
      </c>
      <c r="E22" s="29" t="s">
        <v>138</v>
      </c>
      <c r="F22" s="69">
        <f>700+50</f>
        <v>750</v>
      </c>
      <c r="G22" s="69"/>
      <c r="H22" s="69">
        <f t="shared" si="11"/>
        <v>750</v>
      </c>
      <c r="I22" s="69">
        <f>89.1+5.75</f>
        <v>94.85</v>
      </c>
      <c r="J22" s="34">
        <f t="shared" si="12"/>
        <v>12.646666666666667</v>
      </c>
      <c r="K22" s="69">
        <f>329.6+17.7</f>
        <v>347.3</v>
      </c>
      <c r="L22" s="34">
        <f t="shared" si="8"/>
        <v>46.306666666666665</v>
      </c>
      <c r="M22" s="69">
        <f>476.9+55.95</f>
        <v>532.85</v>
      </c>
      <c r="N22" s="34">
        <f t="shared" si="9"/>
        <v>71.046666666666667</v>
      </c>
      <c r="O22" s="69">
        <f>544.9+70.15</f>
        <v>615.04999999999995</v>
      </c>
      <c r="P22" s="34">
        <f t="shared" si="10"/>
        <v>82.006666666666661</v>
      </c>
      <c r="Q22" s="258">
        <f t="shared" si="13"/>
        <v>-134.95000000000005</v>
      </c>
      <c r="R22" s="238"/>
      <c r="S22" s="262">
        <f t="shared" si="16"/>
        <v>710.4666666666667</v>
      </c>
      <c r="T22" s="258">
        <f t="shared" si="14"/>
        <v>-39.533333333333303</v>
      </c>
      <c r="U22" s="69">
        <v>750</v>
      </c>
      <c r="V22" s="158">
        <f t="shared" si="15"/>
        <v>1</v>
      </c>
    </row>
    <row r="23" spans="1:23" x14ac:dyDescent="0.2">
      <c r="A23" s="109"/>
      <c r="B23" s="29">
        <v>1361</v>
      </c>
      <c r="C23" s="109"/>
      <c r="D23" s="29">
        <v>35</v>
      </c>
      <c r="E23" s="29" t="s">
        <v>243</v>
      </c>
      <c r="F23" s="69">
        <v>75</v>
      </c>
      <c r="G23" s="69"/>
      <c r="H23" s="69">
        <f t="shared" si="11"/>
        <v>75</v>
      </c>
      <c r="I23" s="69">
        <v>13.55</v>
      </c>
      <c r="J23" s="34">
        <f t="shared" si="12"/>
        <v>18.066666666666666</v>
      </c>
      <c r="K23" s="69">
        <v>22.55</v>
      </c>
      <c r="L23" s="34">
        <f t="shared" si="8"/>
        <v>30.06666666666667</v>
      </c>
      <c r="M23" s="69">
        <v>29.25</v>
      </c>
      <c r="N23" s="34">
        <f t="shared" si="9"/>
        <v>39</v>
      </c>
      <c r="O23" s="69">
        <v>39.299999999999997</v>
      </c>
      <c r="P23" s="34">
        <f t="shared" si="10"/>
        <v>52.399999999999991</v>
      </c>
      <c r="Q23" s="258">
        <f t="shared" si="13"/>
        <v>-35.700000000000003</v>
      </c>
      <c r="R23" s="238"/>
      <c r="S23" s="262">
        <f t="shared" si="16"/>
        <v>39</v>
      </c>
      <c r="T23" s="258">
        <f t="shared" si="14"/>
        <v>-36</v>
      </c>
      <c r="U23" s="69">
        <v>35</v>
      </c>
      <c r="V23" s="158">
        <f t="shared" si="15"/>
        <v>0.46666666666666667</v>
      </c>
    </row>
    <row r="24" spans="1:23" x14ac:dyDescent="0.2">
      <c r="A24" s="109"/>
      <c r="B24" s="29">
        <v>1361</v>
      </c>
      <c r="C24" s="109"/>
      <c r="D24" s="29">
        <v>40</v>
      </c>
      <c r="E24" s="29" t="s">
        <v>31</v>
      </c>
      <c r="F24" s="69">
        <v>12</v>
      </c>
      <c r="G24" s="69"/>
      <c r="H24" s="69">
        <f>SUM(F24:G24)</f>
        <v>12</v>
      </c>
      <c r="I24" s="69">
        <v>12</v>
      </c>
      <c r="J24" s="34">
        <f>I24/$H24*100</f>
        <v>100</v>
      </c>
      <c r="K24" s="69">
        <v>14.5</v>
      </c>
      <c r="L24" s="34">
        <f t="shared" si="8"/>
        <v>120.83333333333333</v>
      </c>
      <c r="M24" s="69">
        <v>18.5</v>
      </c>
      <c r="N24" s="34">
        <f t="shared" si="9"/>
        <v>154.16666666666669</v>
      </c>
      <c r="O24" s="69">
        <v>18.5</v>
      </c>
      <c r="P24" s="34">
        <f t="shared" si="10"/>
        <v>154.16666666666669</v>
      </c>
      <c r="Q24" s="258">
        <f t="shared" si="13"/>
        <v>6.5</v>
      </c>
      <c r="R24" s="238"/>
      <c r="S24" s="262">
        <f>M24/3*4</f>
        <v>24.666666666666668</v>
      </c>
      <c r="T24" s="258">
        <f t="shared" si="14"/>
        <v>12.666666666666668</v>
      </c>
      <c r="U24" s="69">
        <v>0</v>
      </c>
      <c r="V24" s="158">
        <f t="shared" si="15"/>
        <v>0</v>
      </c>
    </row>
    <row r="25" spans="1:23" x14ac:dyDescent="0.2">
      <c r="A25" s="109"/>
      <c r="B25" s="29">
        <v>1361</v>
      </c>
      <c r="C25" s="109"/>
      <c r="D25" s="112" t="s">
        <v>201</v>
      </c>
      <c r="E25" s="29" t="s">
        <v>102</v>
      </c>
      <c r="F25" s="69"/>
      <c r="G25" s="69"/>
      <c r="H25" s="69">
        <f>SUM(F25:G25)</f>
        <v>0</v>
      </c>
      <c r="I25" s="69">
        <v>3</v>
      </c>
      <c r="J25" s="34" t="e">
        <f>I25/$H25*100</f>
        <v>#DIV/0!</v>
      </c>
      <c r="K25" s="69"/>
      <c r="L25" s="34"/>
      <c r="M25" s="69">
        <f>5+0.05</f>
        <v>5.05</v>
      </c>
      <c r="N25" s="34"/>
      <c r="O25" s="69"/>
      <c r="P25" s="34" t="e">
        <f t="shared" si="10"/>
        <v>#DIV/0!</v>
      </c>
      <c r="Q25" s="258">
        <f t="shared" si="13"/>
        <v>0</v>
      </c>
      <c r="R25" s="238"/>
      <c r="S25" s="416">
        <v>1</v>
      </c>
      <c r="T25" s="258">
        <f t="shared" si="14"/>
        <v>1</v>
      </c>
      <c r="U25" s="69"/>
      <c r="V25" s="158"/>
    </row>
    <row r="26" spans="1:23" x14ac:dyDescent="0.2">
      <c r="A26" s="109"/>
      <c r="B26" s="109"/>
      <c r="C26" s="109"/>
      <c r="D26" s="109"/>
      <c r="E26" s="32" t="s">
        <v>273</v>
      </c>
      <c r="F26" s="70">
        <f>SUM(F27:F29)</f>
        <v>5160</v>
      </c>
      <c r="G26" s="70">
        <f>SUM(G27:G29)</f>
        <v>0</v>
      </c>
      <c r="H26" s="70">
        <f>SUM(H27:H29)</f>
        <v>5160</v>
      </c>
      <c r="I26" s="70">
        <f>SUM(I27:I29)</f>
        <v>1650.8332800000001</v>
      </c>
      <c r="J26" s="210">
        <f>I26/$H26*100</f>
        <v>31.992893023255814</v>
      </c>
      <c r="K26" s="70">
        <f>SUM(K27:K29)</f>
        <v>2922.0375000000004</v>
      </c>
      <c r="L26" s="210">
        <f t="shared" si="8"/>
        <v>56.628633720930246</v>
      </c>
      <c r="M26" s="70">
        <f>SUM(M27:M29)</f>
        <v>4193.4639299999999</v>
      </c>
      <c r="N26" s="210">
        <f t="shared" si="9"/>
        <v>81.26868081395348</v>
      </c>
      <c r="O26" s="70">
        <f>SUM(O27:O29)</f>
        <v>5311.5341600000002</v>
      </c>
      <c r="P26" s="210">
        <f t="shared" si="10"/>
        <v>102.9367085271318</v>
      </c>
      <c r="Q26" s="338">
        <f>SUM(Q27:Q29)</f>
        <v>151.53416000000041</v>
      </c>
      <c r="R26" s="112"/>
      <c r="S26" s="338">
        <f>SUM(S27:S29)</f>
        <v>5225.7</v>
      </c>
      <c r="T26" s="338">
        <f>SUM(T27:T29)</f>
        <v>65.7</v>
      </c>
      <c r="U26" s="70">
        <f>SUM(U27:U29)</f>
        <v>2400</v>
      </c>
      <c r="V26" s="157">
        <f t="shared" si="15"/>
        <v>0.46511627906976744</v>
      </c>
      <c r="W26" s="117"/>
    </row>
    <row r="27" spans="1:23" x14ac:dyDescent="0.2">
      <c r="A27" s="109"/>
      <c r="B27" s="29">
        <v>1332.1333999999999</v>
      </c>
      <c r="C27" s="109"/>
      <c r="D27" s="29">
        <v>23.12</v>
      </c>
      <c r="E27" s="29" t="s">
        <v>110</v>
      </c>
      <c r="F27" s="69"/>
      <c r="G27" s="69"/>
      <c r="H27" s="69">
        <f>SUM(F27:G27)</f>
        <v>0</v>
      </c>
      <c r="I27" s="69">
        <v>0</v>
      </c>
      <c r="J27" s="34"/>
      <c r="K27" s="69">
        <v>0.7</v>
      </c>
      <c r="L27" s="34"/>
      <c r="M27" s="69">
        <v>0.7</v>
      </c>
      <c r="N27" s="34"/>
      <c r="O27" s="69"/>
      <c r="P27" s="34"/>
      <c r="Q27" s="258">
        <f t="shared" ref="Q27:Q33" si="17">O27-H27</f>
        <v>0</v>
      </c>
      <c r="R27" s="238"/>
      <c r="S27" s="262">
        <f>M27</f>
        <v>0.7</v>
      </c>
      <c r="T27" s="258">
        <f t="shared" si="14"/>
        <v>0.7</v>
      </c>
      <c r="U27" s="69">
        <v>0</v>
      </c>
      <c r="V27" s="158"/>
    </row>
    <row r="28" spans="1:23" x14ac:dyDescent="0.2">
      <c r="A28" s="109"/>
      <c r="B28" s="29">
        <v>1334</v>
      </c>
      <c r="C28" s="109"/>
      <c r="D28" s="29"/>
      <c r="E28" s="29" t="s">
        <v>399</v>
      </c>
      <c r="F28" s="69">
        <v>160</v>
      </c>
      <c r="G28" s="69"/>
      <c r="H28" s="69">
        <f>SUM(F28:G28)</f>
        <v>160</v>
      </c>
      <c r="I28" s="69">
        <v>119.97539999999999</v>
      </c>
      <c r="J28" s="34"/>
      <c r="K28" s="69">
        <v>120.67529999999999</v>
      </c>
      <c r="L28" s="34">
        <f t="shared" si="8"/>
        <v>75.422062499999996</v>
      </c>
      <c r="M28" s="69">
        <v>125.28</v>
      </c>
      <c r="N28" s="34">
        <f t="shared" ref="N28:N37" si="18">M28/$H28*100</f>
        <v>78.3</v>
      </c>
      <c r="O28" s="69">
        <v>125.28</v>
      </c>
      <c r="P28" s="34"/>
      <c r="Q28" s="258">
        <f t="shared" si="17"/>
        <v>-34.72</v>
      </c>
      <c r="R28" s="238"/>
      <c r="S28" s="416">
        <v>125</v>
      </c>
      <c r="T28" s="258">
        <f t="shared" si="14"/>
        <v>-35</v>
      </c>
      <c r="U28" s="69">
        <v>0</v>
      </c>
      <c r="V28" s="158"/>
    </row>
    <row r="29" spans="1:23" x14ac:dyDescent="0.2">
      <c r="A29" s="109"/>
      <c r="B29" s="29">
        <v>1381</v>
      </c>
      <c r="C29" s="109"/>
      <c r="D29" s="29">
        <v>401</v>
      </c>
      <c r="E29" s="29" t="s">
        <v>425</v>
      </c>
      <c r="F29" s="69">
        <v>5000</v>
      </c>
      <c r="G29" s="69"/>
      <c r="H29" s="69">
        <f>SUM(F29:G29)</f>
        <v>5000</v>
      </c>
      <c r="I29" s="69">
        <v>1530.85788</v>
      </c>
      <c r="J29" s="34">
        <f>I29/$H29*100</f>
        <v>30.617157599999999</v>
      </c>
      <c r="K29" s="69">
        <f>2798.65583+2.00637</f>
        <v>2800.6622000000002</v>
      </c>
      <c r="L29" s="34">
        <f t="shared" ref="L29:L37" si="19">K29/$H29*100</f>
        <v>56.013244000000007</v>
      </c>
      <c r="M29" s="69">
        <v>4067.4839299999999</v>
      </c>
      <c r="N29" s="34">
        <f t="shared" si="18"/>
        <v>81.349678600000004</v>
      </c>
      <c r="O29" s="69">
        <v>5186.2541600000004</v>
      </c>
      <c r="P29" s="34">
        <f t="shared" ref="P29:P37" si="20">O29/$H29*100</f>
        <v>103.7250832</v>
      </c>
      <c r="Q29" s="258">
        <f t="shared" si="17"/>
        <v>186.25416000000041</v>
      </c>
      <c r="R29" s="238" t="s">
        <v>453</v>
      </c>
      <c r="S29" s="416">
        <v>5100</v>
      </c>
      <c r="T29" s="258">
        <f t="shared" si="14"/>
        <v>100</v>
      </c>
      <c r="U29" s="69">
        <v>2400</v>
      </c>
      <c r="V29" s="158">
        <f t="shared" ref="V29:V38" si="21">U29/F29</f>
        <v>0.48</v>
      </c>
    </row>
    <row r="30" spans="1:23" x14ac:dyDescent="0.2">
      <c r="A30" s="109"/>
      <c r="B30" s="109"/>
      <c r="C30" s="109"/>
      <c r="D30" s="109"/>
      <c r="E30" s="32" t="s">
        <v>154</v>
      </c>
      <c r="F30" s="70">
        <f>SUM(F31:F35)</f>
        <v>3343</v>
      </c>
      <c r="G30" s="70"/>
      <c r="H30" s="70">
        <f>SUM(H31:H35)</f>
        <v>3343</v>
      </c>
      <c r="I30" s="70">
        <f>SUM(I31:I35)</f>
        <v>1611.8756700000001</v>
      </c>
      <c r="J30" s="210">
        <f t="shared" si="12"/>
        <v>48.216442416990731</v>
      </c>
      <c r="K30" s="70">
        <f>SUM(K31:K35)</f>
        <v>2835.7248300000006</v>
      </c>
      <c r="L30" s="210">
        <f t="shared" si="19"/>
        <v>84.825750224349406</v>
      </c>
      <c r="M30" s="70">
        <f>SUM(M31:M35)</f>
        <v>3137.2457400000003</v>
      </c>
      <c r="N30" s="210">
        <f t="shared" si="18"/>
        <v>93.845221058929113</v>
      </c>
      <c r="O30" s="70">
        <f>SUM(O31:O35)</f>
        <v>3695.5804600000001</v>
      </c>
      <c r="P30" s="210">
        <f t="shared" si="20"/>
        <v>110.54682799880347</v>
      </c>
      <c r="Q30" s="338">
        <f t="shared" si="17"/>
        <v>352.58046000000013</v>
      </c>
      <c r="R30" s="348"/>
      <c r="S30" s="338">
        <f>SUM(S31:S34)</f>
        <v>3412.7213333333334</v>
      </c>
      <c r="T30" s="338">
        <f>SUM(T31:T35)</f>
        <v>124.72133333333333</v>
      </c>
      <c r="U30" s="70">
        <f>SUM(U31:U35)</f>
        <v>3352</v>
      </c>
      <c r="V30" s="157">
        <f t="shared" si="21"/>
        <v>1.0026921926413401</v>
      </c>
    </row>
    <row r="31" spans="1:23" x14ac:dyDescent="0.2">
      <c r="A31" s="109"/>
      <c r="B31" s="29">
        <v>1340</v>
      </c>
      <c r="C31" s="109"/>
      <c r="D31" s="29">
        <v>240</v>
      </c>
      <c r="E31" s="29" t="s">
        <v>104</v>
      </c>
      <c r="F31" s="69">
        <v>3074</v>
      </c>
      <c r="G31" s="69"/>
      <c r="H31" s="69">
        <f>SUM(F31:G31)</f>
        <v>3074</v>
      </c>
      <c r="I31" s="69">
        <v>1421.9736700000001</v>
      </c>
      <c r="J31" s="34">
        <f>I31/$H31*100</f>
        <v>46.258089459986991</v>
      </c>
      <c r="K31" s="69">
        <v>2550.71531</v>
      </c>
      <c r="L31" s="34">
        <f t="shared" si="19"/>
        <v>82.97707579700716</v>
      </c>
      <c r="M31" s="69">
        <f>2808.90222+2.24</f>
        <v>2811.1422199999997</v>
      </c>
      <c r="N31" s="34">
        <f t="shared" si="18"/>
        <v>91.448998698763816</v>
      </c>
      <c r="O31" s="69">
        <v>3258.8536399999998</v>
      </c>
      <c r="P31" s="34">
        <f t="shared" si="20"/>
        <v>106.0134560832791</v>
      </c>
      <c r="Q31" s="258">
        <f t="shared" si="17"/>
        <v>184.85363999999981</v>
      </c>
      <c r="R31" s="112" t="s">
        <v>281</v>
      </c>
      <c r="S31" s="259">
        <f>H31</f>
        <v>3074</v>
      </c>
      <c r="T31" s="258">
        <f>S31-H31</f>
        <v>0</v>
      </c>
      <c r="U31" s="69">
        <v>3074</v>
      </c>
      <c r="V31" s="158">
        <f t="shared" si="21"/>
        <v>1</v>
      </c>
    </row>
    <row r="32" spans="1:23" x14ac:dyDescent="0.2">
      <c r="A32" s="109"/>
      <c r="B32" s="29">
        <v>1341</v>
      </c>
      <c r="C32" s="109"/>
      <c r="D32" s="29">
        <v>5</v>
      </c>
      <c r="E32" s="29" t="s">
        <v>107</v>
      </c>
      <c r="F32" s="69">
        <v>129</v>
      </c>
      <c r="G32" s="69"/>
      <c r="H32" s="69">
        <f>SUM(F32:G32)</f>
        <v>129</v>
      </c>
      <c r="I32" s="69">
        <v>91.072999999999993</v>
      </c>
      <c r="J32" s="34">
        <f>I32/$H32*100</f>
        <v>70.599224806201548</v>
      </c>
      <c r="K32" s="69">
        <v>113.95099999999999</v>
      </c>
      <c r="L32" s="34">
        <f t="shared" si="19"/>
        <v>88.334108527131789</v>
      </c>
      <c r="M32" s="69">
        <v>123.795</v>
      </c>
      <c r="N32" s="34">
        <f t="shared" si="18"/>
        <v>95.965116279069775</v>
      </c>
      <c r="O32" s="69">
        <v>130.83199999999999</v>
      </c>
      <c r="P32" s="34">
        <f t="shared" si="20"/>
        <v>101.42015503875967</v>
      </c>
      <c r="Q32" s="258">
        <f t="shared" si="17"/>
        <v>1.8319999999999936</v>
      </c>
      <c r="R32" s="112"/>
      <c r="S32" s="259">
        <f>H32</f>
        <v>129</v>
      </c>
      <c r="T32" s="258">
        <f>S32-H32</f>
        <v>0</v>
      </c>
      <c r="U32" s="69">
        <v>128</v>
      </c>
      <c r="V32" s="158">
        <f t="shared" si="21"/>
        <v>0.99224806201550386</v>
      </c>
    </row>
    <row r="33" spans="1:23" x14ac:dyDescent="0.2">
      <c r="A33" s="109"/>
      <c r="B33" s="29">
        <v>1343</v>
      </c>
      <c r="C33" s="109"/>
      <c r="D33" s="29">
        <v>30</v>
      </c>
      <c r="E33" s="29" t="s">
        <v>108</v>
      </c>
      <c r="F33" s="69">
        <v>85</v>
      </c>
      <c r="G33" s="69"/>
      <c r="H33" s="69">
        <f>SUM(F33:G33)</f>
        <v>85</v>
      </c>
      <c r="I33" s="69">
        <v>30.582999999999998</v>
      </c>
      <c r="J33" s="34">
        <f>I33/$H33*100</f>
        <v>35.980000000000004</v>
      </c>
      <c r="K33" s="69">
        <v>69.521000000000001</v>
      </c>
      <c r="L33" s="34">
        <f t="shared" si="19"/>
        <v>81.789411764705889</v>
      </c>
      <c r="M33" s="69">
        <v>87.540999999999997</v>
      </c>
      <c r="N33" s="34">
        <f t="shared" si="18"/>
        <v>102.98941176470589</v>
      </c>
      <c r="O33" s="69">
        <v>126.32599999999999</v>
      </c>
      <c r="P33" s="34">
        <f t="shared" si="20"/>
        <v>148.61882352941177</v>
      </c>
      <c r="Q33" s="258">
        <f t="shared" si="17"/>
        <v>41.325999999999993</v>
      </c>
      <c r="R33" s="112"/>
      <c r="S33" s="262">
        <f>M33/3*4</f>
        <v>116.72133333333333</v>
      </c>
      <c r="T33" s="258">
        <f>S33-H33</f>
        <v>31.721333333333334</v>
      </c>
      <c r="U33" s="69">
        <v>95</v>
      </c>
      <c r="V33" s="158">
        <f t="shared" si="21"/>
        <v>1.1176470588235294</v>
      </c>
    </row>
    <row r="34" spans="1:23" x14ac:dyDescent="0.2">
      <c r="A34" s="109"/>
      <c r="B34" s="29">
        <v>1344</v>
      </c>
      <c r="C34" s="109"/>
      <c r="D34" s="29">
        <v>31</v>
      </c>
      <c r="E34" s="29" t="s">
        <v>109</v>
      </c>
      <c r="F34" s="69">
        <v>0</v>
      </c>
      <c r="G34" s="69"/>
      <c r="H34" s="69">
        <f>SUM(F34:G34)</f>
        <v>0</v>
      </c>
      <c r="I34" s="69">
        <v>68.206000000000003</v>
      </c>
      <c r="J34" s="34" t="e">
        <f>I34/$H34*100</f>
        <v>#DIV/0!</v>
      </c>
      <c r="K34" s="69">
        <v>78.206000000000003</v>
      </c>
      <c r="L34" s="34"/>
      <c r="M34" s="69">
        <v>93.206000000000003</v>
      </c>
      <c r="N34" s="34"/>
      <c r="O34" s="69">
        <v>102.5073</v>
      </c>
      <c r="P34" s="34" t="e">
        <f t="shared" si="20"/>
        <v>#DIV/0!</v>
      </c>
      <c r="Q34" s="258">
        <f t="shared" ref="Q34:Q35" si="22">O34-H34</f>
        <v>102.5073</v>
      </c>
      <c r="R34" s="112" t="s">
        <v>427</v>
      </c>
      <c r="S34" s="259">
        <v>93</v>
      </c>
      <c r="T34" s="258">
        <f>S34-H34</f>
        <v>93</v>
      </c>
      <c r="U34" s="69">
        <v>0</v>
      </c>
      <c r="V34" s="158" t="e">
        <f t="shared" si="21"/>
        <v>#DIV/0!</v>
      </c>
    </row>
    <row r="35" spans="1:23" ht="13.5" customHeight="1" x14ac:dyDescent="0.2">
      <c r="A35" s="109"/>
      <c r="B35" s="29">
        <v>1345</v>
      </c>
      <c r="C35" s="109"/>
      <c r="D35" s="29">
        <v>28</v>
      </c>
      <c r="E35" s="29" t="s">
        <v>352</v>
      </c>
      <c r="F35" s="69">
        <v>55</v>
      </c>
      <c r="G35" s="69"/>
      <c r="H35" s="69">
        <f>SUM(F35:G35)</f>
        <v>55</v>
      </c>
      <c r="I35" s="69">
        <v>0.04</v>
      </c>
      <c r="J35" s="34">
        <f>I35/$H35*100</f>
        <v>7.2727272727272738E-2</v>
      </c>
      <c r="K35" s="69">
        <f>20.235+3.09652</f>
        <v>23.331519999999998</v>
      </c>
      <c r="L35" s="34">
        <f t="shared" si="19"/>
        <v>42.420945454545453</v>
      </c>
      <c r="M35" s="69">
        <f>20.465+1.09652</f>
        <v>21.561520000000002</v>
      </c>
      <c r="N35" s="34">
        <f t="shared" si="18"/>
        <v>39.202763636363642</v>
      </c>
      <c r="O35" s="69">
        <f>75.965+1.09652</f>
        <v>77.061520000000002</v>
      </c>
      <c r="P35" s="34">
        <f t="shared" si="20"/>
        <v>140.11185454545455</v>
      </c>
      <c r="Q35" s="258">
        <f t="shared" si="22"/>
        <v>22.061520000000002</v>
      </c>
      <c r="R35" s="112"/>
      <c r="S35" s="259">
        <f>H35</f>
        <v>55</v>
      </c>
      <c r="T35" s="258">
        <f>S35-H35</f>
        <v>0</v>
      </c>
      <c r="U35" s="69">
        <v>55</v>
      </c>
      <c r="V35" s="158">
        <f t="shared" si="21"/>
        <v>1</v>
      </c>
    </row>
    <row r="36" spans="1:23" x14ac:dyDescent="0.2">
      <c r="A36" s="96" t="s">
        <v>32</v>
      </c>
      <c r="B36" s="32"/>
      <c r="C36" s="96"/>
      <c r="D36" s="32"/>
      <c r="E36" s="32"/>
      <c r="F36" s="70">
        <f>SUM(F37)</f>
        <v>4000</v>
      </c>
      <c r="G36" s="70">
        <f>SUM(G37)</f>
        <v>0</v>
      </c>
      <c r="H36" s="70">
        <f>SUM(H37:H37)</f>
        <v>4000</v>
      </c>
      <c r="I36" s="70">
        <f>SUM(I37)</f>
        <v>32.546390000000002</v>
      </c>
      <c r="J36" s="210">
        <f t="shared" si="12"/>
        <v>0.81365975000000001</v>
      </c>
      <c r="K36" s="70">
        <f>SUM(K37)</f>
        <v>2585.0619700000002</v>
      </c>
      <c r="L36" s="210">
        <f t="shared" si="19"/>
        <v>64.626549250000011</v>
      </c>
      <c r="M36" s="70">
        <f>SUM(M37)</f>
        <v>2743.8345199999999</v>
      </c>
      <c r="N36" s="210">
        <f t="shared" si="18"/>
        <v>68.595863000000008</v>
      </c>
      <c r="O36" s="70">
        <f>SUM(O37)</f>
        <v>4083.42191</v>
      </c>
      <c r="P36" s="210">
        <f t="shared" si="20"/>
        <v>102.08554775</v>
      </c>
      <c r="Q36" s="338">
        <f>SUM(Q37:Q37)</f>
        <v>83.421910000000025</v>
      </c>
      <c r="R36" s="239"/>
      <c r="S36" s="338">
        <f>SUM(S37)</f>
        <v>4000</v>
      </c>
      <c r="T36" s="338">
        <f>SUM(T37)</f>
        <v>0</v>
      </c>
      <c r="U36" s="70">
        <f>SUM(U37)</f>
        <v>4000</v>
      </c>
      <c r="V36" s="157">
        <f t="shared" si="21"/>
        <v>1</v>
      </c>
    </row>
    <row r="37" spans="1:23" ht="13.5" thickBot="1" x14ac:dyDescent="0.25">
      <c r="A37" s="109"/>
      <c r="B37" s="29">
        <v>1511</v>
      </c>
      <c r="C37" s="109" t="s">
        <v>33</v>
      </c>
      <c r="D37" s="109"/>
      <c r="E37" s="29" t="s">
        <v>180</v>
      </c>
      <c r="F37" s="69">
        <v>4000</v>
      </c>
      <c r="G37" s="69"/>
      <c r="H37" s="69">
        <f>SUM(F37:G37)</f>
        <v>4000</v>
      </c>
      <c r="I37" s="69">
        <v>32.546390000000002</v>
      </c>
      <c r="J37" s="34">
        <f t="shared" si="12"/>
        <v>0.81365975000000001</v>
      </c>
      <c r="K37" s="69">
        <v>2585.0619700000002</v>
      </c>
      <c r="L37" s="34">
        <f t="shared" si="19"/>
        <v>64.626549250000011</v>
      </c>
      <c r="M37" s="69">
        <v>2743.8345199999999</v>
      </c>
      <c r="N37" s="34">
        <f t="shared" si="18"/>
        <v>68.595863000000008</v>
      </c>
      <c r="O37" s="69">
        <v>4083.42191</v>
      </c>
      <c r="P37" s="34">
        <f t="shared" si="20"/>
        <v>102.08554775</v>
      </c>
      <c r="Q37" s="258">
        <f t="shared" ref="Q37" si="23">O37-H37</f>
        <v>83.421910000000025</v>
      </c>
      <c r="R37" s="112"/>
      <c r="S37" s="259">
        <f>H37</f>
        <v>4000</v>
      </c>
      <c r="T37" s="258">
        <f>S37-H37</f>
        <v>0</v>
      </c>
      <c r="U37" s="69">
        <v>4000</v>
      </c>
      <c r="V37" s="158">
        <f t="shared" si="21"/>
        <v>1</v>
      </c>
    </row>
    <row r="38" spans="1:23" ht="18" customHeight="1" thickBot="1" x14ac:dyDescent="0.3">
      <c r="A38" s="115" t="s">
        <v>34</v>
      </c>
      <c r="B38" s="116"/>
      <c r="C38" s="115"/>
      <c r="D38" s="116"/>
      <c r="E38" s="115"/>
      <c r="F38" s="71">
        <f>SUM(F5+F14+F26+F30+F36)</f>
        <v>91121</v>
      </c>
      <c r="G38" s="71">
        <f>SUM(G5+G14+G26+G30+G36)</f>
        <v>0</v>
      </c>
      <c r="H38" s="71">
        <f>SUM(H5+H14+H26+H30+H36)</f>
        <v>91121</v>
      </c>
      <c r="I38" s="71">
        <f>SUM(I5+I14+I26+I30+I36)</f>
        <v>24922.761000000002</v>
      </c>
      <c r="J38" s="36">
        <f>I38/$H38*100</f>
        <v>27.351281263375078</v>
      </c>
      <c r="K38" s="71">
        <f t="shared" ref="K38:Q38" si="24">SUM(K5+K14+K26+K30+K36)</f>
        <v>48993.236389999998</v>
      </c>
      <c r="L38" s="71">
        <f t="shared" si="24"/>
        <v>312.71016216428029</v>
      </c>
      <c r="M38" s="71">
        <f t="shared" si="24"/>
        <v>71196.877260000008</v>
      </c>
      <c r="N38" s="71">
        <f t="shared" si="24"/>
        <v>403.4482872133479</v>
      </c>
      <c r="O38" s="71">
        <f t="shared" si="24"/>
        <v>95464.905759999994</v>
      </c>
      <c r="P38" s="71">
        <f t="shared" si="24"/>
        <v>523.96262321252414</v>
      </c>
      <c r="Q38" s="342">
        <f t="shared" si="24"/>
        <v>4343.9057599999969</v>
      </c>
      <c r="R38" s="71"/>
      <c r="S38" s="342">
        <f>SUM(S5+S14+S26+S30+S36)</f>
        <v>94876.741333333339</v>
      </c>
      <c r="T38" s="342">
        <f>SUM(T5+T14+T26+T30+T36)</f>
        <v>3810.7413333333334</v>
      </c>
      <c r="U38" s="71">
        <f>SUM(U5+U14+U26+U30+U36)</f>
        <v>93221</v>
      </c>
      <c r="V38" s="159">
        <f t="shared" si="21"/>
        <v>1.0230462791233634</v>
      </c>
      <c r="W38" s="117"/>
    </row>
    <row r="39" spans="1:23" x14ac:dyDescent="0.2">
      <c r="A39" s="110"/>
      <c r="B39" s="77"/>
      <c r="C39" s="110"/>
      <c r="D39" s="77"/>
      <c r="E39" s="110" t="s">
        <v>35</v>
      </c>
      <c r="F39" s="76"/>
      <c r="G39" s="76"/>
      <c r="H39" s="76"/>
      <c r="I39" s="76"/>
      <c r="J39" s="37"/>
      <c r="K39" s="76"/>
      <c r="L39" s="37"/>
      <c r="M39" s="76"/>
      <c r="N39" s="37"/>
      <c r="O39" s="76"/>
      <c r="P39" s="37"/>
      <c r="Q39" s="343"/>
      <c r="R39" s="240"/>
      <c r="S39" s="343"/>
      <c r="T39" s="343"/>
      <c r="U39" s="76"/>
      <c r="V39" s="160"/>
    </row>
    <row r="40" spans="1:23" x14ac:dyDescent="0.2">
      <c r="A40" s="96" t="s">
        <v>36</v>
      </c>
      <c r="B40" s="32"/>
      <c r="C40" s="96"/>
      <c r="D40" s="32"/>
      <c r="E40" s="32"/>
      <c r="F40" s="70"/>
      <c r="G40" s="70"/>
      <c r="H40" s="70"/>
      <c r="I40" s="70"/>
      <c r="J40" s="34"/>
      <c r="K40" s="70"/>
      <c r="L40" s="34"/>
      <c r="M40" s="70"/>
      <c r="N40" s="34"/>
      <c r="O40" s="70"/>
      <c r="P40" s="34"/>
      <c r="Q40" s="344"/>
      <c r="R40" s="239"/>
      <c r="S40" s="344"/>
      <c r="T40" s="344"/>
      <c r="U40" s="70"/>
      <c r="V40" s="158"/>
    </row>
    <row r="41" spans="1:23" x14ac:dyDescent="0.2">
      <c r="A41" s="109"/>
      <c r="B41" s="32"/>
      <c r="C41" s="109"/>
      <c r="D41" s="32"/>
      <c r="E41" s="32" t="s">
        <v>152</v>
      </c>
      <c r="F41" s="70">
        <f>SUM(F42:F63)</f>
        <v>12679</v>
      </c>
      <c r="G41" s="70">
        <f>SUM(G42:G63)</f>
        <v>564.09</v>
      </c>
      <c r="H41" s="70">
        <f>SUM(H42:H63)</f>
        <v>13243.09</v>
      </c>
      <c r="I41" s="70">
        <f>SUM(I42:I63)</f>
        <v>1930.3343000000002</v>
      </c>
      <c r="J41" s="210">
        <f t="shared" ref="J41:J79" si="25">I41/$H41*100</f>
        <v>14.576162360899156</v>
      </c>
      <c r="K41" s="70">
        <f>SUM(K42:K63)</f>
        <v>3542.8117999999999</v>
      </c>
      <c r="L41" s="210">
        <f t="shared" ref="L41:L60" si="26">K41/$H41*100</f>
        <v>26.752153764718052</v>
      </c>
      <c r="M41" s="70">
        <f>SUM(M42:M63)</f>
        <v>11743.722499999998</v>
      </c>
      <c r="N41" s="210">
        <f t="shared" ref="N41:N61" si="27">M41/$H41*100</f>
        <v>88.678114397772717</v>
      </c>
      <c r="O41" s="70">
        <f>SUM(O42:O63)</f>
        <v>13986.7778</v>
      </c>
      <c r="P41" s="210">
        <f t="shared" ref="P41:P61" si="28">O41/$H41*100</f>
        <v>105.61566673638856</v>
      </c>
      <c r="Q41" s="338">
        <f>SUM(Q42:Q63)</f>
        <v>743.68779999999992</v>
      </c>
      <c r="R41" s="112"/>
      <c r="S41" s="338">
        <f>SUM(S42:S63)</f>
        <v>13351.772326666665</v>
      </c>
      <c r="T41" s="338">
        <f>SUM(T42:T63)</f>
        <v>108.68232666666648</v>
      </c>
      <c r="U41" s="70">
        <f>SUM(U42:U63)</f>
        <v>8979</v>
      </c>
      <c r="V41" s="157">
        <f t="shared" ref="V41:V60" si="29">U41/F41</f>
        <v>0.70817887846044636</v>
      </c>
      <c r="W41" s="117" t="s">
        <v>266</v>
      </c>
    </row>
    <row r="42" spans="1:23" x14ac:dyDescent="0.2">
      <c r="A42" s="109"/>
      <c r="B42" s="29">
        <v>2111</v>
      </c>
      <c r="C42" s="109">
        <v>1031</v>
      </c>
      <c r="D42" s="29">
        <v>201</v>
      </c>
      <c r="E42" s="29" t="s">
        <v>95</v>
      </c>
      <c r="F42" s="69">
        <v>400</v>
      </c>
      <c r="G42" s="69"/>
      <c r="H42" s="69">
        <f t="shared" ref="H42:H63" si="30">SUM(F42:G42)</f>
        <v>400</v>
      </c>
      <c r="I42" s="69">
        <v>373.90780000000001</v>
      </c>
      <c r="J42" s="34">
        <f t="shared" si="25"/>
        <v>93.476950000000002</v>
      </c>
      <c r="K42" s="69">
        <v>375.90780000000001</v>
      </c>
      <c r="L42" s="34">
        <f t="shared" si="26"/>
        <v>93.976950000000002</v>
      </c>
      <c r="M42" s="69">
        <v>779.83280000000002</v>
      </c>
      <c r="N42" s="34">
        <f t="shared" si="27"/>
        <v>194.95820000000001</v>
      </c>
      <c r="O42" s="69">
        <v>1050.0618999999999</v>
      </c>
      <c r="P42" s="34">
        <f t="shared" si="28"/>
        <v>262.51547499999998</v>
      </c>
      <c r="Q42" s="258">
        <f t="shared" ref="Q42:Q63" si="31">O42-H42</f>
        <v>650.06189999999992</v>
      </c>
      <c r="R42" s="112"/>
      <c r="S42" s="416">
        <v>800</v>
      </c>
      <c r="T42" s="258">
        <f t="shared" ref="T42:T62" si="32">S42-H42</f>
        <v>400</v>
      </c>
      <c r="U42" s="69">
        <v>400</v>
      </c>
      <c r="V42" s="158">
        <f t="shared" si="29"/>
        <v>1</v>
      </c>
      <c r="W42" s="418">
        <v>70</v>
      </c>
    </row>
    <row r="43" spans="1:23" x14ac:dyDescent="0.2">
      <c r="A43" s="109"/>
      <c r="B43" s="29">
        <v>2111</v>
      </c>
      <c r="C43" s="109">
        <v>2219</v>
      </c>
      <c r="D43" s="29">
        <v>43</v>
      </c>
      <c r="E43" s="29" t="s">
        <v>177</v>
      </c>
      <c r="F43" s="69">
        <v>1050</v>
      </c>
      <c r="G43" s="69"/>
      <c r="H43" s="69">
        <f t="shared" si="30"/>
        <v>1050</v>
      </c>
      <c r="I43" s="69">
        <v>271.774</v>
      </c>
      <c r="J43" s="34">
        <f t="shared" si="25"/>
        <v>25.883238095238099</v>
      </c>
      <c r="K43" s="69">
        <v>516.47799999999995</v>
      </c>
      <c r="L43" s="34">
        <f t="shared" si="26"/>
        <v>49.188380952380953</v>
      </c>
      <c r="M43" s="69">
        <v>787.68299999999999</v>
      </c>
      <c r="N43" s="34">
        <f t="shared" si="27"/>
        <v>75.017428571428567</v>
      </c>
      <c r="O43" s="69">
        <v>1045.75</v>
      </c>
      <c r="P43" s="34">
        <f t="shared" si="28"/>
        <v>99.595238095238088</v>
      </c>
      <c r="Q43" s="258">
        <f t="shared" si="31"/>
        <v>-4.25</v>
      </c>
      <c r="R43" s="112"/>
      <c r="S43" s="262">
        <f t="shared" ref="S43:S51" si="33">M43/3*4</f>
        <v>1050.2439999999999</v>
      </c>
      <c r="T43" s="258">
        <f t="shared" si="32"/>
        <v>0.24399999999991451</v>
      </c>
      <c r="U43" s="69">
        <v>1070</v>
      </c>
      <c r="V43" s="158">
        <f t="shared" si="29"/>
        <v>1.019047619047619</v>
      </c>
      <c r="W43" s="117"/>
    </row>
    <row r="44" spans="1:23" x14ac:dyDescent="0.2">
      <c r="A44" s="109"/>
      <c r="B44" s="29">
        <v>2111</v>
      </c>
      <c r="C44" s="109">
        <v>3113</v>
      </c>
      <c r="D44" s="29">
        <v>302</v>
      </c>
      <c r="E44" s="29" t="s">
        <v>371</v>
      </c>
      <c r="F44" s="69">
        <v>260</v>
      </c>
      <c r="G44" s="69"/>
      <c r="H44" s="69">
        <f t="shared" si="30"/>
        <v>260</v>
      </c>
      <c r="I44" s="69">
        <v>65</v>
      </c>
      <c r="J44" s="34"/>
      <c r="K44" s="69">
        <v>130</v>
      </c>
      <c r="L44" s="34">
        <f t="shared" si="26"/>
        <v>50</v>
      </c>
      <c r="M44" s="69">
        <v>195</v>
      </c>
      <c r="N44" s="34">
        <f t="shared" si="27"/>
        <v>75</v>
      </c>
      <c r="O44" s="69">
        <v>260</v>
      </c>
      <c r="P44" s="34">
        <f t="shared" si="28"/>
        <v>100</v>
      </c>
      <c r="Q44" s="258">
        <f t="shared" si="31"/>
        <v>0</v>
      </c>
      <c r="R44" s="112"/>
      <c r="S44" s="262">
        <f t="shared" si="33"/>
        <v>260</v>
      </c>
      <c r="T44" s="258">
        <f t="shared" si="32"/>
        <v>0</v>
      </c>
      <c r="U44" s="69">
        <v>260</v>
      </c>
      <c r="V44" s="158"/>
      <c r="W44" s="117"/>
    </row>
    <row r="45" spans="1:23" x14ac:dyDescent="0.2">
      <c r="A45" s="109"/>
      <c r="B45" s="29">
        <v>2111</v>
      </c>
      <c r="C45" s="109">
        <v>3613</v>
      </c>
      <c r="D45" s="29">
        <v>316</v>
      </c>
      <c r="E45" s="29" t="s">
        <v>373</v>
      </c>
      <c r="F45" s="69">
        <v>100</v>
      </c>
      <c r="G45" s="69"/>
      <c r="H45" s="69">
        <f t="shared" si="30"/>
        <v>100</v>
      </c>
      <c r="I45" s="69"/>
      <c r="J45" s="34"/>
      <c r="K45" s="69">
        <v>0</v>
      </c>
      <c r="L45" s="34">
        <f t="shared" si="26"/>
        <v>0</v>
      </c>
      <c r="M45" s="69">
        <v>62.128</v>
      </c>
      <c r="N45" s="34">
        <f t="shared" si="27"/>
        <v>62.128000000000007</v>
      </c>
      <c r="O45" s="69">
        <v>107.624</v>
      </c>
      <c r="P45" s="34">
        <f t="shared" si="28"/>
        <v>107.62399999999998</v>
      </c>
      <c r="Q45" s="258">
        <f t="shared" si="31"/>
        <v>7.6239999999999952</v>
      </c>
      <c r="R45" s="112"/>
      <c r="S45" s="262">
        <f t="shared" si="33"/>
        <v>82.837333333333333</v>
      </c>
      <c r="T45" s="258">
        <f t="shared" si="32"/>
        <v>-17.162666666666667</v>
      </c>
      <c r="U45" s="69">
        <v>195</v>
      </c>
      <c r="V45" s="158"/>
      <c r="W45" s="117"/>
    </row>
    <row r="46" spans="1:23" x14ac:dyDescent="0.2">
      <c r="A46" s="109"/>
      <c r="B46" s="29">
        <v>2111</v>
      </c>
      <c r="C46" s="109"/>
      <c r="D46" s="29"/>
      <c r="E46" s="29" t="s">
        <v>456</v>
      </c>
      <c r="F46" s="69"/>
      <c r="G46" s="69"/>
      <c r="H46" s="69"/>
      <c r="I46" s="69"/>
      <c r="J46" s="34"/>
      <c r="K46" s="69"/>
      <c r="L46" s="34"/>
      <c r="M46" s="69"/>
      <c r="N46" s="34"/>
      <c r="O46" s="69">
        <v>0</v>
      </c>
      <c r="P46" s="34"/>
      <c r="Q46" s="258">
        <f t="shared" si="31"/>
        <v>0</v>
      </c>
      <c r="R46" s="112"/>
      <c r="S46" s="262"/>
      <c r="T46" s="258"/>
      <c r="U46" s="69">
        <v>200</v>
      </c>
      <c r="V46" s="158"/>
      <c r="W46" s="117"/>
    </row>
    <row r="47" spans="1:23" x14ac:dyDescent="0.2">
      <c r="A47" s="109"/>
      <c r="B47" s="29">
        <v>2111</v>
      </c>
      <c r="C47" s="109">
        <v>3314</v>
      </c>
      <c r="D47" s="29">
        <v>504</v>
      </c>
      <c r="E47" s="29" t="s">
        <v>176</v>
      </c>
      <c r="F47" s="69">
        <v>96</v>
      </c>
      <c r="G47" s="69"/>
      <c r="H47" s="69">
        <f t="shared" si="30"/>
        <v>96</v>
      </c>
      <c r="I47" s="69">
        <v>63.292000000000002</v>
      </c>
      <c r="J47" s="34">
        <f t="shared" si="25"/>
        <v>65.929166666666674</v>
      </c>
      <c r="K47" s="69">
        <v>76.146000000000001</v>
      </c>
      <c r="L47" s="34">
        <f t="shared" si="26"/>
        <v>79.318750000000009</v>
      </c>
      <c r="M47" s="69">
        <v>85.69</v>
      </c>
      <c r="N47" s="34">
        <f t="shared" si="27"/>
        <v>89.260416666666657</v>
      </c>
      <c r="O47" s="69">
        <v>94.983000000000004</v>
      </c>
      <c r="P47" s="34">
        <f t="shared" si="28"/>
        <v>98.940625000000011</v>
      </c>
      <c r="Q47" s="258">
        <f t="shared" si="31"/>
        <v>-1.0169999999999959</v>
      </c>
      <c r="R47" s="112"/>
      <c r="S47" s="416">
        <v>96</v>
      </c>
      <c r="T47" s="258">
        <f t="shared" si="32"/>
        <v>0</v>
      </c>
      <c r="U47" s="69">
        <v>96</v>
      </c>
      <c r="V47" s="158">
        <f t="shared" si="29"/>
        <v>1</v>
      </c>
      <c r="W47" s="117"/>
    </row>
    <row r="48" spans="1:23" x14ac:dyDescent="0.2">
      <c r="A48" s="109"/>
      <c r="B48" s="29">
        <v>2111</v>
      </c>
      <c r="C48" s="406" t="s">
        <v>297</v>
      </c>
      <c r="D48" s="29">
        <v>41</v>
      </c>
      <c r="E48" s="29" t="s">
        <v>40</v>
      </c>
      <c r="F48" s="69">
        <v>70</v>
      </c>
      <c r="G48" s="69"/>
      <c r="H48" s="69">
        <f t="shared" si="30"/>
        <v>70</v>
      </c>
      <c r="I48" s="69">
        <v>17.684999999999999</v>
      </c>
      <c r="J48" s="34">
        <f t="shared" si="25"/>
        <v>25.264285714285712</v>
      </c>
      <c r="K48" s="69">
        <v>33.99</v>
      </c>
      <c r="L48" s="34">
        <f t="shared" si="26"/>
        <v>48.557142857142857</v>
      </c>
      <c r="M48" s="69">
        <v>44.22</v>
      </c>
      <c r="N48" s="34">
        <f t="shared" si="27"/>
        <v>63.171428571428564</v>
      </c>
      <c r="O48" s="69">
        <v>73.674999999999997</v>
      </c>
      <c r="P48" s="34">
        <f t="shared" si="28"/>
        <v>105.25</v>
      </c>
      <c r="Q48" s="258">
        <f t="shared" si="31"/>
        <v>3.6749999999999972</v>
      </c>
      <c r="R48" s="112"/>
      <c r="S48" s="262">
        <f t="shared" si="33"/>
        <v>58.96</v>
      </c>
      <c r="T48" s="258">
        <f t="shared" si="32"/>
        <v>-11.04</v>
      </c>
      <c r="U48" s="69">
        <v>80</v>
      </c>
      <c r="V48" s="158">
        <f t="shared" si="29"/>
        <v>1.1428571428571428</v>
      </c>
      <c r="W48" s="418">
        <v>14</v>
      </c>
    </row>
    <row r="49" spans="1:23" x14ac:dyDescent="0.2">
      <c r="A49" s="109"/>
      <c r="B49" s="29">
        <v>2111</v>
      </c>
      <c r="C49" s="109">
        <v>3349</v>
      </c>
      <c r="D49" s="29">
        <v>42</v>
      </c>
      <c r="E49" s="29" t="s">
        <v>37</v>
      </c>
      <c r="F49" s="69">
        <v>99</v>
      </c>
      <c r="G49" s="69"/>
      <c r="H49" s="69">
        <f t="shared" si="30"/>
        <v>99</v>
      </c>
      <c r="I49" s="69">
        <v>34.088999999999999</v>
      </c>
      <c r="J49" s="34">
        <f t="shared" si="25"/>
        <v>34.43333333333333</v>
      </c>
      <c r="K49" s="69">
        <v>65.924999999999997</v>
      </c>
      <c r="L49" s="34">
        <f t="shared" si="26"/>
        <v>66.590909090909093</v>
      </c>
      <c r="M49" s="69">
        <v>87.724000000000004</v>
      </c>
      <c r="N49" s="34">
        <f t="shared" si="27"/>
        <v>88.610101010101019</v>
      </c>
      <c r="O49" s="69">
        <v>120.545</v>
      </c>
      <c r="P49" s="34">
        <f t="shared" si="28"/>
        <v>121.76262626262626</v>
      </c>
      <c r="Q49" s="258">
        <f t="shared" si="31"/>
        <v>21.545000000000002</v>
      </c>
      <c r="R49" s="112"/>
      <c r="S49" s="262">
        <f t="shared" si="33"/>
        <v>116.96533333333333</v>
      </c>
      <c r="T49" s="258">
        <f t="shared" si="32"/>
        <v>17.965333333333334</v>
      </c>
      <c r="U49" s="69">
        <v>100</v>
      </c>
      <c r="V49" s="158">
        <f t="shared" si="29"/>
        <v>1.0101010101010102</v>
      </c>
      <c r="W49" s="418">
        <v>10</v>
      </c>
    </row>
    <row r="50" spans="1:23" x14ac:dyDescent="0.2">
      <c r="A50" s="109"/>
      <c r="B50" s="29">
        <v>2111</v>
      </c>
      <c r="C50" s="109">
        <v>3612</v>
      </c>
      <c r="D50" s="29" t="s">
        <v>318</v>
      </c>
      <c r="E50" s="29" t="s">
        <v>181</v>
      </c>
      <c r="F50" s="69">
        <v>3578</v>
      </c>
      <c r="G50" s="69">
        <v>-568</v>
      </c>
      <c r="H50" s="69">
        <f t="shared" si="30"/>
        <v>3010</v>
      </c>
      <c r="I50" s="69">
        <f>96.989+77.409+315.445</f>
        <v>489.84300000000002</v>
      </c>
      <c r="J50" s="34">
        <f t="shared" si="25"/>
        <v>16.27385382059801</v>
      </c>
      <c r="K50" s="69">
        <f>322.327-3.207+629.172</f>
        <v>948.29200000000003</v>
      </c>
      <c r="L50" s="34">
        <f t="shared" si="26"/>
        <v>31.504717607973419</v>
      </c>
      <c r="M50" s="69">
        <f>628.908-50.152+1075.342</f>
        <v>1654.098</v>
      </c>
      <c r="N50" s="34">
        <f t="shared" si="27"/>
        <v>54.953421926910295</v>
      </c>
      <c r="O50" s="69">
        <f>903.947-49.333+1517.695</f>
        <v>2372.3090000000002</v>
      </c>
      <c r="P50" s="34">
        <f t="shared" si="28"/>
        <v>78.814252491694361</v>
      </c>
      <c r="Q50" s="258">
        <f t="shared" si="31"/>
        <v>-637.6909999999998</v>
      </c>
      <c r="R50" s="127"/>
      <c r="S50" s="262">
        <f t="shared" si="33"/>
        <v>2205.4639999999999</v>
      </c>
      <c r="T50" s="258">
        <f t="shared" si="32"/>
        <v>-804.53600000000006</v>
      </c>
      <c r="U50" s="69">
        <v>2050</v>
      </c>
      <c r="V50" s="158">
        <f t="shared" si="29"/>
        <v>0.57294577976523198</v>
      </c>
      <c r="W50" s="117"/>
    </row>
    <row r="51" spans="1:23" x14ac:dyDescent="0.2">
      <c r="A51" s="109"/>
      <c r="B51" s="29">
        <v>2111</v>
      </c>
      <c r="C51" s="109">
        <v>3613</v>
      </c>
      <c r="D51" s="29">
        <v>703</v>
      </c>
      <c r="E51" s="29" t="s">
        <v>182</v>
      </c>
      <c r="F51" s="69">
        <v>331</v>
      </c>
      <c r="G51" s="69"/>
      <c r="H51" s="69">
        <f t="shared" si="30"/>
        <v>331</v>
      </c>
      <c r="I51" s="69">
        <v>61.048999999999999</v>
      </c>
      <c r="J51" s="34">
        <f t="shared" si="25"/>
        <v>18.44380664652568</v>
      </c>
      <c r="K51" s="69">
        <v>125.001</v>
      </c>
      <c r="L51" s="34">
        <f t="shared" si="26"/>
        <v>37.76465256797583</v>
      </c>
      <c r="M51" s="69">
        <v>220.16900000000001</v>
      </c>
      <c r="N51" s="34">
        <f t="shared" si="27"/>
        <v>66.516314199395779</v>
      </c>
      <c r="O51" s="69">
        <v>308.161</v>
      </c>
      <c r="P51" s="34">
        <f t="shared" si="28"/>
        <v>93.100000000000009</v>
      </c>
      <c r="Q51" s="258">
        <f t="shared" si="31"/>
        <v>-22.838999999999999</v>
      </c>
      <c r="R51" s="241"/>
      <c r="S51" s="262">
        <f t="shared" si="33"/>
        <v>293.55866666666668</v>
      </c>
      <c r="T51" s="258">
        <f t="shared" si="32"/>
        <v>-37.441333333333318</v>
      </c>
      <c r="U51" s="69">
        <v>300</v>
      </c>
      <c r="V51" s="158">
        <f t="shared" si="29"/>
        <v>0.90634441087613293</v>
      </c>
      <c r="W51" s="117"/>
    </row>
    <row r="52" spans="1:23" x14ac:dyDescent="0.2">
      <c r="A52" s="109"/>
      <c r="B52" s="29">
        <v>2111</v>
      </c>
      <c r="C52" s="109">
        <v>3613</v>
      </c>
      <c r="D52" s="29">
        <v>305</v>
      </c>
      <c r="E52" s="29" t="s">
        <v>483</v>
      </c>
      <c r="F52" s="69"/>
      <c r="G52" s="69">
        <v>962.09</v>
      </c>
      <c r="H52" s="69">
        <f t="shared" si="30"/>
        <v>962.09</v>
      </c>
      <c r="I52" s="69"/>
      <c r="J52" s="34"/>
      <c r="K52" s="69"/>
      <c r="L52" s="34"/>
      <c r="M52" s="69">
        <v>1164.1288999999999</v>
      </c>
      <c r="N52" s="34">
        <f t="shared" si="27"/>
        <v>121</v>
      </c>
      <c r="O52" s="69">
        <v>1164.1288999999999</v>
      </c>
      <c r="P52" s="34">
        <f t="shared" si="28"/>
        <v>121</v>
      </c>
      <c r="Q52" s="258">
        <f t="shared" si="31"/>
        <v>202.0388999999999</v>
      </c>
      <c r="R52" s="241"/>
      <c r="S52" s="416">
        <f>M52</f>
        <v>1164.1288999999999</v>
      </c>
      <c r="T52" s="258">
        <f t="shared" si="32"/>
        <v>202.0388999999999</v>
      </c>
      <c r="U52" s="69">
        <v>0</v>
      </c>
      <c r="V52" s="158"/>
      <c r="W52" s="117"/>
    </row>
    <row r="53" spans="1:23" x14ac:dyDescent="0.2">
      <c r="A53" s="109"/>
      <c r="B53" s="29">
        <v>2111</v>
      </c>
      <c r="C53" s="109">
        <v>3632</v>
      </c>
      <c r="D53" s="29">
        <v>238</v>
      </c>
      <c r="E53" s="29" t="s">
        <v>38</v>
      </c>
      <c r="F53" s="69">
        <v>150</v>
      </c>
      <c r="G53" s="69"/>
      <c r="H53" s="69">
        <f t="shared" si="30"/>
        <v>150</v>
      </c>
      <c r="I53" s="69">
        <v>28.391999999999999</v>
      </c>
      <c r="J53" s="34">
        <f t="shared" si="25"/>
        <v>18.928000000000001</v>
      </c>
      <c r="K53" s="69">
        <v>66.629000000000005</v>
      </c>
      <c r="L53" s="34">
        <f t="shared" si="26"/>
        <v>44.419333333333341</v>
      </c>
      <c r="M53" s="69">
        <f>135.417-5.904</f>
        <v>129.51300000000001</v>
      </c>
      <c r="N53" s="34">
        <f t="shared" si="27"/>
        <v>86.342000000000013</v>
      </c>
      <c r="O53" s="69">
        <f>156.186+33.516</f>
        <v>189.702</v>
      </c>
      <c r="P53" s="34">
        <f t="shared" si="28"/>
        <v>126.468</v>
      </c>
      <c r="Q53" s="258">
        <f t="shared" si="31"/>
        <v>39.701999999999998</v>
      </c>
      <c r="R53" s="112"/>
      <c r="S53" s="416">
        <f>H53</f>
        <v>150</v>
      </c>
      <c r="T53" s="258">
        <f t="shared" si="32"/>
        <v>0</v>
      </c>
      <c r="U53" s="69">
        <v>100</v>
      </c>
      <c r="V53" s="158">
        <f t="shared" si="29"/>
        <v>0.66666666666666663</v>
      </c>
      <c r="W53" s="418">
        <v>17</v>
      </c>
    </row>
    <row r="54" spans="1:23" x14ac:dyDescent="0.2">
      <c r="A54" s="109"/>
      <c r="B54" s="29">
        <v>2111</v>
      </c>
      <c r="C54" s="109">
        <v>3639</v>
      </c>
      <c r="D54" s="29">
        <v>21.318999999999999</v>
      </c>
      <c r="E54" s="29" t="s">
        <v>275</v>
      </c>
      <c r="F54" s="69">
        <f>21+69</f>
        <v>90</v>
      </c>
      <c r="G54" s="69"/>
      <c r="H54" s="69">
        <f t="shared" si="30"/>
        <v>90</v>
      </c>
      <c r="I54" s="69">
        <f>6.401+11.8</f>
        <v>18.201000000000001</v>
      </c>
      <c r="J54" s="34">
        <f t="shared" si="25"/>
        <v>20.223333333333336</v>
      </c>
      <c r="K54" s="69">
        <f>22.773+20.875</f>
        <v>43.647999999999996</v>
      </c>
      <c r="L54" s="34">
        <f t="shared" si="26"/>
        <v>48.49777777777777</v>
      </c>
      <c r="M54" s="69">
        <f>86.726+29.95-62.128</f>
        <v>54.548000000000002</v>
      </c>
      <c r="N54" s="34">
        <f t="shared" si="27"/>
        <v>60.608888888888892</v>
      </c>
      <c r="O54" s="69">
        <f>30.823+6.8058</f>
        <v>37.628799999999998</v>
      </c>
      <c r="P54" s="34">
        <f t="shared" si="28"/>
        <v>41.809777777777775</v>
      </c>
      <c r="Q54" s="258">
        <f t="shared" si="31"/>
        <v>-52.371200000000002</v>
      </c>
      <c r="R54" s="112"/>
      <c r="S54" s="262">
        <f t="shared" ref="S54:S59" si="34">M54/3*4</f>
        <v>72.730666666666664</v>
      </c>
      <c r="T54" s="258">
        <f t="shared" si="32"/>
        <v>-17.269333333333336</v>
      </c>
      <c r="U54" s="69">
        <f>18+48</f>
        <v>66</v>
      </c>
      <c r="V54" s="158">
        <f t="shared" si="29"/>
        <v>0.73333333333333328</v>
      </c>
      <c r="W54" s="418">
        <v>11</v>
      </c>
    </row>
    <row r="55" spans="1:23" x14ac:dyDescent="0.2">
      <c r="A55" s="109"/>
      <c r="B55" s="29">
        <v>2111.2323999999999</v>
      </c>
      <c r="C55" s="109">
        <v>3639</v>
      </c>
      <c r="D55" s="29">
        <v>239</v>
      </c>
      <c r="E55" s="29" t="s">
        <v>151</v>
      </c>
      <c r="F55" s="69">
        <v>40</v>
      </c>
      <c r="G55" s="69"/>
      <c r="H55" s="69">
        <f t="shared" si="30"/>
        <v>40</v>
      </c>
      <c r="I55" s="69"/>
      <c r="J55" s="34">
        <f t="shared" si="25"/>
        <v>0</v>
      </c>
      <c r="K55" s="69">
        <v>5.6</v>
      </c>
      <c r="L55" s="34">
        <f t="shared" si="26"/>
        <v>13.999999999999998</v>
      </c>
      <c r="M55" s="69">
        <v>21.2</v>
      </c>
      <c r="N55" s="34">
        <f t="shared" si="27"/>
        <v>53</v>
      </c>
      <c r="O55" s="69">
        <v>31.45</v>
      </c>
      <c r="P55" s="34">
        <f t="shared" si="28"/>
        <v>78.625</v>
      </c>
      <c r="Q55" s="258">
        <f t="shared" si="31"/>
        <v>-8.5500000000000007</v>
      </c>
      <c r="R55" s="112"/>
      <c r="S55" s="262">
        <f t="shared" si="34"/>
        <v>28.266666666666666</v>
      </c>
      <c r="T55" s="258">
        <f t="shared" si="32"/>
        <v>-11.733333333333334</v>
      </c>
      <c r="U55" s="69">
        <v>40</v>
      </c>
      <c r="V55" s="158">
        <f t="shared" si="29"/>
        <v>1</v>
      </c>
      <c r="W55" s="418">
        <v>7</v>
      </c>
    </row>
    <row r="56" spans="1:23" x14ac:dyDescent="0.2">
      <c r="A56" s="109"/>
      <c r="B56" s="29">
        <v>2111</v>
      </c>
      <c r="C56" s="109">
        <v>3639</v>
      </c>
      <c r="D56" s="29">
        <v>243</v>
      </c>
      <c r="E56" s="29" t="s">
        <v>93</v>
      </c>
      <c r="F56" s="69">
        <v>45</v>
      </c>
      <c r="G56" s="69"/>
      <c r="H56" s="69">
        <f t="shared" si="30"/>
        <v>45</v>
      </c>
      <c r="I56" s="69">
        <v>7.2750000000000004</v>
      </c>
      <c r="J56" s="34">
        <f t="shared" si="25"/>
        <v>16.166666666666668</v>
      </c>
      <c r="K56" s="69">
        <v>20.04</v>
      </c>
      <c r="L56" s="34">
        <f t="shared" si="26"/>
        <v>44.533333333333331</v>
      </c>
      <c r="M56" s="69">
        <v>32.56</v>
      </c>
      <c r="N56" s="34">
        <f t="shared" si="27"/>
        <v>72.355555555555569</v>
      </c>
      <c r="O56" s="69">
        <v>45.094999999999999</v>
      </c>
      <c r="P56" s="34">
        <f t="shared" si="28"/>
        <v>100.21111111111112</v>
      </c>
      <c r="Q56" s="258">
        <f t="shared" si="31"/>
        <v>9.4999999999998863E-2</v>
      </c>
      <c r="R56" s="112"/>
      <c r="S56" s="262">
        <f t="shared" si="34"/>
        <v>43.413333333333334</v>
      </c>
      <c r="T56" s="258">
        <f t="shared" si="32"/>
        <v>-1.586666666666666</v>
      </c>
      <c r="U56" s="69">
        <v>45</v>
      </c>
      <c r="V56" s="158">
        <f t="shared" si="29"/>
        <v>1</v>
      </c>
      <c r="W56" s="418">
        <v>8</v>
      </c>
    </row>
    <row r="57" spans="1:23" x14ac:dyDescent="0.2">
      <c r="A57" s="109"/>
      <c r="B57" s="29">
        <v>2111</v>
      </c>
      <c r="C57" s="109">
        <v>4351</v>
      </c>
      <c r="D57" s="29">
        <v>227</v>
      </c>
      <c r="E57" s="29" t="s">
        <v>149</v>
      </c>
      <c r="F57" s="69">
        <f>750+100</f>
        <v>850</v>
      </c>
      <c r="G57" s="69"/>
      <c r="H57" s="69">
        <f t="shared" si="30"/>
        <v>850</v>
      </c>
      <c r="I57" s="69">
        <f>154.834+80</f>
        <v>234.834</v>
      </c>
      <c r="J57" s="34">
        <f t="shared" si="25"/>
        <v>27.627529411764705</v>
      </c>
      <c r="K57" s="69">
        <f>357.2802+155+4.3119</f>
        <v>516.59209999999996</v>
      </c>
      <c r="L57" s="34">
        <f t="shared" si="26"/>
        <v>60.775541176470583</v>
      </c>
      <c r="M57" s="69">
        <f>511.032+180+4.3119</f>
        <v>695.34389999999996</v>
      </c>
      <c r="N57" s="34">
        <f t="shared" si="27"/>
        <v>81.805164705882348</v>
      </c>
      <c r="O57" s="69">
        <f>743.3542+180+4.3119</f>
        <v>927.66610000000003</v>
      </c>
      <c r="P57" s="34">
        <f t="shared" si="28"/>
        <v>109.13718823529412</v>
      </c>
      <c r="Q57" s="258">
        <f t="shared" si="31"/>
        <v>77.666100000000029</v>
      </c>
      <c r="R57" s="114"/>
      <c r="S57" s="262">
        <f t="shared" si="34"/>
        <v>927.12519999999995</v>
      </c>
      <c r="T57" s="258">
        <f t="shared" si="32"/>
        <v>77.12519999999995</v>
      </c>
      <c r="U57" s="69">
        <f>80+100+750+20</f>
        <v>950</v>
      </c>
      <c r="V57" s="158">
        <f t="shared" si="29"/>
        <v>1.1176470588235294</v>
      </c>
      <c r="W57" s="117"/>
    </row>
    <row r="58" spans="1:23" x14ac:dyDescent="0.2">
      <c r="A58" s="109"/>
      <c r="B58" s="29">
        <v>2111</v>
      </c>
      <c r="C58" s="109">
        <v>6171</v>
      </c>
      <c r="D58" s="29">
        <v>911</v>
      </c>
      <c r="E58" s="29" t="s">
        <v>183</v>
      </c>
      <c r="F58" s="69">
        <f>70+30</f>
        <v>100</v>
      </c>
      <c r="G58" s="69"/>
      <c r="H58" s="69">
        <f t="shared" si="30"/>
        <v>100</v>
      </c>
      <c r="I58" s="496">
        <f>28+1.386+10.15+1.083</f>
        <v>40.619</v>
      </c>
      <c r="J58" s="34">
        <f t="shared" si="25"/>
        <v>40.619</v>
      </c>
      <c r="K58" s="69">
        <f>124+6.338+0.08+11.856+0.03+1.386+11.9+10.15+1.571</f>
        <v>167.31100000000001</v>
      </c>
      <c r="L58" s="34">
        <f t="shared" si="26"/>
        <v>167.31100000000001</v>
      </c>
      <c r="M58" s="69">
        <f>143+0.08+1.386+12.57+29.578+1.773+5.904</f>
        <v>194.291</v>
      </c>
      <c r="N58" s="34">
        <f t="shared" si="27"/>
        <v>194.291</v>
      </c>
      <c r="O58" s="69">
        <f>142+0.76+21.736+1.386+18.23+30.967+10.278+2+1.973</f>
        <v>229.32999999999996</v>
      </c>
      <c r="P58" s="34">
        <f t="shared" si="28"/>
        <v>229.32999999999996</v>
      </c>
      <c r="Q58" s="258">
        <f t="shared" si="31"/>
        <v>129.32999999999996</v>
      </c>
      <c r="R58" s="112"/>
      <c r="S58" s="416">
        <f>M58+30</f>
        <v>224.291</v>
      </c>
      <c r="T58" s="258">
        <f t="shared" si="32"/>
        <v>124.291</v>
      </c>
      <c r="U58" s="69">
        <f>140+60</f>
        <v>200</v>
      </c>
      <c r="V58" s="158">
        <f t="shared" si="29"/>
        <v>2</v>
      </c>
      <c r="W58" s="418">
        <v>13</v>
      </c>
    </row>
    <row r="59" spans="1:23" x14ac:dyDescent="0.2">
      <c r="A59" s="109"/>
      <c r="B59" s="29">
        <v>2119</v>
      </c>
      <c r="C59" s="109">
        <v>2121</v>
      </c>
      <c r="D59" s="29">
        <v>20</v>
      </c>
      <c r="E59" s="29" t="s">
        <v>244</v>
      </c>
      <c r="F59" s="69">
        <v>30</v>
      </c>
      <c r="G59" s="69"/>
      <c r="H59" s="69">
        <f t="shared" si="30"/>
        <v>30</v>
      </c>
      <c r="I59" s="69">
        <v>3.3759999999999999</v>
      </c>
      <c r="J59" s="34">
        <f t="shared" si="25"/>
        <v>11.253333333333334</v>
      </c>
      <c r="K59" s="69">
        <v>14.919</v>
      </c>
      <c r="L59" s="34">
        <f t="shared" si="26"/>
        <v>49.730000000000004</v>
      </c>
      <c r="M59" s="69">
        <v>20.99652</v>
      </c>
      <c r="N59" s="34">
        <f t="shared" si="27"/>
        <v>69.988400000000013</v>
      </c>
      <c r="O59" s="69">
        <v>23.130019999999998</v>
      </c>
      <c r="P59" s="34">
        <f t="shared" si="28"/>
        <v>77.100066666666649</v>
      </c>
      <c r="Q59" s="258">
        <f t="shared" si="31"/>
        <v>-6.8699800000000018</v>
      </c>
      <c r="R59" s="112"/>
      <c r="S59" s="262">
        <f t="shared" si="34"/>
        <v>27.995360000000002</v>
      </c>
      <c r="T59" s="258">
        <f t="shared" si="32"/>
        <v>-2.0046399999999984</v>
      </c>
      <c r="U59" s="69">
        <v>30</v>
      </c>
      <c r="V59" s="158">
        <f t="shared" si="29"/>
        <v>1</v>
      </c>
      <c r="W59" s="418">
        <v>5</v>
      </c>
    </row>
    <row r="60" spans="1:23" x14ac:dyDescent="0.2">
      <c r="A60" s="109"/>
      <c r="B60" s="29">
        <v>2122</v>
      </c>
      <c r="C60" s="109"/>
      <c r="D60" s="29"/>
      <c r="E60" s="29" t="s">
        <v>258</v>
      </c>
      <c r="F60" s="69">
        <v>1858</v>
      </c>
      <c r="G60" s="69"/>
      <c r="H60" s="69">
        <f t="shared" si="30"/>
        <v>1858</v>
      </c>
      <c r="I60" s="69">
        <v>0</v>
      </c>
      <c r="J60" s="34">
        <f t="shared" si="25"/>
        <v>0</v>
      </c>
      <c r="K60" s="69"/>
      <c r="L60" s="34">
        <f t="shared" si="26"/>
        <v>0</v>
      </c>
      <c r="M60" s="69">
        <f>222.581+636.473+362.754+2.482+633.755</f>
        <v>1858.0450000000001</v>
      </c>
      <c r="N60" s="34">
        <f t="shared" si="27"/>
        <v>100.00242195909581</v>
      </c>
      <c r="O60" s="69">
        <f>228.346+646.603+444.386+8.402+648.603</f>
        <v>1976.3400000000001</v>
      </c>
      <c r="P60" s="455">
        <f t="shared" si="28"/>
        <v>106.3692142088267</v>
      </c>
      <c r="Q60" s="258">
        <f t="shared" si="31"/>
        <v>118.34000000000015</v>
      </c>
      <c r="R60" s="127"/>
      <c r="S60" s="259">
        <f>H60</f>
        <v>1858</v>
      </c>
      <c r="T60" s="258">
        <f t="shared" si="32"/>
        <v>0</v>
      </c>
      <c r="U60" s="69">
        <f>8+462+223+647+657</f>
        <v>1997</v>
      </c>
      <c r="V60" s="158">
        <f t="shared" si="29"/>
        <v>1.0748116254036599</v>
      </c>
      <c r="W60" s="117"/>
    </row>
    <row r="61" spans="1:23" x14ac:dyDescent="0.2">
      <c r="A61" s="109"/>
      <c r="B61" s="29">
        <v>2129</v>
      </c>
      <c r="C61" s="109">
        <v>3412</v>
      </c>
      <c r="D61" s="29">
        <v>205</v>
      </c>
      <c r="E61" s="29" t="s">
        <v>420</v>
      </c>
      <c r="F61" s="69">
        <v>2807</v>
      </c>
      <c r="G61" s="69"/>
      <c r="H61" s="69">
        <f t="shared" si="30"/>
        <v>2807</v>
      </c>
      <c r="I61" s="69"/>
      <c r="J61" s="34"/>
      <c r="K61" s="69"/>
      <c r="L61" s="34"/>
      <c r="M61" s="69">
        <v>2806.944</v>
      </c>
      <c r="N61" s="34">
        <f t="shared" si="27"/>
        <v>99.998004987531175</v>
      </c>
      <c r="O61" s="69">
        <v>2806.944</v>
      </c>
      <c r="P61" s="455">
        <f t="shared" si="28"/>
        <v>99.998004987531175</v>
      </c>
      <c r="Q61" s="258">
        <f t="shared" si="31"/>
        <v>-5.6000000000040018E-2</v>
      </c>
      <c r="R61" s="127"/>
      <c r="S61" s="259">
        <f>H61</f>
        <v>2807</v>
      </c>
      <c r="T61" s="258">
        <f t="shared" si="32"/>
        <v>0</v>
      </c>
      <c r="U61" s="69">
        <v>0</v>
      </c>
      <c r="V61" s="158"/>
      <c r="W61" s="117"/>
    </row>
    <row r="62" spans="1:23" x14ac:dyDescent="0.2">
      <c r="A62" s="109"/>
      <c r="B62" s="29">
        <v>2129</v>
      </c>
      <c r="C62" s="109">
        <v>3114</v>
      </c>
      <c r="D62" s="29">
        <v>311</v>
      </c>
      <c r="E62" s="29" t="s">
        <v>444</v>
      </c>
      <c r="F62" s="69"/>
      <c r="G62" s="69"/>
      <c r="H62" s="69"/>
      <c r="I62" s="69"/>
      <c r="J62" s="34"/>
      <c r="K62" s="69"/>
      <c r="L62" s="34"/>
      <c r="M62" s="69">
        <v>145.51347999999999</v>
      </c>
      <c r="N62" s="34"/>
      <c r="O62" s="69">
        <v>145.51347999999999</v>
      </c>
      <c r="P62" s="455"/>
      <c r="Q62" s="258">
        <f t="shared" si="31"/>
        <v>145.51347999999999</v>
      </c>
      <c r="R62" s="127"/>
      <c r="S62" s="259">
        <v>146</v>
      </c>
      <c r="T62" s="258">
        <f t="shared" si="32"/>
        <v>146</v>
      </c>
      <c r="U62" s="69">
        <v>0</v>
      </c>
      <c r="V62" s="158"/>
      <c r="W62" s="117"/>
    </row>
    <row r="63" spans="1:23" x14ac:dyDescent="0.2">
      <c r="A63" s="109"/>
      <c r="B63" s="29">
        <v>2324</v>
      </c>
      <c r="C63" s="109">
        <v>3725</v>
      </c>
      <c r="D63" s="29">
        <v>240</v>
      </c>
      <c r="E63" s="29" t="s">
        <v>122</v>
      </c>
      <c r="F63" s="69">
        <f>65+660</f>
        <v>725</v>
      </c>
      <c r="G63" s="69">
        <v>170</v>
      </c>
      <c r="H63" s="69">
        <f t="shared" si="30"/>
        <v>895</v>
      </c>
      <c r="I63" s="69">
        <f>32.04+188.9575</f>
        <v>220.9975</v>
      </c>
      <c r="J63" s="34">
        <f t="shared" si="25"/>
        <v>24.69245810055866</v>
      </c>
      <c r="K63" s="69">
        <f>42.222+394.1109</f>
        <v>436.3329</v>
      </c>
      <c r="L63" s="34">
        <f>K63/$H63*100</f>
        <v>48.752279329608939</v>
      </c>
      <c r="M63" s="69">
        <f>50.849+623.2449+30</f>
        <v>704.09390000000008</v>
      </c>
      <c r="N63" s="34">
        <f>M63/$H63*100</f>
        <v>78.669709497206711</v>
      </c>
      <c r="O63" s="69">
        <f>71.16+30+875.5806</f>
        <v>976.74059999999997</v>
      </c>
      <c r="P63" s="34">
        <f>O63/$H63*100</f>
        <v>109.13302793296089</v>
      </c>
      <c r="Q63" s="258">
        <f t="shared" si="31"/>
        <v>81.740599999999972</v>
      </c>
      <c r="R63" s="348"/>
      <c r="S63" s="262">
        <f>M63/3*4</f>
        <v>938.79186666666681</v>
      </c>
      <c r="T63" s="258">
        <f>S63-H63</f>
        <v>43.791866666666806</v>
      </c>
      <c r="U63" s="69">
        <f>730+70</f>
        <v>800</v>
      </c>
      <c r="V63" s="158">
        <f t="shared" ref="V63:V75" si="35">U63/F63</f>
        <v>1.103448275862069</v>
      </c>
      <c r="W63" s="117"/>
    </row>
    <row r="64" spans="1:23" ht="15" customHeight="1" x14ac:dyDescent="0.2">
      <c r="A64" s="109"/>
      <c r="B64" s="109"/>
      <c r="C64" s="109"/>
      <c r="D64" s="109"/>
      <c r="E64" s="32" t="s">
        <v>41</v>
      </c>
      <c r="F64" s="70">
        <f>SUM(F65:F75)</f>
        <v>13126</v>
      </c>
      <c r="G64" s="70">
        <f>SUM(G65:G75)</f>
        <v>0</v>
      </c>
      <c r="H64" s="70">
        <f>SUM(H65:H75)</f>
        <v>13126</v>
      </c>
      <c r="I64" s="70">
        <f>SUM(I65:I80)</f>
        <v>3217.3591199999992</v>
      </c>
      <c r="J64" s="210">
        <f t="shared" si="25"/>
        <v>24.511344811823854</v>
      </c>
      <c r="K64" s="70">
        <f>SUM(K65:K75)</f>
        <v>6423.3250500000004</v>
      </c>
      <c r="L64" s="210">
        <f t="shared" ref="L64:L95" si="36">K64/$H64*100</f>
        <v>48.935890979734879</v>
      </c>
      <c r="M64" s="70">
        <f>SUM(M65:M75)</f>
        <v>10134.134769999999</v>
      </c>
      <c r="N64" s="210">
        <f t="shared" ref="N64:N95" si="37">M64/$H64*100</f>
        <v>77.206572984915425</v>
      </c>
      <c r="O64" s="70">
        <f>SUM(O65:O75)</f>
        <v>13354.36573</v>
      </c>
      <c r="P64" s="210">
        <f t="shared" ref="P64:P98" si="38">O64/$H64*100</f>
        <v>101.73979681548073</v>
      </c>
      <c r="Q64" s="338">
        <f>SUM(Q65:Q75)</f>
        <v>228.36572999999959</v>
      </c>
      <c r="R64" s="112"/>
      <c r="S64" s="338">
        <f>SUM(S65:S75)</f>
        <v>13208.465596666669</v>
      </c>
      <c r="T64" s="338">
        <f>SUM(T65:T75)</f>
        <v>82.465596666667167</v>
      </c>
      <c r="U64" s="70">
        <f>SUM(U65:U75)</f>
        <v>13502</v>
      </c>
      <c r="V64" s="157">
        <f t="shared" si="35"/>
        <v>1.0286454365381685</v>
      </c>
      <c r="W64" s="117"/>
    </row>
    <row r="65" spans="1:23" x14ac:dyDescent="0.2">
      <c r="A65" s="109"/>
      <c r="B65" s="29">
        <v>2131</v>
      </c>
      <c r="C65" s="109">
        <v>1012</v>
      </c>
      <c r="D65" s="29">
        <v>38</v>
      </c>
      <c r="E65" s="29" t="s">
        <v>194</v>
      </c>
      <c r="F65" s="69">
        <v>408</v>
      </c>
      <c r="G65" s="69"/>
      <c r="H65" s="69">
        <f t="shared" ref="H65:H75" si="39">SUM(F65:G65)</f>
        <v>408</v>
      </c>
      <c r="I65" s="69">
        <v>153.03431</v>
      </c>
      <c r="J65" s="34">
        <f t="shared" si="25"/>
        <v>37.508409313725494</v>
      </c>
      <c r="K65" s="69">
        <v>473.22879999999998</v>
      </c>
      <c r="L65" s="34">
        <f t="shared" si="36"/>
        <v>115.98745098039215</v>
      </c>
      <c r="M65" s="69">
        <v>529.80228999999997</v>
      </c>
      <c r="N65" s="34">
        <f t="shared" si="37"/>
        <v>129.85350245098039</v>
      </c>
      <c r="O65" s="69">
        <v>583.31777999999997</v>
      </c>
      <c r="P65" s="34">
        <f t="shared" si="38"/>
        <v>142.97004411764703</v>
      </c>
      <c r="Q65" s="258">
        <f t="shared" ref="Q65:Q75" si="40">O65-H65</f>
        <v>175.31777999999997</v>
      </c>
      <c r="R65" s="112" t="s">
        <v>351</v>
      </c>
      <c r="S65" s="416">
        <f>M65</f>
        <v>529.80228999999997</v>
      </c>
      <c r="T65" s="258">
        <f t="shared" ref="T65:T75" si="41">S65-H65</f>
        <v>121.80228999999997</v>
      </c>
      <c r="U65" s="69">
        <f>414+40</f>
        <v>454</v>
      </c>
      <c r="V65" s="158">
        <f t="shared" si="35"/>
        <v>1.1127450980392157</v>
      </c>
      <c r="W65" s="117"/>
    </row>
    <row r="66" spans="1:23" x14ac:dyDescent="0.2">
      <c r="A66" s="109"/>
      <c r="B66" s="29">
        <v>2132</v>
      </c>
      <c r="C66" s="109">
        <v>2121</v>
      </c>
      <c r="D66" s="29">
        <v>237</v>
      </c>
      <c r="E66" s="29" t="s">
        <v>195</v>
      </c>
      <c r="F66" s="69">
        <f>1360+24</f>
        <v>1384</v>
      </c>
      <c r="G66" s="69"/>
      <c r="H66" s="69">
        <f t="shared" si="39"/>
        <v>1384</v>
      </c>
      <c r="I66" s="69">
        <v>313.42561999999998</v>
      </c>
      <c r="J66" s="34">
        <f t="shared" si="25"/>
        <v>22.646359826589592</v>
      </c>
      <c r="K66" s="69">
        <f>30.93491+641.08598</f>
        <v>672.02088999999989</v>
      </c>
      <c r="L66" s="34">
        <f t="shared" ref="L66:L75" si="42">K66/$H66*100</f>
        <v>48.556422687861264</v>
      </c>
      <c r="M66" s="69">
        <f>34.96591+1024.27699+11.856</f>
        <v>1071.0989</v>
      </c>
      <c r="N66" s="34">
        <f t="shared" ref="N66:N76" si="43">M66/$H66*100</f>
        <v>77.391539017341032</v>
      </c>
      <c r="O66" s="69">
        <f>46.86861+1467.96994</f>
        <v>1514.8385499999999</v>
      </c>
      <c r="P66" s="34">
        <f t="shared" ref="P66:P75" si="44">O66/$H66*100</f>
        <v>109.4536524566474</v>
      </c>
      <c r="Q66" s="258">
        <f t="shared" si="40"/>
        <v>130.83854999999994</v>
      </c>
      <c r="R66" s="242"/>
      <c r="S66" s="262">
        <f t="shared" ref="S66:S74" si="45">M66/3*4</f>
        <v>1428.1318666666666</v>
      </c>
      <c r="T66" s="258">
        <f t="shared" si="41"/>
        <v>44.13186666666661</v>
      </c>
      <c r="U66" s="69">
        <f>1334+50</f>
        <v>1384</v>
      </c>
      <c r="V66" s="158">
        <f t="shared" si="35"/>
        <v>1</v>
      </c>
      <c r="W66" s="418">
        <v>241</v>
      </c>
    </row>
    <row r="67" spans="1:23" x14ac:dyDescent="0.2">
      <c r="A67" s="109"/>
      <c r="B67" s="29">
        <v>2132</v>
      </c>
      <c r="C67" s="109">
        <v>3113</v>
      </c>
      <c r="D67" s="29">
        <v>302</v>
      </c>
      <c r="E67" s="29" t="s">
        <v>370</v>
      </c>
      <c r="F67" s="69">
        <v>195</v>
      </c>
      <c r="G67" s="69"/>
      <c r="H67" s="69">
        <f t="shared" si="39"/>
        <v>195</v>
      </c>
      <c r="I67" s="69">
        <v>48.887500000000003</v>
      </c>
      <c r="J67" s="34"/>
      <c r="K67" s="69">
        <v>97.775000000000006</v>
      </c>
      <c r="L67" s="34">
        <f t="shared" si="42"/>
        <v>50.141025641025649</v>
      </c>
      <c r="M67" s="69">
        <v>97.775000000000006</v>
      </c>
      <c r="N67" s="34">
        <f t="shared" si="43"/>
        <v>50.141025641025649</v>
      </c>
      <c r="O67" s="69">
        <v>195.55</v>
      </c>
      <c r="P67" s="34">
        <f t="shared" si="44"/>
        <v>100.2820512820513</v>
      </c>
      <c r="Q67" s="258">
        <f t="shared" si="40"/>
        <v>0.55000000000001137</v>
      </c>
      <c r="R67" s="242"/>
      <c r="S67" s="416">
        <f>H67</f>
        <v>195</v>
      </c>
      <c r="T67" s="258">
        <f t="shared" si="41"/>
        <v>0</v>
      </c>
      <c r="U67" s="69">
        <v>195</v>
      </c>
      <c r="V67" s="158">
        <f t="shared" si="35"/>
        <v>1</v>
      </c>
      <c r="W67" s="117"/>
    </row>
    <row r="68" spans="1:23" x14ac:dyDescent="0.2">
      <c r="A68" s="109"/>
      <c r="B68" s="29">
        <v>2132</v>
      </c>
      <c r="C68" s="109">
        <v>3613</v>
      </c>
      <c r="D68" s="29">
        <v>316</v>
      </c>
      <c r="E68" s="29" t="s">
        <v>372</v>
      </c>
      <c r="F68" s="69"/>
      <c r="G68" s="69"/>
      <c r="H68" s="69">
        <f t="shared" si="39"/>
        <v>0</v>
      </c>
      <c r="I68" s="69"/>
      <c r="J68" s="34"/>
      <c r="K68" s="69"/>
      <c r="L68" s="34"/>
      <c r="M68" s="69">
        <v>22.81</v>
      </c>
      <c r="N68" s="34" t="e">
        <f t="shared" si="43"/>
        <v>#DIV/0!</v>
      </c>
      <c r="O68" s="69">
        <v>91.239000000000004</v>
      </c>
      <c r="P68" s="34"/>
      <c r="Q68" s="258">
        <f t="shared" si="40"/>
        <v>91.239000000000004</v>
      </c>
      <c r="R68" s="242"/>
      <c r="S68" s="416">
        <v>76</v>
      </c>
      <c r="T68" s="258">
        <f t="shared" si="41"/>
        <v>76</v>
      </c>
      <c r="U68" s="69">
        <v>273</v>
      </c>
      <c r="V68" s="158"/>
      <c r="W68" s="117"/>
    </row>
    <row r="69" spans="1:23" x14ac:dyDescent="0.2">
      <c r="A69" s="109"/>
      <c r="B69" s="29">
        <v>2132</v>
      </c>
      <c r="C69" s="109">
        <v>3612</v>
      </c>
      <c r="D69" s="29" t="s">
        <v>307</v>
      </c>
      <c r="E69" s="29" t="s">
        <v>148</v>
      </c>
      <c r="F69" s="69">
        <v>7848</v>
      </c>
      <c r="G69" s="69"/>
      <c r="H69" s="69">
        <f t="shared" si="39"/>
        <v>7848</v>
      </c>
      <c r="I69" s="69">
        <f>503.506+406.877+4.934+1044.369+0.394</f>
        <v>1960.08</v>
      </c>
      <c r="J69" s="34">
        <f t="shared" si="25"/>
        <v>24.975535168195716</v>
      </c>
      <c r="K69" s="69">
        <f>1020.405+820.493+10.21+2048.7211+0.398</f>
        <v>3900.2271000000005</v>
      </c>
      <c r="L69" s="34">
        <f t="shared" si="42"/>
        <v>49.697083333333339</v>
      </c>
      <c r="M69" s="69">
        <f>1540.48+0.017+1243.026+10.223+3019.4121+0.688</f>
        <v>5813.8461000000007</v>
      </c>
      <c r="N69" s="34">
        <f t="shared" si="43"/>
        <v>74.080607798165147</v>
      </c>
      <c r="O69" s="69">
        <f>2069.188+0.017+1652.333+10.223+4035.4981+1.323</f>
        <v>7768.5820999999996</v>
      </c>
      <c r="P69" s="34">
        <f t="shared" si="44"/>
        <v>98.988049184505599</v>
      </c>
      <c r="Q69" s="258">
        <f t="shared" si="40"/>
        <v>-79.417900000000373</v>
      </c>
      <c r="R69" s="112"/>
      <c r="S69" s="262">
        <f t="shared" si="45"/>
        <v>7751.7948000000006</v>
      </c>
      <c r="T69" s="258">
        <f t="shared" si="41"/>
        <v>-96.205199999999422</v>
      </c>
      <c r="U69" s="69">
        <v>7865</v>
      </c>
      <c r="V69" s="158">
        <f t="shared" si="35"/>
        <v>1.0021661569826708</v>
      </c>
      <c r="W69" s="117"/>
    </row>
    <row r="70" spans="1:23" x14ac:dyDescent="0.2">
      <c r="A70" s="109"/>
      <c r="B70" s="29">
        <v>2132</v>
      </c>
      <c r="C70" s="109">
        <v>3613</v>
      </c>
      <c r="D70" s="29">
        <v>703</v>
      </c>
      <c r="E70" s="29" t="s">
        <v>42</v>
      </c>
      <c r="F70" s="69">
        <v>750</v>
      </c>
      <c r="G70" s="69"/>
      <c r="H70" s="69">
        <f t="shared" si="39"/>
        <v>750</v>
      </c>
      <c r="I70" s="69">
        <v>195.99100000000001</v>
      </c>
      <c r="J70" s="34">
        <f t="shared" si="25"/>
        <v>26.132133333333336</v>
      </c>
      <c r="K70" s="69">
        <f>369.422+0.1</f>
        <v>369.52200000000005</v>
      </c>
      <c r="L70" s="34">
        <f t="shared" si="42"/>
        <v>49.269600000000011</v>
      </c>
      <c r="M70" s="69">
        <v>563.45299999999997</v>
      </c>
      <c r="N70" s="34">
        <f t="shared" si="43"/>
        <v>75.127066666666664</v>
      </c>
      <c r="O70" s="69">
        <f>755.672+0.1</f>
        <v>755.77200000000005</v>
      </c>
      <c r="P70" s="34">
        <f t="shared" si="44"/>
        <v>100.76960000000001</v>
      </c>
      <c r="Q70" s="258">
        <f t="shared" si="40"/>
        <v>5.7720000000000482</v>
      </c>
      <c r="R70" s="112"/>
      <c r="S70" s="262">
        <f t="shared" si="45"/>
        <v>751.27066666666667</v>
      </c>
      <c r="T70" s="258">
        <f t="shared" si="41"/>
        <v>1.2706666666666706</v>
      </c>
      <c r="U70" s="69">
        <v>750</v>
      </c>
      <c r="V70" s="158">
        <f t="shared" si="35"/>
        <v>1</v>
      </c>
      <c r="W70" s="117"/>
    </row>
    <row r="71" spans="1:23" ht="13.5" customHeight="1" x14ac:dyDescent="0.2">
      <c r="A71" s="109"/>
      <c r="B71" s="29">
        <v>2132</v>
      </c>
      <c r="C71" s="109">
        <v>3634</v>
      </c>
      <c r="D71" s="29">
        <v>21</v>
      </c>
      <c r="E71" s="29" t="s">
        <v>43</v>
      </c>
      <c r="F71" s="69">
        <v>951</v>
      </c>
      <c r="G71" s="69"/>
      <c r="H71" s="69">
        <f t="shared" si="39"/>
        <v>951</v>
      </c>
      <c r="I71" s="69">
        <v>237.79524000000001</v>
      </c>
      <c r="J71" s="34">
        <f t="shared" si="25"/>
        <v>25.004757097791796</v>
      </c>
      <c r="K71" s="69">
        <v>475.59048000000001</v>
      </c>
      <c r="L71" s="34">
        <f t="shared" si="42"/>
        <v>50.009514195583591</v>
      </c>
      <c r="M71" s="69">
        <v>713.38571999999999</v>
      </c>
      <c r="N71" s="34">
        <f t="shared" si="43"/>
        <v>75.014271293375387</v>
      </c>
      <c r="O71" s="69">
        <v>951.18096000000003</v>
      </c>
      <c r="P71" s="34">
        <f t="shared" si="44"/>
        <v>100.01902839116718</v>
      </c>
      <c r="Q71" s="258">
        <f t="shared" si="40"/>
        <v>0.18096000000002732</v>
      </c>
      <c r="R71" s="112"/>
      <c r="S71" s="262">
        <f t="shared" si="45"/>
        <v>951.18096000000003</v>
      </c>
      <c r="T71" s="258">
        <f t="shared" si="41"/>
        <v>0.18096000000002732</v>
      </c>
      <c r="U71" s="69">
        <v>951</v>
      </c>
      <c r="V71" s="158">
        <f t="shared" si="35"/>
        <v>1</v>
      </c>
      <c r="W71" s="418">
        <v>165</v>
      </c>
    </row>
    <row r="72" spans="1:23" x14ac:dyDescent="0.2">
      <c r="A72" s="109"/>
      <c r="B72" s="29">
        <v>2132</v>
      </c>
      <c r="C72" s="109">
        <v>3639</v>
      </c>
      <c r="D72" s="29">
        <v>21</v>
      </c>
      <c r="E72" s="29" t="s">
        <v>179</v>
      </c>
      <c r="F72" s="69">
        <f>162+275+123</f>
        <v>560</v>
      </c>
      <c r="G72" s="69"/>
      <c r="H72" s="69">
        <f t="shared" si="39"/>
        <v>560</v>
      </c>
      <c r="I72" s="69">
        <v>181.23495</v>
      </c>
      <c r="J72" s="34">
        <f t="shared" si="25"/>
        <v>32.363383928571423</v>
      </c>
      <c r="K72" s="69">
        <v>280.83294999999998</v>
      </c>
      <c r="L72" s="34">
        <f t="shared" si="42"/>
        <v>50.148741071428574</v>
      </c>
      <c r="M72" s="69">
        <f>403.08898-22.81</f>
        <v>380.27897999999999</v>
      </c>
      <c r="N72" s="34">
        <f t="shared" si="43"/>
        <v>67.906960714285717</v>
      </c>
      <c r="O72" s="69">
        <v>478.39812999999998</v>
      </c>
      <c r="P72" s="34">
        <f t="shared" si="44"/>
        <v>85.428237499999994</v>
      </c>
      <c r="Q72" s="258">
        <f t="shared" si="40"/>
        <v>-81.601870000000019</v>
      </c>
      <c r="R72" s="112"/>
      <c r="S72" s="262">
        <f t="shared" si="45"/>
        <v>507.03863999999999</v>
      </c>
      <c r="T72" s="258">
        <f t="shared" si="41"/>
        <v>-52.961360000000013</v>
      </c>
      <c r="U72" s="69">
        <f>202+275+123</f>
        <v>600</v>
      </c>
      <c r="V72" s="158">
        <f t="shared" si="35"/>
        <v>1.0714285714285714</v>
      </c>
      <c r="W72" s="418">
        <f>48+22</f>
        <v>70</v>
      </c>
    </row>
    <row r="73" spans="1:23" x14ac:dyDescent="0.2">
      <c r="A73" s="109"/>
      <c r="B73" s="29">
        <v>2132</v>
      </c>
      <c r="C73" s="109">
        <v>3639</v>
      </c>
      <c r="D73" s="29">
        <v>319</v>
      </c>
      <c r="E73" s="29" t="s">
        <v>277</v>
      </c>
      <c r="F73" s="69">
        <v>274</v>
      </c>
      <c r="G73" s="69"/>
      <c r="H73" s="69">
        <f t="shared" si="39"/>
        <v>274</v>
      </c>
      <c r="I73" s="69">
        <v>68.606999999999999</v>
      </c>
      <c r="J73" s="34">
        <f t="shared" si="25"/>
        <v>25.039051094890514</v>
      </c>
      <c r="K73" s="69">
        <v>137.214</v>
      </c>
      <c r="L73" s="34">
        <f t="shared" si="42"/>
        <v>50.078102189781028</v>
      </c>
      <c r="M73" s="69">
        <v>205.821</v>
      </c>
      <c r="N73" s="34">
        <f t="shared" si="43"/>
        <v>75.117153284671531</v>
      </c>
      <c r="O73" s="69">
        <v>274.428</v>
      </c>
      <c r="P73" s="34">
        <f t="shared" si="44"/>
        <v>100.15620437956206</v>
      </c>
      <c r="Q73" s="258">
        <f t="shared" si="40"/>
        <v>0.42799999999999727</v>
      </c>
      <c r="R73" s="112"/>
      <c r="S73" s="262">
        <f t="shared" si="45"/>
        <v>274.428</v>
      </c>
      <c r="T73" s="258">
        <f t="shared" si="41"/>
        <v>0.42799999999999727</v>
      </c>
      <c r="U73" s="69">
        <v>274</v>
      </c>
      <c r="V73" s="158">
        <f t="shared" si="35"/>
        <v>1</v>
      </c>
      <c r="W73" s="418">
        <f>48</f>
        <v>48</v>
      </c>
    </row>
    <row r="74" spans="1:23" x14ac:dyDescent="0.2">
      <c r="A74" s="109"/>
      <c r="B74" s="29">
        <v>2133</v>
      </c>
      <c r="C74" s="109">
        <v>3639</v>
      </c>
      <c r="D74" s="29">
        <v>34</v>
      </c>
      <c r="E74" s="29" t="s">
        <v>178</v>
      </c>
      <c r="F74" s="69">
        <v>44</v>
      </c>
      <c r="G74" s="69"/>
      <c r="H74" s="69">
        <f t="shared" si="39"/>
        <v>44</v>
      </c>
      <c r="I74" s="69">
        <v>9.9638799999999996</v>
      </c>
      <c r="J74" s="34">
        <f t="shared" si="25"/>
        <v>22.645181818181818</v>
      </c>
      <c r="K74" s="69">
        <v>16.913830000000001</v>
      </c>
      <c r="L74" s="34">
        <f t="shared" si="42"/>
        <v>38.440522727272729</v>
      </c>
      <c r="M74" s="69">
        <v>23.863779999999998</v>
      </c>
      <c r="N74" s="34">
        <f t="shared" si="43"/>
        <v>54.235863636363632</v>
      </c>
      <c r="O74" s="69">
        <v>29.05921</v>
      </c>
      <c r="P74" s="34">
        <f t="shared" si="44"/>
        <v>66.043659090909088</v>
      </c>
      <c r="Q74" s="258">
        <f t="shared" si="40"/>
        <v>-14.94079</v>
      </c>
      <c r="R74" s="112"/>
      <c r="S74" s="262">
        <f t="shared" si="45"/>
        <v>31.81837333333333</v>
      </c>
      <c r="T74" s="258">
        <f t="shared" si="41"/>
        <v>-12.18162666666667</v>
      </c>
      <c r="U74" s="69">
        <v>44</v>
      </c>
      <c r="V74" s="158">
        <f t="shared" si="35"/>
        <v>1</v>
      </c>
      <c r="W74" s="418">
        <v>7</v>
      </c>
    </row>
    <row r="75" spans="1:23" x14ac:dyDescent="0.2">
      <c r="A75" s="109"/>
      <c r="B75" s="29">
        <v>2132</v>
      </c>
      <c r="C75" s="109">
        <v>4355</v>
      </c>
      <c r="D75" s="29">
        <v>311</v>
      </c>
      <c r="E75" s="29" t="s">
        <v>283</v>
      </c>
      <c r="F75" s="69">
        <v>712</v>
      </c>
      <c r="G75" s="69"/>
      <c r="H75" s="69">
        <f t="shared" si="39"/>
        <v>712</v>
      </c>
      <c r="I75" s="69">
        <v>0</v>
      </c>
      <c r="J75" s="34">
        <f t="shared" si="25"/>
        <v>0</v>
      </c>
      <c r="K75" s="69"/>
      <c r="L75" s="34">
        <f t="shared" si="42"/>
        <v>0</v>
      </c>
      <c r="M75" s="69">
        <v>712</v>
      </c>
      <c r="N75" s="34">
        <f t="shared" si="43"/>
        <v>100</v>
      </c>
      <c r="O75" s="69">
        <v>712</v>
      </c>
      <c r="P75" s="34">
        <f t="shared" si="44"/>
        <v>100</v>
      </c>
      <c r="Q75" s="258">
        <f t="shared" si="40"/>
        <v>0</v>
      </c>
      <c r="R75" s="112"/>
      <c r="S75" s="259">
        <f>F75</f>
        <v>712</v>
      </c>
      <c r="T75" s="258">
        <f t="shared" si="41"/>
        <v>0</v>
      </c>
      <c r="U75" s="69">
        <v>712</v>
      </c>
      <c r="V75" s="158">
        <f t="shared" si="35"/>
        <v>1</v>
      </c>
      <c r="W75" s="117"/>
    </row>
    <row r="76" spans="1:23" ht="14.25" customHeight="1" x14ac:dyDescent="0.2">
      <c r="A76" s="109"/>
      <c r="B76" s="109"/>
      <c r="C76" s="109"/>
      <c r="D76" s="109"/>
      <c r="E76" s="32" t="s">
        <v>90</v>
      </c>
      <c r="F76" s="70">
        <f>SUM(F77:F80)</f>
        <v>74</v>
      </c>
      <c r="G76" s="70"/>
      <c r="H76" s="70">
        <f>SUM(H77:H80)</f>
        <v>74</v>
      </c>
      <c r="I76" s="70">
        <f>SUM(I77:I80)</f>
        <v>24.169809999999998</v>
      </c>
      <c r="J76" s="210">
        <f t="shared" si="25"/>
        <v>32.661905405405399</v>
      </c>
      <c r="K76" s="70">
        <f>SUM(K77:K80)</f>
        <v>41.922099999999993</v>
      </c>
      <c r="L76" s="210">
        <f t="shared" si="36"/>
        <v>56.651486486486476</v>
      </c>
      <c r="M76" s="70">
        <f>SUM(M77:M80)</f>
        <v>57.279649999999997</v>
      </c>
      <c r="N76" s="210">
        <f t="shared" si="43"/>
        <v>77.404932432432432</v>
      </c>
      <c r="O76" s="70">
        <f>SUM(O77:O80)</f>
        <v>76.962980000000002</v>
      </c>
      <c r="P76" s="210">
        <f t="shared" si="38"/>
        <v>104.00402702702702</v>
      </c>
      <c r="Q76" s="338">
        <f>SUM(Q77:Q80)</f>
        <v>2.9629799999999964</v>
      </c>
      <c r="R76" s="243"/>
      <c r="S76" s="338">
        <f>SUM(S77:S80)</f>
        <v>74.318533333333335</v>
      </c>
      <c r="T76" s="338">
        <f>SUM(T77:T80)</f>
        <v>0.31853333333333733</v>
      </c>
      <c r="U76" s="70">
        <f>SUM(U77:U80)</f>
        <v>48</v>
      </c>
      <c r="V76" s="157">
        <f t="shared" ref="V76:V88" si="46">U76/F76</f>
        <v>0.64864864864864868</v>
      </c>
    </row>
    <row r="77" spans="1:23" x14ac:dyDescent="0.2">
      <c r="A77" s="109"/>
      <c r="B77" s="29">
        <v>2141</v>
      </c>
      <c r="C77" s="109">
        <v>6310</v>
      </c>
      <c r="D77" s="29">
        <v>314</v>
      </c>
      <c r="E77" s="29" t="s">
        <v>289</v>
      </c>
      <c r="F77" s="69">
        <v>15</v>
      </c>
      <c r="G77" s="69"/>
      <c r="H77" s="69">
        <f>SUM(F77:G77)</f>
        <v>15</v>
      </c>
      <c r="I77" s="69">
        <f>2.61917+0.13824+0.16312+0.02128</f>
        <v>2.9418100000000003</v>
      </c>
      <c r="J77" s="34">
        <f t="shared" si="25"/>
        <v>19.612066666666671</v>
      </c>
      <c r="K77" s="69">
        <f>5.04261+0.29566+0.32807</f>
        <v>5.6663399999999999</v>
      </c>
      <c r="L77" s="34">
        <f t="shared" si="36"/>
        <v>37.775599999999997</v>
      </c>
      <c r="M77" s="69">
        <f>7.13775+0.46612+0.49486-0.1018</f>
        <v>7.9969299999999999</v>
      </c>
      <c r="N77" s="34">
        <f t="shared" si="37"/>
        <v>53.312866666666672</v>
      </c>
      <c r="O77" s="69">
        <f>9.10672+0.63002+0.6786</f>
        <v>10.415339999999999</v>
      </c>
      <c r="P77" s="34">
        <f t="shared" si="38"/>
        <v>69.43559999999998</v>
      </c>
      <c r="Q77" s="258">
        <f t="shared" ref="Q77:Q80" si="47">O77-H77</f>
        <v>-4.5846600000000013</v>
      </c>
      <c r="R77" s="112"/>
      <c r="S77" s="262">
        <f>M77/3*4</f>
        <v>10.662573333333333</v>
      </c>
      <c r="T77" s="258">
        <f>S77-H77</f>
        <v>-4.3374266666666674</v>
      </c>
      <c r="U77" s="69">
        <v>11</v>
      </c>
      <c r="V77" s="158">
        <f t="shared" si="46"/>
        <v>0.73333333333333328</v>
      </c>
    </row>
    <row r="78" spans="1:23" x14ac:dyDescent="0.2">
      <c r="A78" s="109"/>
      <c r="B78" s="29">
        <v>2143</v>
      </c>
      <c r="C78" s="109"/>
      <c r="D78" s="29"/>
      <c r="E78" s="29" t="s">
        <v>298</v>
      </c>
      <c r="F78" s="69"/>
      <c r="G78" s="69"/>
      <c r="H78" s="69"/>
      <c r="I78" s="69"/>
      <c r="J78" s="34"/>
      <c r="K78" s="69">
        <v>9.9760000000000001E-2</v>
      </c>
      <c r="L78" s="34"/>
      <c r="M78" s="69">
        <v>0.11772000000000001</v>
      </c>
      <c r="N78" s="34"/>
      <c r="O78" s="69">
        <v>0.14964</v>
      </c>
      <c r="P78" s="34"/>
      <c r="Q78" s="258">
        <f t="shared" si="47"/>
        <v>0.14964</v>
      </c>
      <c r="R78" s="112"/>
      <c r="S78" s="262">
        <f>M78/3*4</f>
        <v>0.15696000000000002</v>
      </c>
      <c r="T78" s="258">
        <f>S78-H78</f>
        <v>0.15696000000000002</v>
      </c>
      <c r="U78" s="69">
        <v>0</v>
      </c>
      <c r="V78" s="158"/>
    </row>
    <row r="79" spans="1:23" x14ac:dyDescent="0.2">
      <c r="A79" s="109"/>
      <c r="B79" s="29">
        <v>2141</v>
      </c>
      <c r="C79" s="109">
        <v>6310</v>
      </c>
      <c r="D79" s="29">
        <v>245</v>
      </c>
      <c r="E79" s="29" t="s">
        <v>184</v>
      </c>
      <c r="F79" s="69">
        <v>54</v>
      </c>
      <c r="G79" s="69"/>
      <c r="H79" s="69">
        <f>SUM(F79:G79)</f>
        <v>54</v>
      </c>
      <c r="I79" s="69">
        <v>15.651999999999999</v>
      </c>
      <c r="J79" s="34">
        <f t="shared" si="25"/>
        <v>28.985185185185188</v>
      </c>
      <c r="K79" s="69">
        <v>29.992999999999999</v>
      </c>
      <c r="L79" s="34">
        <f t="shared" si="36"/>
        <v>55.542592592592591</v>
      </c>
      <c r="M79" s="69">
        <v>43.002000000000002</v>
      </c>
      <c r="N79" s="34">
        <f t="shared" si="37"/>
        <v>79.63333333333334</v>
      </c>
      <c r="O79" s="69">
        <v>54.658999999999999</v>
      </c>
      <c r="P79" s="34">
        <f t="shared" si="38"/>
        <v>101.22037037037038</v>
      </c>
      <c r="Q79" s="258">
        <f t="shared" si="47"/>
        <v>0.65899999999999892</v>
      </c>
      <c r="R79" s="112"/>
      <c r="S79" s="262">
        <f>M79/3*4</f>
        <v>57.336000000000006</v>
      </c>
      <c r="T79" s="258">
        <f>S79-H79</f>
        <v>3.3360000000000056</v>
      </c>
      <c r="U79" s="69">
        <v>32</v>
      </c>
      <c r="V79" s="158">
        <f t="shared" si="46"/>
        <v>0.59259259259259256</v>
      </c>
    </row>
    <row r="80" spans="1:23" ht="13.5" customHeight="1" x14ac:dyDescent="0.2">
      <c r="A80" s="109"/>
      <c r="B80" s="29">
        <v>2141</v>
      </c>
      <c r="C80" s="109">
        <v>6310</v>
      </c>
      <c r="D80" s="29">
        <v>318</v>
      </c>
      <c r="E80" s="29" t="s">
        <v>331</v>
      </c>
      <c r="F80" s="69">
        <v>5</v>
      </c>
      <c r="G80" s="69"/>
      <c r="H80" s="69">
        <f>SUM(F80:G80)</f>
        <v>5</v>
      </c>
      <c r="I80" s="69">
        <v>5.5759999999999996</v>
      </c>
      <c r="J80" s="34">
        <f t="shared" ref="J80:J88" si="48">I80/$H80*100</f>
        <v>111.52</v>
      </c>
      <c r="K80" s="69">
        <f>0.587+5.576</f>
        <v>6.1629999999999994</v>
      </c>
      <c r="L80" s="34">
        <f t="shared" si="36"/>
        <v>123.25999999999999</v>
      </c>
      <c r="M80" s="69">
        <f>0.587+5.576</f>
        <v>6.1629999999999994</v>
      </c>
      <c r="N80" s="34">
        <f t="shared" si="37"/>
        <v>123.25999999999999</v>
      </c>
      <c r="O80" s="69">
        <f>0.587+11.152</f>
        <v>11.738999999999999</v>
      </c>
      <c r="P80" s="34">
        <f t="shared" si="38"/>
        <v>234.78</v>
      </c>
      <c r="Q80" s="258">
        <f t="shared" si="47"/>
        <v>6.738999999999999</v>
      </c>
      <c r="R80" s="112"/>
      <c r="S80" s="416">
        <f>M80</f>
        <v>6.1629999999999994</v>
      </c>
      <c r="T80" s="258">
        <f>S80-H80</f>
        <v>1.1629999999999994</v>
      </c>
      <c r="U80" s="69">
        <v>5</v>
      </c>
      <c r="V80" s="158">
        <f t="shared" si="46"/>
        <v>1</v>
      </c>
    </row>
    <row r="81" spans="1:22" x14ac:dyDescent="0.2">
      <c r="A81" s="96" t="s">
        <v>137</v>
      </c>
      <c r="B81" s="32"/>
      <c r="C81" s="96"/>
      <c r="D81" s="32"/>
      <c r="E81" s="32"/>
      <c r="F81" s="70">
        <f>SUM(F82:F88)</f>
        <v>1527</v>
      </c>
      <c r="G81" s="70">
        <f>SUM(G82:G88)</f>
        <v>0</v>
      </c>
      <c r="H81" s="70">
        <f>SUM(H82:H88)</f>
        <v>1527</v>
      </c>
      <c r="I81" s="70">
        <f>SUM(I82:I88)</f>
        <v>240.12323999999998</v>
      </c>
      <c r="J81" s="210">
        <f t="shared" si="48"/>
        <v>15.725163064833007</v>
      </c>
      <c r="K81" s="70">
        <f>SUM(K82:K88)</f>
        <v>507.06701999999996</v>
      </c>
      <c r="L81" s="210">
        <f t="shared" si="36"/>
        <v>33.20674656188605</v>
      </c>
      <c r="M81" s="70">
        <f>SUM(M82:M88)</f>
        <v>730.91267999999991</v>
      </c>
      <c r="N81" s="210">
        <f t="shared" si="37"/>
        <v>47.865925343811391</v>
      </c>
      <c r="O81" s="70">
        <f>SUM(O82:O88)</f>
        <v>867.43534</v>
      </c>
      <c r="P81" s="210">
        <f t="shared" si="38"/>
        <v>56.8065055664702</v>
      </c>
      <c r="Q81" s="338">
        <f>SUM(Q82:Q88)</f>
        <v>-659.56466</v>
      </c>
      <c r="R81" s="239"/>
      <c r="S81" s="338">
        <f>SUM(S82:S88)</f>
        <v>974.55023999999992</v>
      </c>
      <c r="T81" s="338">
        <f>SUM(T82:T88)</f>
        <v>-552.44976000000008</v>
      </c>
      <c r="U81" s="70">
        <f>SUM(U82:U88)</f>
        <v>1190</v>
      </c>
      <c r="V81" s="157">
        <f t="shared" si="46"/>
        <v>0.77930582842174201</v>
      </c>
    </row>
    <row r="82" spans="1:22" x14ac:dyDescent="0.2">
      <c r="A82" s="109"/>
      <c r="B82" s="29">
        <v>2212</v>
      </c>
      <c r="C82" s="109">
        <v>6171</v>
      </c>
      <c r="D82" s="29">
        <v>11</v>
      </c>
      <c r="E82" s="29" t="s">
        <v>142</v>
      </c>
      <c r="F82" s="69">
        <v>5</v>
      </c>
      <c r="G82" s="69"/>
      <c r="H82" s="69">
        <f t="shared" ref="H82:H99" si="49">SUM(F82:G82)</f>
        <v>5</v>
      </c>
      <c r="I82" s="69">
        <v>1.5</v>
      </c>
      <c r="J82" s="34">
        <f t="shared" si="48"/>
        <v>30</v>
      </c>
      <c r="K82" s="69">
        <v>2.5</v>
      </c>
      <c r="L82" s="34">
        <f t="shared" si="36"/>
        <v>50</v>
      </c>
      <c r="M82" s="69">
        <v>3</v>
      </c>
      <c r="N82" s="34">
        <f t="shared" si="37"/>
        <v>60</v>
      </c>
      <c r="O82" s="69">
        <v>3</v>
      </c>
      <c r="P82" s="34">
        <f t="shared" si="38"/>
        <v>60</v>
      </c>
      <c r="Q82" s="258">
        <f t="shared" ref="Q82:Q88" si="50">O82-H82</f>
        <v>-2</v>
      </c>
      <c r="R82" s="239"/>
      <c r="S82" s="262">
        <f t="shared" ref="S82:S88" si="51">M82/3*4</f>
        <v>4</v>
      </c>
      <c r="T82" s="258">
        <f t="shared" ref="T82:T99" si="52">S82-H82</f>
        <v>-1</v>
      </c>
      <c r="U82" s="69">
        <v>5</v>
      </c>
      <c r="V82" s="213">
        <f t="shared" si="46"/>
        <v>1</v>
      </c>
    </row>
    <row r="83" spans="1:22" x14ac:dyDescent="0.2">
      <c r="B83" s="29">
        <v>2212</v>
      </c>
      <c r="C83" s="109">
        <v>6171</v>
      </c>
      <c r="D83" s="29">
        <v>14.33</v>
      </c>
      <c r="E83" s="29" t="s">
        <v>257</v>
      </c>
      <c r="F83" s="69">
        <f>65+7</f>
        <v>72</v>
      </c>
      <c r="G83" s="69"/>
      <c r="H83" s="69">
        <f t="shared" si="49"/>
        <v>72</v>
      </c>
      <c r="I83" s="69">
        <f>6.338+0.6+10.46596</f>
        <v>17.403960000000001</v>
      </c>
      <c r="J83" s="34">
        <f t="shared" si="48"/>
        <v>24.172166666666669</v>
      </c>
      <c r="K83" s="69">
        <f>35.43358+0.3+2.9</f>
        <v>38.633579999999995</v>
      </c>
      <c r="L83" s="34">
        <f t="shared" si="36"/>
        <v>53.657749999999993</v>
      </c>
      <c r="M83" s="69">
        <f>48.6352+0.6+4.1</f>
        <v>53.3352</v>
      </c>
      <c r="N83" s="34">
        <f t="shared" si="37"/>
        <v>74.076666666666668</v>
      </c>
      <c r="O83" s="69">
        <f>60.61093+0.8+4.9</f>
        <v>66.310929999999999</v>
      </c>
      <c r="P83" s="34">
        <f t="shared" si="38"/>
        <v>92.098513888888888</v>
      </c>
      <c r="Q83" s="258">
        <f t="shared" si="50"/>
        <v>-5.689070000000001</v>
      </c>
      <c r="R83" s="112"/>
      <c r="S83" s="262">
        <f t="shared" si="51"/>
        <v>71.113600000000005</v>
      </c>
      <c r="T83" s="258">
        <f t="shared" si="52"/>
        <v>-0.88639999999999475</v>
      </c>
      <c r="U83" s="69">
        <v>65</v>
      </c>
      <c r="V83" s="158">
        <f t="shared" si="46"/>
        <v>0.90277777777777779</v>
      </c>
    </row>
    <row r="84" spans="1:22" x14ac:dyDescent="0.2">
      <c r="A84" s="97"/>
      <c r="B84" s="29">
        <v>2212</v>
      </c>
      <c r="C84" s="109">
        <v>2169</v>
      </c>
      <c r="D84" s="29">
        <v>15</v>
      </c>
      <c r="E84" s="29" t="s">
        <v>169</v>
      </c>
      <c r="F84" s="69">
        <v>40</v>
      </c>
      <c r="G84" s="69"/>
      <c r="H84" s="69">
        <f t="shared" si="49"/>
        <v>40</v>
      </c>
      <c r="I84" s="69"/>
      <c r="J84" s="34">
        <f t="shared" si="48"/>
        <v>0</v>
      </c>
      <c r="K84" s="69"/>
      <c r="L84" s="34">
        <f t="shared" si="36"/>
        <v>0</v>
      </c>
      <c r="M84" s="69">
        <v>0</v>
      </c>
      <c r="N84" s="34">
        <f t="shared" si="37"/>
        <v>0</v>
      </c>
      <c r="O84" s="69">
        <v>0</v>
      </c>
      <c r="P84" s="34">
        <f t="shared" si="38"/>
        <v>0</v>
      </c>
      <c r="Q84" s="258">
        <f t="shared" si="50"/>
        <v>-40</v>
      </c>
      <c r="R84" s="417"/>
      <c r="S84" s="262">
        <f t="shared" si="51"/>
        <v>0</v>
      </c>
      <c r="T84" s="258">
        <f t="shared" si="52"/>
        <v>-40</v>
      </c>
      <c r="U84" s="69">
        <v>40</v>
      </c>
      <c r="V84" s="158">
        <f t="shared" si="46"/>
        <v>1</v>
      </c>
    </row>
    <row r="85" spans="1:22" x14ac:dyDescent="0.2">
      <c r="A85" s="109"/>
      <c r="B85" s="29">
        <v>2212</v>
      </c>
      <c r="C85" s="232" t="s">
        <v>191</v>
      </c>
      <c r="D85" s="29">
        <v>17</v>
      </c>
      <c r="E85" s="29" t="s">
        <v>140</v>
      </c>
      <c r="F85" s="69">
        <v>60</v>
      </c>
      <c r="G85" s="69"/>
      <c r="H85" s="69">
        <f t="shared" si="49"/>
        <v>60</v>
      </c>
      <c r="I85" s="69">
        <v>0.2</v>
      </c>
      <c r="J85" s="34">
        <f t="shared" si="48"/>
        <v>0.33333333333333337</v>
      </c>
      <c r="K85" s="69">
        <v>0.5</v>
      </c>
      <c r="L85" s="34">
        <f t="shared" si="36"/>
        <v>0.83333333333333337</v>
      </c>
      <c r="M85" s="69">
        <v>5.2</v>
      </c>
      <c r="N85" s="34">
        <f t="shared" si="37"/>
        <v>8.6666666666666679</v>
      </c>
      <c r="O85" s="69">
        <v>5.8</v>
      </c>
      <c r="P85" s="34">
        <f t="shared" si="38"/>
        <v>9.6666666666666661</v>
      </c>
      <c r="Q85" s="258">
        <f t="shared" si="50"/>
        <v>-54.2</v>
      </c>
      <c r="R85" s="112"/>
      <c r="S85" s="262">
        <f t="shared" si="51"/>
        <v>6.9333333333333336</v>
      </c>
      <c r="T85" s="258">
        <f t="shared" si="52"/>
        <v>-53.066666666666663</v>
      </c>
      <c r="U85" s="69">
        <v>30</v>
      </c>
      <c r="V85" s="158">
        <f t="shared" si="46"/>
        <v>0.5</v>
      </c>
    </row>
    <row r="86" spans="1:22" x14ac:dyDescent="0.2">
      <c r="A86" s="109"/>
      <c r="B86" s="29">
        <v>2212</v>
      </c>
      <c r="C86" s="109">
        <v>6171</v>
      </c>
      <c r="D86" s="29">
        <v>25.26</v>
      </c>
      <c r="E86" s="29" t="s">
        <v>139</v>
      </c>
      <c r="F86" s="69">
        <v>1200</v>
      </c>
      <c r="G86" s="69"/>
      <c r="H86" s="69">
        <f t="shared" si="49"/>
        <v>1200</v>
      </c>
      <c r="I86" s="69">
        <v>199.31927999999999</v>
      </c>
      <c r="J86" s="34">
        <f t="shared" si="48"/>
        <v>16.609939999999998</v>
      </c>
      <c r="K86" s="69">
        <v>371.23343999999997</v>
      </c>
      <c r="L86" s="34">
        <f t="shared" si="36"/>
        <v>30.936119999999999</v>
      </c>
      <c r="M86" s="69">
        <v>512.17747999999995</v>
      </c>
      <c r="N86" s="34">
        <f t="shared" si="37"/>
        <v>42.681456666666662</v>
      </c>
      <c r="O86" s="69">
        <v>606.42430999999999</v>
      </c>
      <c r="P86" s="34">
        <f t="shared" si="38"/>
        <v>50.535359166666673</v>
      </c>
      <c r="Q86" s="258">
        <f t="shared" si="50"/>
        <v>-593.57569000000001</v>
      </c>
      <c r="R86" s="112"/>
      <c r="S86" s="262">
        <f t="shared" si="51"/>
        <v>682.90330666666659</v>
      </c>
      <c r="T86" s="258">
        <f t="shared" si="52"/>
        <v>-517.09669333333341</v>
      </c>
      <c r="U86" s="69">
        <v>900</v>
      </c>
      <c r="V86" s="158">
        <f t="shared" si="46"/>
        <v>0.75</v>
      </c>
    </row>
    <row r="87" spans="1:22" x14ac:dyDescent="0.2">
      <c r="A87" s="109"/>
      <c r="B87" s="29">
        <v>2212</v>
      </c>
      <c r="C87" s="109">
        <v>6171</v>
      </c>
      <c r="D87" s="29">
        <v>30.13</v>
      </c>
      <c r="E87" s="29" t="s">
        <v>333</v>
      </c>
      <c r="F87" s="69">
        <v>0</v>
      </c>
      <c r="G87" s="69"/>
      <c r="H87" s="69">
        <f t="shared" si="49"/>
        <v>0</v>
      </c>
      <c r="I87" s="69"/>
      <c r="J87" s="34"/>
      <c r="K87" s="69"/>
      <c r="L87" s="34"/>
      <c r="M87" s="69">
        <v>3</v>
      </c>
      <c r="N87" s="34"/>
      <c r="O87" s="69">
        <v>3</v>
      </c>
      <c r="P87" s="34"/>
      <c r="Q87" s="258">
        <f t="shared" si="50"/>
        <v>3</v>
      </c>
      <c r="R87" s="112"/>
      <c r="S87" s="262">
        <f t="shared" si="51"/>
        <v>4</v>
      </c>
      <c r="T87" s="258">
        <f t="shared" si="52"/>
        <v>4</v>
      </c>
      <c r="U87" s="69">
        <v>0</v>
      </c>
      <c r="V87" s="158"/>
    </row>
    <row r="88" spans="1:22" x14ac:dyDescent="0.2">
      <c r="A88" s="109"/>
      <c r="B88" s="29">
        <v>2212</v>
      </c>
      <c r="C88" s="109">
        <v>5311</v>
      </c>
      <c r="D88" s="29">
        <v>16</v>
      </c>
      <c r="E88" s="29" t="s">
        <v>44</v>
      </c>
      <c r="F88" s="69">
        <v>150</v>
      </c>
      <c r="G88" s="69"/>
      <c r="H88" s="69">
        <f t="shared" si="49"/>
        <v>150</v>
      </c>
      <c r="I88" s="69">
        <v>21.7</v>
      </c>
      <c r="J88" s="34">
        <f t="shared" si="48"/>
        <v>14.466666666666667</v>
      </c>
      <c r="K88" s="69">
        <v>94.2</v>
      </c>
      <c r="L88" s="34">
        <f t="shared" si="36"/>
        <v>62.8</v>
      </c>
      <c r="M88" s="69">
        <v>154.19999999999999</v>
      </c>
      <c r="N88" s="34">
        <f t="shared" si="37"/>
        <v>102.8</v>
      </c>
      <c r="O88" s="69">
        <v>182.90010000000001</v>
      </c>
      <c r="P88" s="34">
        <f t="shared" si="38"/>
        <v>121.93340000000002</v>
      </c>
      <c r="Q88" s="258">
        <f t="shared" si="50"/>
        <v>32.900100000000009</v>
      </c>
      <c r="R88" s="112"/>
      <c r="S88" s="262">
        <f t="shared" si="51"/>
        <v>205.6</v>
      </c>
      <c r="T88" s="258">
        <f t="shared" si="52"/>
        <v>55.599999999999994</v>
      </c>
      <c r="U88" s="69">
        <v>150</v>
      </c>
      <c r="V88" s="158">
        <f t="shared" si="46"/>
        <v>1</v>
      </c>
    </row>
    <row r="89" spans="1:22" x14ac:dyDescent="0.2">
      <c r="A89" s="96" t="s">
        <v>136</v>
      </c>
      <c r="B89" s="29"/>
      <c r="C89" s="109"/>
      <c r="D89" s="29"/>
      <c r="E89" s="29"/>
      <c r="F89" s="70">
        <f>SUM(F90:F99)</f>
        <v>0</v>
      </c>
      <c r="G89" s="70">
        <f>SUM(G90:G99)</f>
        <v>1835.8228100000001</v>
      </c>
      <c r="H89" s="70">
        <f>SUM(H90:H99)</f>
        <v>1835.8228100000001</v>
      </c>
      <c r="I89" s="70">
        <f>SUM(I90:I99)</f>
        <v>689.84600000000012</v>
      </c>
      <c r="J89" s="210"/>
      <c r="K89" s="70">
        <f>SUM(K90:K99)</f>
        <v>699.36200000000008</v>
      </c>
      <c r="L89" s="210">
        <f t="shared" si="36"/>
        <v>38.09528872778305</v>
      </c>
      <c r="M89" s="70">
        <f>SUM(M90:M99)</f>
        <v>1675.3620000000003</v>
      </c>
      <c r="N89" s="210">
        <f t="shared" si="37"/>
        <v>91.259460928040227</v>
      </c>
      <c r="O89" s="70">
        <f>SUM(O90:O99)</f>
        <v>1854.9988100000003</v>
      </c>
      <c r="P89" s="210">
        <f t="shared" si="38"/>
        <v>101.04454525216408</v>
      </c>
      <c r="Q89" s="338">
        <f>SUM(Q90:Q99)</f>
        <v>19.176000000000002</v>
      </c>
      <c r="R89" s="348"/>
      <c r="S89" s="338">
        <f>SUM(S90:S101)</f>
        <v>1802.9988100000003</v>
      </c>
      <c r="T89" s="338">
        <f>SUM(T90:T101)</f>
        <v>-32.823999999999998</v>
      </c>
      <c r="U89" s="70">
        <f>SUM(U90:U99)</f>
        <v>679</v>
      </c>
      <c r="V89" s="157"/>
    </row>
    <row r="90" spans="1:22" x14ac:dyDescent="0.2">
      <c r="A90" s="109"/>
      <c r="B90" s="29">
        <v>2321</v>
      </c>
      <c r="C90" s="109">
        <v>2199</v>
      </c>
      <c r="D90" s="29"/>
      <c r="E90" s="29" t="s">
        <v>280</v>
      </c>
      <c r="F90" s="69"/>
      <c r="G90" s="69">
        <f>10+32+20</f>
        <v>62</v>
      </c>
      <c r="H90" s="69">
        <f t="shared" si="49"/>
        <v>62</v>
      </c>
      <c r="I90" s="69"/>
      <c r="J90" s="34"/>
      <c r="K90" s="69">
        <v>10</v>
      </c>
      <c r="L90" s="34">
        <f t="shared" si="36"/>
        <v>16.129032258064516</v>
      </c>
      <c r="M90" s="69">
        <v>10</v>
      </c>
      <c r="N90" s="34">
        <f t="shared" si="37"/>
        <v>16.129032258064516</v>
      </c>
      <c r="O90" s="69">
        <f>10+32+20</f>
        <v>62</v>
      </c>
      <c r="P90" s="34">
        <f t="shared" si="38"/>
        <v>100</v>
      </c>
      <c r="Q90" s="258">
        <f t="shared" ref="Q90:Q101" si="53">O90-H90</f>
        <v>0</v>
      </c>
      <c r="R90" s="112"/>
      <c r="S90" s="259">
        <f t="shared" ref="S90:S99" si="54">M90</f>
        <v>10</v>
      </c>
      <c r="T90" s="258">
        <f t="shared" si="52"/>
        <v>-52</v>
      </c>
      <c r="U90" s="69"/>
      <c r="V90" s="158"/>
    </row>
    <row r="91" spans="1:22" x14ac:dyDescent="0.2">
      <c r="A91" s="109"/>
      <c r="B91" s="29">
        <v>2321</v>
      </c>
      <c r="C91" s="109">
        <v>2321</v>
      </c>
      <c r="D91" s="29"/>
      <c r="E91" s="29" t="s">
        <v>435</v>
      </c>
      <c r="F91" s="69"/>
      <c r="G91" s="69">
        <v>948</v>
      </c>
      <c r="H91" s="69">
        <f t="shared" si="49"/>
        <v>948</v>
      </c>
      <c r="I91" s="69"/>
      <c r="J91" s="34"/>
      <c r="K91" s="69"/>
      <c r="L91" s="34">
        <f t="shared" si="36"/>
        <v>0</v>
      </c>
      <c r="M91" s="69">
        <v>948</v>
      </c>
      <c r="N91" s="34">
        <f t="shared" si="37"/>
        <v>100</v>
      </c>
      <c r="O91" s="69">
        <v>948</v>
      </c>
      <c r="P91" s="34">
        <f t="shared" si="38"/>
        <v>100</v>
      </c>
      <c r="Q91" s="258">
        <f t="shared" si="53"/>
        <v>0</v>
      </c>
      <c r="R91" s="112"/>
      <c r="S91" s="259">
        <f t="shared" si="54"/>
        <v>948</v>
      </c>
      <c r="T91" s="258">
        <f t="shared" si="52"/>
        <v>0</v>
      </c>
      <c r="U91" s="69"/>
      <c r="V91" s="158"/>
    </row>
    <row r="92" spans="1:22" x14ac:dyDescent="0.2">
      <c r="A92" s="109"/>
      <c r="B92" s="29">
        <v>2222</v>
      </c>
      <c r="C92" s="109">
        <v>6402</v>
      </c>
      <c r="D92" s="29"/>
      <c r="E92" s="29" t="s">
        <v>489</v>
      </c>
      <c r="F92" s="69"/>
      <c r="G92" s="69">
        <v>0.49099999999999999</v>
      </c>
      <c r="H92" s="69">
        <f t="shared" si="49"/>
        <v>0.49099999999999999</v>
      </c>
      <c r="I92" s="69">
        <v>0.49099999999999999</v>
      </c>
      <c r="J92" s="34"/>
      <c r="K92" s="69">
        <v>0.49099999999999999</v>
      </c>
      <c r="L92" s="34">
        <f t="shared" si="36"/>
        <v>100</v>
      </c>
      <c r="M92" s="69">
        <v>0.49099999999999999</v>
      </c>
      <c r="N92" s="34">
        <f t="shared" si="37"/>
        <v>100</v>
      </c>
      <c r="O92" s="69">
        <v>0.49099999999999999</v>
      </c>
      <c r="P92" s="34">
        <f t="shared" si="38"/>
        <v>100</v>
      </c>
      <c r="Q92" s="258">
        <f t="shared" si="53"/>
        <v>0</v>
      </c>
      <c r="R92" s="112"/>
      <c r="S92" s="259">
        <f t="shared" si="54"/>
        <v>0.49099999999999999</v>
      </c>
      <c r="T92" s="258">
        <f t="shared" si="52"/>
        <v>0</v>
      </c>
      <c r="U92" s="509">
        <v>79</v>
      </c>
      <c r="V92" s="158"/>
    </row>
    <row r="93" spans="1:22" x14ac:dyDescent="0.2">
      <c r="A93" s="109"/>
      <c r="B93" s="29">
        <v>2229</v>
      </c>
      <c r="C93" s="109">
        <v>4355</v>
      </c>
      <c r="D93" s="29"/>
      <c r="E93" s="29" t="s">
        <v>424</v>
      </c>
      <c r="F93" s="69"/>
      <c r="G93" s="69">
        <v>608.69500000000005</v>
      </c>
      <c r="H93" s="69">
        <f t="shared" si="49"/>
        <v>608.69500000000005</v>
      </c>
      <c r="I93" s="69">
        <v>608.69500000000005</v>
      </c>
      <c r="J93" s="34"/>
      <c r="K93" s="69">
        <v>608.69500000000005</v>
      </c>
      <c r="L93" s="34">
        <f t="shared" si="36"/>
        <v>100</v>
      </c>
      <c r="M93" s="69">
        <v>608.69500000000005</v>
      </c>
      <c r="N93" s="34">
        <f t="shared" si="37"/>
        <v>100</v>
      </c>
      <c r="O93" s="69">
        <v>608.69500000000005</v>
      </c>
      <c r="P93" s="34">
        <f t="shared" si="38"/>
        <v>100</v>
      </c>
      <c r="Q93" s="258">
        <f t="shared" si="53"/>
        <v>0</v>
      </c>
      <c r="R93" s="112"/>
      <c r="S93" s="259">
        <f t="shared" si="54"/>
        <v>608.69500000000005</v>
      </c>
      <c r="T93" s="258">
        <f t="shared" si="52"/>
        <v>0</v>
      </c>
      <c r="U93" s="69"/>
      <c r="V93" s="158"/>
    </row>
    <row r="94" spans="1:22" x14ac:dyDescent="0.2">
      <c r="A94" s="109"/>
      <c r="B94" s="29">
        <v>2229</v>
      </c>
      <c r="C94" s="109">
        <v>6402</v>
      </c>
      <c r="D94" s="29">
        <v>301</v>
      </c>
      <c r="E94" s="29" t="s">
        <v>470</v>
      </c>
      <c r="F94" s="69"/>
      <c r="G94" s="69">
        <v>27.920809999999999</v>
      </c>
      <c r="H94" s="69">
        <f t="shared" si="49"/>
        <v>27.920809999999999</v>
      </c>
      <c r="I94" s="69"/>
      <c r="J94" s="34"/>
      <c r="K94" s="69"/>
      <c r="L94" s="34"/>
      <c r="M94" s="69"/>
      <c r="N94" s="34"/>
      <c r="O94" s="69">
        <v>27.920809999999999</v>
      </c>
      <c r="P94" s="34">
        <f t="shared" si="38"/>
        <v>100</v>
      </c>
      <c r="Q94" s="258">
        <f t="shared" si="53"/>
        <v>0</v>
      </c>
      <c r="R94" s="112"/>
      <c r="S94" s="259">
        <f>H94</f>
        <v>27.920809999999999</v>
      </c>
      <c r="T94" s="258">
        <f t="shared" si="52"/>
        <v>0</v>
      </c>
      <c r="U94" s="69"/>
      <c r="V94" s="158"/>
    </row>
    <row r="95" spans="1:22" x14ac:dyDescent="0.2">
      <c r="A95" s="109"/>
      <c r="B95" s="29">
        <v>2324</v>
      </c>
      <c r="C95" s="109">
        <v>4349.3420999999998</v>
      </c>
      <c r="D95" s="29">
        <v>105.22799999999999</v>
      </c>
      <c r="E95" s="29" t="s">
        <v>428</v>
      </c>
      <c r="F95" s="69"/>
      <c r="G95" s="69">
        <f>30+20</f>
        <v>50</v>
      </c>
      <c r="H95" s="69">
        <f t="shared" si="49"/>
        <v>50</v>
      </c>
      <c r="I95" s="69">
        <v>63</v>
      </c>
      <c r="J95" s="34"/>
      <c r="K95" s="69">
        <f>5+63.976</f>
        <v>68.975999999999999</v>
      </c>
      <c r="L95" s="34">
        <f t="shared" si="36"/>
        <v>137.952</v>
      </c>
      <c r="M95" s="69">
        <f>5+63.976</f>
        <v>68.975999999999999</v>
      </c>
      <c r="N95" s="34">
        <f t="shared" si="37"/>
        <v>137.952</v>
      </c>
      <c r="O95" s="69">
        <f>5+63.976</f>
        <v>68.975999999999999</v>
      </c>
      <c r="P95" s="34">
        <f t="shared" si="38"/>
        <v>137.952</v>
      </c>
      <c r="Q95" s="258">
        <f t="shared" si="53"/>
        <v>18.975999999999999</v>
      </c>
      <c r="R95" s="112"/>
      <c r="S95" s="259">
        <f t="shared" si="54"/>
        <v>68.975999999999999</v>
      </c>
      <c r="T95" s="258">
        <f t="shared" si="52"/>
        <v>18.975999999999999</v>
      </c>
      <c r="U95" s="69"/>
      <c r="V95" s="158"/>
    </row>
    <row r="96" spans="1:22" x14ac:dyDescent="0.2">
      <c r="A96" s="109"/>
      <c r="B96" s="29">
        <v>2324</v>
      </c>
      <c r="C96" s="109">
        <v>1036</v>
      </c>
      <c r="D96" s="29">
        <v>109</v>
      </c>
      <c r="E96" s="29" t="s">
        <v>469</v>
      </c>
      <c r="F96" s="69"/>
      <c r="G96" s="69">
        <v>99.715999999999994</v>
      </c>
      <c r="H96" s="69">
        <f t="shared" si="49"/>
        <v>99.715999999999994</v>
      </c>
      <c r="I96" s="69"/>
      <c r="J96" s="34"/>
      <c r="K96" s="69"/>
      <c r="L96" s="34"/>
      <c r="M96" s="69"/>
      <c r="N96" s="34"/>
      <c r="O96" s="69">
        <v>99.715999999999994</v>
      </c>
      <c r="P96" s="34">
        <f t="shared" si="38"/>
        <v>100</v>
      </c>
      <c r="Q96" s="258">
        <f t="shared" si="53"/>
        <v>0</v>
      </c>
      <c r="R96" s="112"/>
      <c r="S96" s="259">
        <f>H96</f>
        <v>99.715999999999994</v>
      </c>
      <c r="T96" s="258">
        <f t="shared" si="52"/>
        <v>0</v>
      </c>
      <c r="U96" s="69"/>
      <c r="V96" s="158"/>
    </row>
    <row r="97" spans="1:23" x14ac:dyDescent="0.2">
      <c r="A97" s="109"/>
      <c r="B97" s="29"/>
      <c r="C97" s="109"/>
      <c r="D97" s="29"/>
      <c r="E97" s="29" t="s">
        <v>466</v>
      </c>
      <c r="F97" s="69"/>
      <c r="G97" s="69"/>
      <c r="H97" s="69"/>
      <c r="I97" s="69"/>
      <c r="J97" s="34"/>
      <c r="K97" s="69"/>
      <c r="L97" s="34"/>
      <c r="M97" s="69"/>
      <c r="N97" s="34"/>
      <c r="O97" s="69"/>
      <c r="P97" s="34"/>
      <c r="Q97" s="258">
        <f t="shared" si="53"/>
        <v>0</v>
      </c>
      <c r="R97" s="112"/>
      <c r="S97" s="259"/>
      <c r="T97" s="258"/>
      <c r="U97" s="69">
        <v>600</v>
      </c>
      <c r="V97" s="158"/>
    </row>
    <row r="98" spans="1:23" x14ac:dyDescent="0.2">
      <c r="A98" s="109"/>
      <c r="B98" s="29">
        <v>2324</v>
      </c>
      <c r="C98" s="109">
        <v>5512</v>
      </c>
      <c r="D98" s="29">
        <v>223</v>
      </c>
      <c r="E98" s="29" t="s">
        <v>327</v>
      </c>
      <c r="F98" s="69"/>
      <c r="G98" s="69">
        <v>39</v>
      </c>
      <c r="H98" s="69">
        <f t="shared" si="49"/>
        <v>39</v>
      </c>
      <c r="I98" s="69">
        <v>11.2</v>
      </c>
      <c r="J98" s="34"/>
      <c r="K98" s="69">
        <v>11.2</v>
      </c>
      <c r="L98" s="34"/>
      <c r="M98" s="69">
        <f>28+11.2</f>
        <v>39.200000000000003</v>
      </c>
      <c r="N98" s="34"/>
      <c r="O98" s="69">
        <f>28+11.2</f>
        <v>39.200000000000003</v>
      </c>
      <c r="P98" s="34">
        <f t="shared" si="38"/>
        <v>100.51282051282051</v>
      </c>
      <c r="Q98" s="258">
        <f t="shared" si="53"/>
        <v>0.20000000000000284</v>
      </c>
      <c r="R98" s="112"/>
      <c r="S98" s="259">
        <f t="shared" si="54"/>
        <v>39.200000000000003</v>
      </c>
      <c r="T98" s="258">
        <f t="shared" si="52"/>
        <v>0.20000000000000284</v>
      </c>
      <c r="U98" s="69"/>
      <c r="V98" s="158"/>
    </row>
    <row r="99" spans="1:23" x14ac:dyDescent="0.2">
      <c r="A99" s="109"/>
      <c r="B99" s="29">
        <v>2328</v>
      </c>
      <c r="C99" s="109"/>
      <c r="D99" s="29"/>
      <c r="E99" s="29" t="s">
        <v>426</v>
      </c>
      <c r="F99" s="69"/>
      <c r="G99" s="69"/>
      <c r="H99" s="69">
        <f t="shared" si="49"/>
        <v>0</v>
      </c>
      <c r="I99" s="69">
        <v>6.46</v>
      </c>
      <c r="J99" s="34"/>
      <c r="K99" s="69"/>
      <c r="L99" s="34"/>
      <c r="M99" s="69"/>
      <c r="N99" s="34"/>
      <c r="O99" s="69"/>
      <c r="P99" s="34"/>
      <c r="Q99" s="258">
        <f t="shared" si="53"/>
        <v>0</v>
      </c>
      <c r="R99" s="112"/>
      <c r="S99" s="259">
        <f t="shared" si="54"/>
        <v>0</v>
      </c>
      <c r="T99" s="258">
        <f t="shared" si="52"/>
        <v>0</v>
      </c>
      <c r="U99" s="69"/>
      <c r="V99" s="158"/>
      <c r="W99" s="113"/>
    </row>
    <row r="100" spans="1:23" x14ac:dyDescent="0.2">
      <c r="A100" s="96" t="s">
        <v>135</v>
      </c>
      <c r="B100" s="29"/>
      <c r="C100" s="109"/>
      <c r="D100" s="29"/>
      <c r="E100" s="29"/>
      <c r="F100" s="70">
        <f>SUM(F101:F101)</f>
        <v>0</v>
      </c>
      <c r="G100" s="70">
        <f>SUM(G101:G101)</f>
        <v>0</v>
      </c>
      <c r="H100" s="70">
        <f>SUM(H101:H101)</f>
        <v>0</v>
      </c>
      <c r="I100" s="70">
        <f>SUM(I101:I101)</f>
        <v>0</v>
      </c>
      <c r="J100" s="31"/>
      <c r="K100" s="70">
        <f>SUM(K101:K101)</f>
        <v>0</v>
      </c>
      <c r="L100" s="31"/>
      <c r="M100" s="70">
        <f>SUM(M101:M101)</f>
        <v>0</v>
      </c>
      <c r="N100" s="210"/>
      <c r="O100" s="70">
        <f>SUM(O101:O101)</f>
        <v>0</v>
      </c>
      <c r="P100" s="210"/>
      <c r="Q100" s="258">
        <f t="shared" si="53"/>
        <v>0</v>
      </c>
      <c r="R100" s="238"/>
      <c r="S100" s="338">
        <f>SUM(S101:S101)</f>
        <v>0</v>
      </c>
      <c r="T100" s="338">
        <f>SUM(T101:T101)</f>
        <v>0</v>
      </c>
      <c r="U100" s="70">
        <f>SUM(U101:U101)</f>
        <v>2995</v>
      </c>
      <c r="V100" s="157" t="e">
        <f>U100/F100</f>
        <v>#DIV/0!</v>
      </c>
    </row>
    <row r="101" spans="1:23" ht="13.5" thickBot="1" x14ac:dyDescent="0.25">
      <c r="A101" s="109"/>
      <c r="B101" s="29"/>
      <c r="C101" s="109"/>
      <c r="D101" s="29"/>
      <c r="E101" s="29" t="s">
        <v>487</v>
      </c>
      <c r="F101" s="69"/>
      <c r="G101" s="69"/>
      <c r="H101" s="69">
        <f>SUM(F101:G101)</f>
        <v>0</v>
      </c>
      <c r="I101" s="69"/>
      <c r="J101" s="34"/>
      <c r="K101" s="69"/>
      <c r="L101" s="34"/>
      <c r="M101" s="69"/>
      <c r="N101" s="34"/>
      <c r="O101" s="69"/>
      <c r="P101" s="34"/>
      <c r="Q101" s="258">
        <f t="shared" si="53"/>
        <v>0</v>
      </c>
      <c r="R101" s="112"/>
      <c r="S101" s="259">
        <f>M101</f>
        <v>0</v>
      </c>
      <c r="T101" s="258">
        <f>S101-H101</f>
        <v>0</v>
      </c>
      <c r="U101" s="69">
        <v>2995</v>
      </c>
      <c r="V101" s="158"/>
    </row>
    <row r="102" spans="1:23" ht="16.5" thickBot="1" x14ac:dyDescent="0.3">
      <c r="A102" s="115" t="s">
        <v>45</v>
      </c>
      <c r="B102" s="118"/>
      <c r="C102" s="119"/>
      <c r="D102" s="118"/>
      <c r="E102" s="118"/>
      <c r="F102" s="71">
        <f>SUM(F41+F64+F76+F81+F89+F100)</f>
        <v>27406</v>
      </c>
      <c r="G102" s="71">
        <f>SUM(G41+G64+G76+G81+G89+G100)</f>
        <v>2399.9128100000003</v>
      </c>
      <c r="H102" s="71">
        <f>SUM(H41+H64+H76+H81+H89+H100)</f>
        <v>29805.912810000002</v>
      </c>
      <c r="I102" s="71">
        <f>SUM(I41+I64+I76+I81+I89+I100)</f>
        <v>6101.8324700000003</v>
      </c>
      <c r="J102" s="36">
        <f>I102/$H102*100</f>
        <v>20.471885927119839</v>
      </c>
      <c r="K102" s="71">
        <f>SUM(K41+K64+K76+K81+K89+K100)</f>
        <v>11214.487970000002</v>
      </c>
      <c r="L102" s="36">
        <f>K102/$H102*100</f>
        <v>37.625044538939598</v>
      </c>
      <c r="M102" s="71">
        <f>SUM(M41+M64+M76+M81+M89+M100)</f>
        <v>24341.411599999999</v>
      </c>
      <c r="N102" s="36">
        <f>M102/$H102*100</f>
        <v>81.666385308063312</v>
      </c>
      <c r="O102" s="71">
        <f>SUM(O41+O64+O76+O81+O89+O100)</f>
        <v>30140.540660000002</v>
      </c>
      <c r="P102" s="36">
        <f>O102/$H102*100</f>
        <v>101.12268948826735</v>
      </c>
      <c r="Q102" s="342">
        <f>SUM(Q41+Q64+Q76+Q81+Q89+Q100)</f>
        <v>334.62784999999946</v>
      </c>
      <c r="R102" s="244"/>
      <c r="S102" s="71">
        <f>SUM(S41+S64+S76+S81+S89+S100)</f>
        <v>29412.10550666667</v>
      </c>
      <c r="T102" s="356">
        <f>SUM(T41+T64+T76+T81+T89+T100)</f>
        <v>-393.8073033333331</v>
      </c>
      <c r="U102" s="71">
        <f>SUM(U41+U64+U76+U81+U89+U100)</f>
        <v>27393</v>
      </c>
      <c r="V102" s="159">
        <f>U102/F102</f>
        <v>0.99952565131722981</v>
      </c>
    </row>
    <row r="103" spans="1:23" x14ac:dyDescent="0.2">
      <c r="A103" s="110" t="s">
        <v>155</v>
      </c>
      <c r="B103" s="77"/>
      <c r="C103" s="110"/>
      <c r="D103" s="77"/>
      <c r="E103" s="110" t="s">
        <v>46</v>
      </c>
      <c r="F103" s="76"/>
      <c r="G103" s="76"/>
      <c r="H103" s="76"/>
      <c r="I103" s="76"/>
      <c r="J103" s="30"/>
      <c r="K103" s="76"/>
      <c r="L103" s="30"/>
      <c r="M103" s="76"/>
      <c r="N103" s="30"/>
      <c r="O103" s="76"/>
      <c r="P103" s="30"/>
      <c r="Q103" s="30"/>
      <c r="R103" s="240"/>
      <c r="S103" s="30"/>
      <c r="T103" s="30"/>
      <c r="U103" s="76"/>
      <c r="V103" s="156"/>
    </row>
    <row r="104" spans="1:23" x14ac:dyDescent="0.2">
      <c r="A104" s="96" t="s">
        <v>47</v>
      </c>
      <c r="B104" s="32"/>
      <c r="C104" s="96"/>
      <c r="D104" s="32"/>
      <c r="E104" s="32"/>
      <c r="F104" s="70"/>
      <c r="G104" s="70"/>
      <c r="H104" s="70"/>
      <c r="I104" s="70"/>
      <c r="J104" s="31"/>
      <c r="K104" s="70"/>
      <c r="L104" s="31"/>
      <c r="M104" s="70"/>
      <c r="N104" s="31"/>
      <c r="O104" s="70"/>
      <c r="P104" s="31"/>
      <c r="Q104" s="307"/>
      <c r="R104" s="239"/>
      <c r="S104" s="307"/>
      <c r="T104" s="307"/>
      <c r="U104" s="70"/>
      <c r="V104" s="158"/>
      <c r="W104" s="337"/>
    </row>
    <row r="105" spans="1:23" x14ac:dyDescent="0.2">
      <c r="A105" s="109"/>
      <c r="B105" s="29">
        <v>3111</v>
      </c>
      <c r="C105" s="109">
        <v>2121</v>
      </c>
      <c r="D105" s="29">
        <v>20</v>
      </c>
      <c r="E105" s="29" t="s">
        <v>185</v>
      </c>
      <c r="F105" s="69">
        <v>50</v>
      </c>
      <c r="G105" s="69"/>
      <c r="H105" s="69">
        <f>SUM(F105:G105)</f>
        <v>50</v>
      </c>
      <c r="I105" s="69">
        <v>225.05</v>
      </c>
      <c r="J105" s="34">
        <f>I105/$H105*100</f>
        <v>450.1</v>
      </c>
      <c r="K105" s="69">
        <v>225.05</v>
      </c>
      <c r="L105" s="34">
        <f t="shared" ref="L105:L110" si="55">K105/$H105*100</f>
        <v>450.1</v>
      </c>
      <c r="M105" s="69">
        <v>233.84700000000001</v>
      </c>
      <c r="N105" s="473">
        <f t="shared" ref="N105:N110" si="56">M105/$H105*100</f>
        <v>467.69400000000002</v>
      </c>
      <c r="O105" s="69">
        <v>233.84700000000001</v>
      </c>
      <c r="P105" s="34">
        <f>O105/$H105*100</f>
        <v>467.69400000000002</v>
      </c>
      <c r="Q105" s="258">
        <f t="shared" ref="Q105:Q109" si="57">O105-H105</f>
        <v>183.84700000000001</v>
      </c>
      <c r="R105" s="112"/>
      <c r="S105" s="259">
        <f>M105</f>
        <v>233.84700000000001</v>
      </c>
      <c r="T105" s="258">
        <f>S105-H105</f>
        <v>183.84700000000001</v>
      </c>
      <c r="U105" s="69">
        <v>50</v>
      </c>
      <c r="V105" s="158">
        <f>U105/F105</f>
        <v>1</v>
      </c>
      <c r="W105" s="235"/>
    </row>
    <row r="106" spans="1:23" x14ac:dyDescent="0.2">
      <c r="A106" s="109"/>
      <c r="B106" s="29">
        <v>3111</v>
      </c>
      <c r="C106" s="109">
        <v>3612</v>
      </c>
      <c r="D106" s="29">
        <v>326</v>
      </c>
      <c r="E106" s="29" t="s">
        <v>369</v>
      </c>
      <c r="F106" s="69">
        <f>2020+424</f>
        <v>2444</v>
      </c>
      <c r="G106" s="69"/>
      <c r="H106" s="69">
        <f>SUM(F106:G106)</f>
        <v>2444</v>
      </c>
      <c r="I106" s="69">
        <v>181.5</v>
      </c>
      <c r="J106" s="34"/>
      <c r="K106" s="69">
        <v>181.5</v>
      </c>
      <c r="L106" s="34">
        <f t="shared" si="55"/>
        <v>7.4263502454991821</v>
      </c>
      <c r="M106" s="69">
        <v>181.5</v>
      </c>
      <c r="N106" s="473">
        <f t="shared" si="56"/>
        <v>7.4263502454991821</v>
      </c>
      <c r="O106" s="69">
        <v>181.5</v>
      </c>
      <c r="P106" s="34">
        <f t="shared" ref="P106:P107" si="58">O106/$H106*100</f>
        <v>7.4263502454991821</v>
      </c>
      <c r="Q106" s="258">
        <f t="shared" si="57"/>
        <v>-2262.5</v>
      </c>
      <c r="R106" s="112"/>
      <c r="S106" s="259">
        <f>M106</f>
        <v>181.5</v>
      </c>
      <c r="T106" s="258">
        <f>S106-H106</f>
        <v>-2262.5</v>
      </c>
      <c r="U106" s="69">
        <v>9130</v>
      </c>
      <c r="V106" s="158"/>
      <c r="W106" s="477">
        <v>1585</v>
      </c>
    </row>
    <row r="107" spans="1:23" x14ac:dyDescent="0.2">
      <c r="A107" s="109"/>
      <c r="B107" s="29">
        <v>3112</v>
      </c>
      <c r="C107" s="109">
        <v>3612</v>
      </c>
      <c r="D107" s="29">
        <v>45</v>
      </c>
      <c r="E107" s="29" t="s">
        <v>186</v>
      </c>
      <c r="F107" s="69">
        <v>5000</v>
      </c>
      <c r="G107" s="69"/>
      <c r="H107" s="69">
        <f>SUM(F107:G107)</f>
        <v>5000</v>
      </c>
      <c r="I107" s="69">
        <v>0</v>
      </c>
      <c r="J107" s="34"/>
      <c r="K107" s="69">
        <v>541.74900000000002</v>
      </c>
      <c r="L107" s="34">
        <f t="shared" si="55"/>
        <v>10.834980000000002</v>
      </c>
      <c r="M107" s="69">
        <v>1083.498</v>
      </c>
      <c r="N107" s="473">
        <f t="shared" si="56"/>
        <v>21.669960000000003</v>
      </c>
      <c r="O107" s="69">
        <v>1631.491</v>
      </c>
      <c r="P107" s="34">
        <f t="shared" si="58"/>
        <v>32.629819999999995</v>
      </c>
      <c r="Q107" s="258">
        <f t="shared" si="57"/>
        <v>-3368.509</v>
      </c>
      <c r="R107" s="112"/>
      <c r="S107" s="259">
        <f>M107+550</f>
        <v>1633.498</v>
      </c>
      <c r="T107" s="258">
        <f>S107-H107</f>
        <v>-3366.502</v>
      </c>
      <c r="U107" s="69">
        <v>4000</v>
      </c>
      <c r="V107" s="158">
        <f>U107/F107</f>
        <v>0.8</v>
      </c>
    </row>
    <row r="108" spans="1:23" x14ac:dyDescent="0.2">
      <c r="A108" s="109"/>
      <c r="B108" s="29">
        <v>3112</v>
      </c>
      <c r="C108" s="109">
        <v>5311</v>
      </c>
      <c r="D108" s="29">
        <v>321</v>
      </c>
      <c r="E108" s="29" t="s">
        <v>350</v>
      </c>
      <c r="F108" s="491">
        <v>300</v>
      </c>
      <c r="G108" s="69"/>
      <c r="H108" s="69">
        <f>SUM(F108:G108)</f>
        <v>300</v>
      </c>
      <c r="I108" s="69">
        <v>0</v>
      </c>
      <c r="J108" s="34">
        <f>I108/$H108*100</f>
        <v>0</v>
      </c>
      <c r="K108" s="69"/>
      <c r="L108" s="34">
        <f t="shared" si="55"/>
        <v>0</v>
      </c>
      <c r="M108" s="69">
        <v>0</v>
      </c>
      <c r="N108" s="473">
        <f t="shared" si="56"/>
        <v>0</v>
      </c>
      <c r="O108" s="69">
        <v>390</v>
      </c>
      <c r="P108" s="34">
        <f>O108/$H108*100</f>
        <v>130</v>
      </c>
      <c r="Q108" s="258">
        <f t="shared" si="57"/>
        <v>90</v>
      </c>
      <c r="R108" s="112"/>
      <c r="S108" s="259">
        <v>390</v>
      </c>
      <c r="T108" s="258">
        <f>S108-H108</f>
        <v>90</v>
      </c>
      <c r="U108" s="69"/>
      <c r="V108" s="158"/>
    </row>
    <row r="109" spans="1:23" ht="13.5" thickBot="1" x14ac:dyDescent="0.25">
      <c r="A109" s="109"/>
      <c r="B109" s="29">
        <v>3112</v>
      </c>
      <c r="C109" s="109">
        <v>3612</v>
      </c>
      <c r="D109" s="29">
        <v>245</v>
      </c>
      <c r="E109" s="29" t="s">
        <v>187</v>
      </c>
      <c r="F109" s="69">
        <v>356</v>
      </c>
      <c r="G109" s="69"/>
      <c r="H109" s="69">
        <f>SUM(F109:G109)</f>
        <v>356</v>
      </c>
      <c r="I109" s="69">
        <v>87.022999999999996</v>
      </c>
      <c r="J109" s="34">
        <f>I109/$H109*100</f>
        <v>24.444662921348314</v>
      </c>
      <c r="K109" s="69">
        <v>175.357</v>
      </c>
      <c r="L109" s="34">
        <f t="shared" si="55"/>
        <v>49.257584269662921</v>
      </c>
      <c r="M109" s="69">
        <v>265.02300000000002</v>
      </c>
      <c r="N109" s="34">
        <f t="shared" si="56"/>
        <v>74.444662921348325</v>
      </c>
      <c r="O109" s="69">
        <v>356.041</v>
      </c>
      <c r="P109" s="34">
        <f>O109/$H109*100</f>
        <v>100.01151685393259</v>
      </c>
      <c r="Q109" s="258">
        <f t="shared" si="57"/>
        <v>4.0999999999996817E-2</v>
      </c>
      <c r="R109" s="112"/>
      <c r="S109" s="416">
        <f>H109</f>
        <v>356</v>
      </c>
      <c r="T109" s="258">
        <f>S109-H109</f>
        <v>0</v>
      </c>
      <c r="U109" s="69">
        <v>378</v>
      </c>
      <c r="V109" s="158">
        <f>U109/F109</f>
        <v>1.0617977528089888</v>
      </c>
    </row>
    <row r="110" spans="1:23" ht="15.75" customHeight="1" thickBot="1" x14ac:dyDescent="0.3">
      <c r="A110" s="115" t="s">
        <v>48</v>
      </c>
      <c r="B110" s="118"/>
      <c r="C110" s="119"/>
      <c r="D110" s="118"/>
      <c r="E110" s="118"/>
      <c r="F110" s="71">
        <f>SUM(F105:F109)</f>
        <v>8150</v>
      </c>
      <c r="G110" s="71">
        <f>SUM(G105:G109)</f>
        <v>0</v>
      </c>
      <c r="H110" s="71">
        <f>SUM(H105:H109)</f>
        <v>8150</v>
      </c>
      <c r="I110" s="71">
        <f>SUM(I105:I109)</f>
        <v>493.57299999999998</v>
      </c>
      <c r="J110" s="36">
        <f>I110/$H110*100</f>
        <v>6.0561104294478518</v>
      </c>
      <c r="K110" s="71">
        <f>SUM(K105:K109)</f>
        <v>1123.6559999999999</v>
      </c>
      <c r="L110" s="36">
        <f t="shared" si="55"/>
        <v>13.787190184049077</v>
      </c>
      <c r="M110" s="71">
        <f>SUM(M105:M109)</f>
        <v>1763.8679999999999</v>
      </c>
      <c r="N110" s="36">
        <f t="shared" si="56"/>
        <v>21.642552147239265</v>
      </c>
      <c r="O110" s="71">
        <f>SUM(O105:O109)</f>
        <v>2792.8789999999999</v>
      </c>
      <c r="P110" s="36">
        <f>O110/$H110*100</f>
        <v>34.268453987730055</v>
      </c>
      <c r="Q110" s="339">
        <f>SUM(Q105:Q109)</f>
        <v>-5357.1210000000001</v>
      </c>
      <c r="R110" s="511"/>
      <c r="S110" s="71">
        <f>SUM(S105:S109)</f>
        <v>2794.8450000000003</v>
      </c>
      <c r="T110" s="356">
        <f>SUM(T105:T109)</f>
        <v>-5355.1549999999997</v>
      </c>
      <c r="U110" s="71">
        <f>SUM(U105:U109)</f>
        <v>13558</v>
      </c>
      <c r="V110" s="159">
        <f>U110/F110</f>
        <v>1.663558282208589</v>
      </c>
      <c r="W110" s="418">
        <f>SUM(W42:W109)</f>
        <v>2271</v>
      </c>
    </row>
    <row r="111" spans="1:23" x14ac:dyDescent="0.2">
      <c r="A111" s="110" t="s">
        <v>49</v>
      </c>
      <c r="B111" s="78"/>
      <c r="C111" s="120"/>
      <c r="D111" s="78"/>
      <c r="E111" s="110" t="s">
        <v>50</v>
      </c>
      <c r="F111" s="72"/>
      <c r="G111" s="72"/>
      <c r="H111" s="76"/>
      <c r="I111" s="72"/>
      <c r="J111" s="37"/>
      <c r="K111" s="72"/>
      <c r="L111" s="37"/>
      <c r="M111" s="72"/>
      <c r="N111" s="37"/>
      <c r="O111" s="72"/>
      <c r="P111" s="37"/>
      <c r="Q111" s="37"/>
      <c r="R111" s="245"/>
      <c r="S111" s="37"/>
      <c r="T111" s="37"/>
      <c r="U111" s="72"/>
      <c r="V111" s="160"/>
    </row>
    <row r="112" spans="1:23" x14ac:dyDescent="0.2">
      <c r="A112" s="96" t="s">
        <v>51</v>
      </c>
      <c r="B112" s="32"/>
      <c r="C112" s="96" t="s">
        <v>328</v>
      </c>
      <c r="D112" s="32" t="s">
        <v>145</v>
      </c>
      <c r="E112" s="32"/>
      <c r="F112" s="31">
        <f>SUM(F113:F143)</f>
        <v>27910</v>
      </c>
      <c r="G112" s="70">
        <f>SUM(G113:G143)</f>
        <v>10518.21876</v>
      </c>
      <c r="H112" s="70">
        <f>SUM(H113:H143)</f>
        <v>38428.218760000011</v>
      </c>
      <c r="I112" s="70">
        <f>SUM(I113:I143)</f>
        <v>12146.177129999998</v>
      </c>
      <c r="J112" s="31">
        <f>I112/$H112*100</f>
        <v>31.607442452271485</v>
      </c>
      <c r="K112" s="70">
        <f>SUM(K113:K143)</f>
        <v>19229.526930000004</v>
      </c>
      <c r="L112" s="31">
        <f>K112/$H112*100</f>
        <v>50.040120386782135</v>
      </c>
      <c r="M112" s="70">
        <f>SUM(M113:M143)</f>
        <v>30855.307530000005</v>
      </c>
      <c r="N112" s="31">
        <f>M112/$H112*100</f>
        <v>80.293358697430278</v>
      </c>
      <c r="O112" s="70">
        <f>SUM(O113:O143)</f>
        <v>38449.013190000005</v>
      </c>
      <c r="P112" s="31">
        <f>O112/$H112*100</f>
        <v>100.05411239623119</v>
      </c>
      <c r="Q112" s="338">
        <f>SUM(Q113:Q143)</f>
        <v>20.794429999999849</v>
      </c>
      <c r="R112" s="246"/>
      <c r="S112" s="70">
        <f>SUM(S113:S143)</f>
        <v>38401.120206666674</v>
      </c>
      <c r="T112" s="355">
        <f>SUM(T113:T143)</f>
        <v>-0.16355333333348199</v>
      </c>
      <c r="U112" s="70">
        <f>SUM(U113:U143)</f>
        <v>28221</v>
      </c>
      <c r="V112" s="157">
        <f>U112/F112</f>
        <v>1.0111429595127195</v>
      </c>
    </row>
    <row r="113" spans="1:23" x14ac:dyDescent="0.2">
      <c r="A113" s="109"/>
      <c r="B113" s="29">
        <v>4112</v>
      </c>
      <c r="C113" s="29"/>
      <c r="D113" s="29"/>
      <c r="E113" s="29" t="s">
        <v>188</v>
      </c>
      <c r="F113" s="34">
        <v>18081.3</v>
      </c>
      <c r="G113" s="69"/>
      <c r="H113" s="69">
        <f t="shared" ref="H113:H143" si="59">SUM(F113:G113)</f>
        <v>18081.3</v>
      </c>
      <c r="I113" s="69">
        <v>4520.3249999999998</v>
      </c>
      <c r="J113" s="34">
        <f>I113/$H113*100</f>
        <v>25</v>
      </c>
      <c r="K113" s="69">
        <v>9040.65</v>
      </c>
      <c r="L113" s="34">
        <f>K113/$H113*100</f>
        <v>50</v>
      </c>
      <c r="M113" s="69">
        <v>13560.975</v>
      </c>
      <c r="N113" s="34">
        <f>M113/$H113*100</f>
        <v>75</v>
      </c>
      <c r="O113" s="69">
        <v>18081.3</v>
      </c>
      <c r="P113" s="34">
        <f>O113/$H113*100</f>
        <v>100</v>
      </c>
      <c r="Q113" s="258">
        <f t="shared" ref="Q113:Q152" si="60">O113-H113</f>
        <v>0</v>
      </c>
      <c r="R113" s="127"/>
      <c r="S113" s="262">
        <f>M113/3*4</f>
        <v>18081.3</v>
      </c>
      <c r="T113" s="258">
        <f>S113-H113</f>
        <v>0</v>
      </c>
      <c r="U113" s="69">
        <v>20372.900000000001</v>
      </c>
      <c r="V113" s="458">
        <f>U113/F113</f>
        <v>1.1267386747634298</v>
      </c>
      <c r="W113" s="66">
        <f>(F113-145)*1.1+145</f>
        <v>19874.93</v>
      </c>
    </row>
    <row r="114" spans="1:23" x14ac:dyDescent="0.2">
      <c r="A114" s="109"/>
      <c r="B114" s="29">
        <v>4111</v>
      </c>
      <c r="C114" s="29">
        <v>110</v>
      </c>
      <c r="D114" s="29"/>
      <c r="E114" s="211" t="s">
        <v>442</v>
      </c>
      <c r="F114" s="69">
        <v>200</v>
      </c>
      <c r="G114" s="69">
        <v>240</v>
      </c>
      <c r="H114" s="69">
        <f t="shared" si="59"/>
        <v>440</v>
      </c>
      <c r="I114" s="69">
        <v>200</v>
      </c>
      <c r="J114" s="34">
        <f t="shared" ref="J114:J136" si="61">I114/$H114*100</f>
        <v>45.454545454545453</v>
      </c>
      <c r="K114" s="69">
        <v>200</v>
      </c>
      <c r="L114" s="34">
        <f t="shared" ref="L114:L152" si="62">K114/$H114*100</f>
        <v>45.454545454545453</v>
      </c>
      <c r="M114" s="69">
        <f>200+240</f>
        <v>440</v>
      </c>
      <c r="N114" s="34">
        <f t="shared" ref="N114:N152" si="63">M114/$H114*100</f>
        <v>100</v>
      </c>
      <c r="O114" s="69">
        <f>200+240</f>
        <v>440</v>
      </c>
      <c r="P114" s="34">
        <f t="shared" ref="P114:P142" si="64">O114/$H114*100</f>
        <v>100</v>
      </c>
      <c r="Q114" s="258">
        <f t="shared" si="60"/>
        <v>0</v>
      </c>
      <c r="R114" s="127"/>
      <c r="S114" s="259">
        <f>H114</f>
        <v>440</v>
      </c>
      <c r="T114" s="258">
        <f t="shared" ref="T114:T140" si="65">S114-H114</f>
        <v>0</v>
      </c>
      <c r="U114" s="69">
        <v>0</v>
      </c>
      <c r="V114" s="458">
        <f t="shared" ref="V114:V121" si="66">U114/F114</f>
        <v>0</v>
      </c>
      <c r="W114" s="66"/>
    </row>
    <row r="115" spans="1:23" x14ac:dyDescent="0.2">
      <c r="A115" s="109"/>
      <c r="B115" s="29">
        <v>4113</v>
      </c>
      <c r="C115" s="29">
        <v>251</v>
      </c>
      <c r="D115" s="256"/>
      <c r="E115" s="211" t="s">
        <v>380</v>
      </c>
      <c r="F115" s="69">
        <v>250</v>
      </c>
      <c r="G115" s="69"/>
      <c r="H115" s="69">
        <f t="shared" si="59"/>
        <v>250</v>
      </c>
      <c r="I115" s="69">
        <v>0</v>
      </c>
      <c r="J115" s="34">
        <f t="shared" si="61"/>
        <v>0</v>
      </c>
      <c r="K115" s="69">
        <v>0</v>
      </c>
      <c r="L115" s="34">
        <f t="shared" si="62"/>
        <v>0</v>
      </c>
      <c r="M115" s="69">
        <v>0</v>
      </c>
      <c r="N115" s="34">
        <f t="shared" si="63"/>
        <v>0</v>
      </c>
      <c r="O115" s="69">
        <v>250</v>
      </c>
      <c r="P115" s="34">
        <f t="shared" si="64"/>
        <v>100</v>
      </c>
      <c r="Q115" s="258">
        <f t="shared" si="60"/>
        <v>0</v>
      </c>
      <c r="R115" s="127"/>
      <c r="S115" s="259">
        <f>H115</f>
        <v>250</v>
      </c>
      <c r="T115" s="258">
        <f t="shared" si="65"/>
        <v>0</v>
      </c>
      <c r="U115" s="69">
        <v>0</v>
      </c>
      <c r="V115" s="458"/>
    </row>
    <row r="116" spans="1:23" x14ac:dyDescent="0.2">
      <c r="A116" s="109"/>
      <c r="B116" s="29">
        <v>4116</v>
      </c>
      <c r="C116" s="29">
        <v>314</v>
      </c>
      <c r="D116" s="256" t="s">
        <v>296</v>
      </c>
      <c r="E116" s="423" t="s">
        <v>362</v>
      </c>
      <c r="F116" s="69">
        <v>2530</v>
      </c>
      <c r="G116" s="69">
        <v>687.5</v>
      </c>
      <c r="H116" s="69">
        <f t="shared" si="59"/>
        <v>3217.5</v>
      </c>
      <c r="I116" s="69">
        <v>0</v>
      </c>
      <c r="J116" s="34">
        <f t="shared" si="61"/>
        <v>0</v>
      </c>
      <c r="K116" s="69">
        <v>1531.5</v>
      </c>
      <c r="L116" s="34">
        <f t="shared" si="62"/>
        <v>47.599067599067602</v>
      </c>
      <c r="M116" s="69">
        <v>3217.5</v>
      </c>
      <c r="N116" s="34">
        <f t="shared" si="63"/>
        <v>100</v>
      </c>
      <c r="O116" s="69">
        <v>3217.5</v>
      </c>
      <c r="P116" s="34">
        <f t="shared" si="64"/>
        <v>100</v>
      </c>
      <c r="Q116" s="258">
        <f t="shared" si="60"/>
        <v>0</v>
      </c>
      <c r="R116" s="452"/>
      <c r="S116" s="259">
        <f>H116</f>
        <v>3217.5</v>
      </c>
      <c r="T116" s="258">
        <f t="shared" si="65"/>
        <v>0</v>
      </c>
      <c r="U116" s="69">
        <v>2950</v>
      </c>
      <c r="V116" s="458">
        <f t="shared" si="66"/>
        <v>1.1660079051383399</v>
      </c>
      <c r="W116" s="66"/>
    </row>
    <row r="117" spans="1:23" x14ac:dyDescent="0.2">
      <c r="A117" s="109"/>
      <c r="B117" s="29">
        <v>4116</v>
      </c>
      <c r="C117" s="29"/>
      <c r="D117" s="256" t="s">
        <v>248</v>
      </c>
      <c r="E117" s="211" t="s">
        <v>246</v>
      </c>
      <c r="F117" s="69">
        <f>192+180+540</f>
        <v>912</v>
      </c>
      <c r="G117" s="69">
        <v>-410</v>
      </c>
      <c r="H117" s="69">
        <f t="shared" si="59"/>
        <v>502</v>
      </c>
      <c r="I117" s="69">
        <f>45+90+49</f>
        <v>184</v>
      </c>
      <c r="J117" s="34">
        <f t="shared" si="61"/>
        <v>36.65338645418327</v>
      </c>
      <c r="K117" s="69">
        <f>90+195+82</f>
        <v>367</v>
      </c>
      <c r="L117" s="34">
        <f t="shared" si="62"/>
        <v>73.107569721115539</v>
      </c>
      <c r="M117" s="69">
        <f>90+241+82</f>
        <v>413</v>
      </c>
      <c r="N117" s="34">
        <f t="shared" si="63"/>
        <v>82.270916334661365</v>
      </c>
      <c r="O117" s="69">
        <f>90+360+82</f>
        <v>532</v>
      </c>
      <c r="P117" s="34">
        <f t="shared" si="64"/>
        <v>105.97609561752988</v>
      </c>
      <c r="Q117" s="258">
        <f t="shared" si="60"/>
        <v>30</v>
      </c>
      <c r="R117" s="127"/>
      <c r="S117" s="259">
        <f>M117+90</f>
        <v>503</v>
      </c>
      <c r="T117" s="258">
        <f t="shared" si="65"/>
        <v>1</v>
      </c>
      <c r="U117" s="69">
        <v>0</v>
      </c>
      <c r="V117" s="458">
        <f t="shared" si="66"/>
        <v>0</v>
      </c>
    </row>
    <row r="118" spans="1:23" x14ac:dyDescent="0.2">
      <c r="A118" s="109"/>
      <c r="B118" s="29">
        <v>4116</v>
      </c>
      <c r="C118" s="29">
        <v>314</v>
      </c>
      <c r="D118" s="256" t="s">
        <v>454</v>
      </c>
      <c r="E118" s="423" t="s">
        <v>313</v>
      </c>
      <c r="F118" s="69">
        <v>430</v>
      </c>
      <c r="G118" s="69">
        <v>88</v>
      </c>
      <c r="H118" s="69">
        <f t="shared" si="59"/>
        <v>518</v>
      </c>
      <c r="I118" s="69">
        <v>0</v>
      </c>
      <c r="J118" s="34">
        <f t="shared" si="61"/>
        <v>0</v>
      </c>
      <c r="K118" s="69">
        <v>0</v>
      </c>
      <c r="L118" s="34">
        <f t="shared" si="62"/>
        <v>0</v>
      </c>
      <c r="M118" s="69">
        <v>0</v>
      </c>
      <c r="N118" s="34">
        <f t="shared" si="63"/>
        <v>0</v>
      </c>
      <c r="O118" s="69">
        <v>518</v>
      </c>
      <c r="P118" s="34">
        <f t="shared" si="64"/>
        <v>100</v>
      </c>
      <c r="Q118" s="258">
        <f t="shared" si="60"/>
        <v>0</v>
      </c>
      <c r="R118" s="127"/>
      <c r="S118" s="259">
        <f>H118</f>
        <v>518</v>
      </c>
      <c r="T118" s="258">
        <f t="shared" si="65"/>
        <v>0</v>
      </c>
      <c r="U118" s="69">
        <v>518</v>
      </c>
      <c r="V118" s="458"/>
      <c r="W118" s="450"/>
    </row>
    <row r="119" spans="1:23" x14ac:dyDescent="0.2">
      <c r="A119" s="109"/>
      <c r="B119" s="29">
        <v>4116</v>
      </c>
      <c r="C119" s="29">
        <v>3005</v>
      </c>
      <c r="D119" s="29">
        <v>3005</v>
      </c>
      <c r="E119" s="490" t="s">
        <v>348</v>
      </c>
      <c r="F119" s="69">
        <v>860</v>
      </c>
      <c r="G119" s="69">
        <v>221.9</v>
      </c>
      <c r="H119" s="69">
        <f t="shared" si="59"/>
        <v>1081.9000000000001</v>
      </c>
      <c r="I119" s="69">
        <v>754.80065999999999</v>
      </c>
      <c r="J119" s="34">
        <f t="shared" si="61"/>
        <v>69.766213143543752</v>
      </c>
      <c r="K119" s="69">
        <v>754.80065999999999</v>
      </c>
      <c r="L119" s="34">
        <f t="shared" si="62"/>
        <v>69.766213143543752</v>
      </c>
      <c r="M119" s="69">
        <v>1081.1897799999999</v>
      </c>
      <c r="N119" s="34">
        <f t="shared" si="63"/>
        <v>99.934354376559739</v>
      </c>
      <c r="O119" s="69">
        <v>1081.1897799999999</v>
      </c>
      <c r="P119" s="34">
        <f t="shared" si="64"/>
        <v>99.934354376559739</v>
      </c>
      <c r="Q119" s="258">
        <f t="shared" si="60"/>
        <v>-0.71022000000016305</v>
      </c>
      <c r="R119" s="127"/>
      <c r="S119" s="259">
        <f>M119</f>
        <v>1081.1897799999999</v>
      </c>
      <c r="T119" s="258">
        <f t="shared" si="65"/>
        <v>-0.71022000000016305</v>
      </c>
      <c r="U119" s="69">
        <v>105</v>
      </c>
      <c r="V119" s="458">
        <f t="shared" si="66"/>
        <v>0.12209302325581395</v>
      </c>
    </row>
    <row r="120" spans="1:23" x14ac:dyDescent="0.2">
      <c r="A120" s="109"/>
      <c r="B120" s="29">
        <v>4116</v>
      </c>
      <c r="C120" s="29">
        <v>250</v>
      </c>
      <c r="D120" s="29"/>
      <c r="E120" s="211" t="s">
        <v>390</v>
      </c>
      <c r="F120" s="69">
        <v>1342</v>
      </c>
      <c r="G120" s="69">
        <f>-18.06133-771.42436</f>
        <v>-789.48568999999998</v>
      </c>
      <c r="H120" s="69">
        <f t="shared" si="59"/>
        <v>552.51431000000002</v>
      </c>
      <c r="I120" s="69">
        <v>0</v>
      </c>
      <c r="J120" s="34">
        <f t="shared" si="61"/>
        <v>0</v>
      </c>
      <c r="K120" s="69">
        <v>0</v>
      </c>
      <c r="L120" s="34">
        <f t="shared" si="62"/>
        <v>0</v>
      </c>
      <c r="M120" s="69">
        <v>0</v>
      </c>
      <c r="N120" s="34">
        <f t="shared" si="63"/>
        <v>0</v>
      </c>
      <c r="O120" s="69">
        <v>552.51431000000002</v>
      </c>
      <c r="P120" s="34">
        <f t="shared" si="64"/>
        <v>100</v>
      </c>
      <c r="Q120" s="258">
        <f t="shared" si="60"/>
        <v>0</v>
      </c>
      <c r="R120" s="127"/>
      <c r="S120" s="259">
        <f>O120</f>
        <v>552.51431000000002</v>
      </c>
      <c r="T120" s="258">
        <f t="shared" si="65"/>
        <v>0</v>
      </c>
      <c r="U120" s="69">
        <v>0</v>
      </c>
      <c r="V120" s="458"/>
    </row>
    <row r="121" spans="1:23" x14ac:dyDescent="0.2">
      <c r="A121" s="109"/>
      <c r="B121" s="29">
        <v>4116</v>
      </c>
      <c r="C121" s="29">
        <v>6206</v>
      </c>
      <c r="D121" s="29">
        <v>6206</v>
      </c>
      <c r="E121" s="490" t="s">
        <v>349</v>
      </c>
      <c r="F121" s="69">
        <v>879</v>
      </c>
      <c r="G121" s="69">
        <v>50.230870000000003</v>
      </c>
      <c r="H121" s="69">
        <f t="shared" si="59"/>
        <v>929.23086999999998</v>
      </c>
      <c r="I121" s="69">
        <v>355.18243000000001</v>
      </c>
      <c r="J121" s="34">
        <f t="shared" si="61"/>
        <v>38.22327060658241</v>
      </c>
      <c r="K121" s="69">
        <v>355.18243000000001</v>
      </c>
      <c r="L121" s="34">
        <f t="shared" si="62"/>
        <v>38.22327060658241</v>
      </c>
      <c r="M121" s="69">
        <v>929.23086999999998</v>
      </c>
      <c r="N121" s="34">
        <f t="shared" si="63"/>
        <v>100</v>
      </c>
      <c r="O121" s="69">
        <v>929.23086999999998</v>
      </c>
      <c r="P121" s="34">
        <f t="shared" si="64"/>
        <v>100</v>
      </c>
      <c r="Q121" s="258">
        <f t="shared" si="60"/>
        <v>0</v>
      </c>
      <c r="R121" s="127"/>
      <c r="S121" s="259">
        <f>H121</f>
        <v>929.23086999999998</v>
      </c>
      <c r="T121" s="258">
        <f t="shared" si="65"/>
        <v>0</v>
      </c>
      <c r="U121" s="69">
        <v>633</v>
      </c>
      <c r="V121" s="458">
        <f t="shared" si="66"/>
        <v>0.72013651877133111</v>
      </c>
    </row>
    <row r="122" spans="1:23" x14ac:dyDescent="0.2">
      <c r="A122" s="109"/>
      <c r="B122" s="29">
        <v>4116</v>
      </c>
      <c r="C122" s="29">
        <v>103.102</v>
      </c>
      <c r="D122" s="29"/>
      <c r="E122" s="211" t="s">
        <v>363</v>
      </c>
      <c r="F122" s="69"/>
      <c r="G122" s="69">
        <v>975</v>
      </c>
      <c r="H122" s="69">
        <f t="shared" si="59"/>
        <v>975</v>
      </c>
      <c r="I122" s="69">
        <v>0</v>
      </c>
      <c r="J122" s="34"/>
      <c r="K122" s="69"/>
      <c r="L122" s="34"/>
      <c r="M122" s="69">
        <v>0</v>
      </c>
      <c r="N122" s="34">
        <f t="shared" si="63"/>
        <v>0</v>
      </c>
      <c r="O122" s="69">
        <v>975</v>
      </c>
      <c r="P122" s="34">
        <f t="shared" si="64"/>
        <v>100</v>
      </c>
      <c r="Q122" s="258">
        <f t="shared" si="60"/>
        <v>0</v>
      </c>
      <c r="R122" s="127"/>
      <c r="S122" s="259">
        <f>H122</f>
        <v>975</v>
      </c>
      <c r="T122" s="258">
        <f t="shared" si="65"/>
        <v>0</v>
      </c>
      <c r="U122" s="69">
        <v>700</v>
      </c>
      <c r="V122" s="458"/>
    </row>
    <row r="123" spans="1:23" x14ac:dyDescent="0.2">
      <c r="A123" s="109"/>
      <c r="B123" s="29">
        <v>4116</v>
      </c>
      <c r="C123" s="29">
        <v>312</v>
      </c>
      <c r="D123" s="29"/>
      <c r="E123" s="211" t="s">
        <v>423</v>
      </c>
      <c r="F123" s="69"/>
      <c r="G123" s="69">
        <f>30.53604+22.26531</f>
        <v>52.801349999999999</v>
      </c>
      <c r="H123" s="69">
        <f t="shared" si="59"/>
        <v>52.801349999999999</v>
      </c>
      <c r="I123" s="69">
        <v>30.53604</v>
      </c>
      <c r="J123" s="34">
        <f t="shared" si="61"/>
        <v>57.831930433596867</v>
      </c>
      <c r="K123" s="69">
        <v>30.53604</v>
      </c>
      <c r="L123" s="34">
        <f t="shared" si="62"/>
        <v>57.831930433596867</v>
      </c>
      <c r="M123" s="69">
        <v>52.801349999999999</v>
      </c>
      <c r="N123" s="34">
        <f t="shared" si="63"/>
        <v>100</v>
      </c>
      <c r="O123" s="69">
        <v>52.801000000000002</v>
      </c>
      <c r="P123" s="34">
        <f t="shared" si="64"/>
        <v>99.9993371381603</v>
      </c>
      <c r="Q123" s="258">
        <f t="shared" si="60"/>
        <v>-3.4999999999740794E-4</v>
      </c>
      <c r="R123" s="127"/>
      <c r="S123" s="259">
        <f t="shared" ref="S123:S128" si="67">H123</f>
        <v>52.801349999999999</v>
      </c>
      <c r="T123" s="258">
        <f t="shared" si="65"/>
        <v>0</v>
      </c>
      <c r="U123" s="69">
        <v>0</v>
      </c>
      <c r="V123" s="458"/>
    </row>
    <row r="124" spans="1:23" x14ac:dyDescent="0.2">
      <c r="A124" s="109"/>
      <c r="B124" s="29">
        <v>4116</v>
      </c>
      <c r="C124" s="29">
        <v>223</v>
      </c>
      <c r="D124" s="29"/>
      <c r="E124" s="211" t="s">
        <v>431</v>
      </c>
      <c r="F124" s="69"/>
      <c r="G124" s="69">
        <f>150+42.037</f>
        <v>192.03700000000001</v>
      </c>
      <c r="H124" s="69">
        <f t="shared" si="59"/>
        <v>192.03700000000001</v>
      </c>
      <c r="I124" s="69"/>
      <c r="J124" s="34"/>
      <c r="K124" s="69">
        <v>150</v>
      </c>
      <c r="L124" s="34">
        <f t="shared" si="62"/>
        <v>78.109947562188538</v>
      </c>
      <c r="M124" s="69">
        <v>150</v>
      </c>
      <c r="N124" s="34">
        <f t="shared" si="63"/>
        <v>78.109947562188538</v>
      </c>
      <c r="O124" s="69">
        <v>192.03700000000001</v>
      </c>
      <c r="P124" s="34">
        <f t="shared" si="64"/>
        <v>100</v>
      </c>
      <c r="Q124" s="258">
        <f t="shared" si="60"/>
        <v>0</v>
      </c>
      <c r="R124" s="127"/>
      <c r="S124" s="259">
        <f t="shared" si="67"/>
        <v>192.03700000000001</v>
      </c>
      <c r="T124" s="258">
        <f t="shared" si="65"/>
        <v>0</v>
      </c>
      <c r="U124" s="69">
        <v>0</v>
      </c>
      <c r="V124" s="458"/>
    </row>
    <row r="125" spans="1:23" x14ac:dyDescent="0.2">
      <c r="A125" s="109"/>
      <c r="B125" s="29">
        <v>4116</v>
      </c>
      <c r="C125" s="29">
        <v>304</v>
      </c>
      <c r="D125" s="29"/>
      <c r="E125" s="211" t="s">
        <v>436</v>
      </c>
      <c r="F125" s="69"/>
      <c r="G125" s="69">
        <v>338.34840000000003</v>
      </c>
      <c r="H125" s="69">
        <f t="shared" si="59"/>
        <v>338.34840000000003</v>
      </c>
      <c r="I125" s="69"/>
      <c r="J125" s="34"/>
      <c r="K125" s="69">
        <v>338.34840000000003</v>
      </c>
      <c r="L125" s="34">
        <f t="shared" si="62"/>
        <v>100</v>
      </c>
      <c r="M125" s="69">
        <v>338.34840000000003</v>
      </c>
      <c r="N125" s="34">
        <f t="shared" si="63"/>
        <v>100</v>
      </c>
      <c r="O125" s="69">
        <v>338.34840000000003</v>
      </c>
      <c r="P125" s="34">
        <f t="shared" si="64"/>
        <v>100</v>
      </c>
      <c r="Q125" s="258">
        <f t="shared" si="60"/>
        <v>0</v>
      </c>
      <c r="R125" s="127"/>
      <c r="S125" s="259">
        <f t="shared" si="67"/>
        <v>338.34840000000003</v>
      </c>
      <c r="T125" s="258">
        <f t="shared" si="65"/>
        <v>0</v>
      </c>
      <c r="U125" s="69">
        <v>0</v>
      </c>
      <c r="V125" s="458"/>
    </row>
    <row r="126" spans="1:23" x14ac:dyDescent="0.2">
      <c r="A126" s="109"/>
      <c r="B126" s="29">
        <v>4116</v>
      </c>
      <c r="C126" s="29">
        <v>301</v>
      </c>
      <c r="D126" s="29"/>
      <c r="E126" s="211" t="s">
        <v>434</v>
      </c>
      <c r="F126" s="69"/>
      <c r="G126" s="69">
        <v>260.96640000000002</v>
      </c>
      <c r="H126" s="69">
        <f t="shared" si="59"/>
        <v>260.96640000000002</v>
      </c>
      <c r="I126" s="69"/>
      <c r="J126" s="34"/>
      <c r="K126" s="69">
        <v>260.96640000000002</v>
      </c>
      <c r="L126" s="34">
        <f t="shared" si="62"/>
        <v>100</v>
      </c>
      <c r="M126" s="69">
        <v>260.96640000000002</v>
      </c>
      <c r="N126" s="34">
        <f t="shared" si="63"/>
        <v>100</v>
      </c>
      <c r="O126" s="69">
        <v>260.96640000000002</v>
      </c>
      <c r="P126" s="34">
        <f t="shared" si="64"/>
        <v>100</v>
      </c>
      <c r="Q126" s="258">
        <f t="shared" si="60"/>
        <v>0</v>
      </c>
      <c r="R126" s="127"/>
      <c r="S126" s="259">
        <f t="shared" si="67"/>
        <v>260.96640000000002</v>
      </c>
      <c r="T126" s="258">
        <f t="shared" si="65"/>
        <v>0</v>
      </c>
      <c r="U126" s="69">
        <v>0</v>
      </c>
      <c r="V126" s="458"/>
    </row>
    <row r="127" spans="1:23" x14ac:dyDescent="0.2">
      <c r="A127" s="109"/>
      <c r="B127" s="29">
        <v>4116</v>
      </c>
      <c r="C127" s="29">
        <v>303</v>
      </c>
      <c r="D127" s="29"/>
      <c r="E127" s="211" t="s">
        <v>448</v>
      </c>
      <c r="F127" s="69"/>
      <c r="G127" s="69">
        <v>385.3064</v>
      </c>
      <c r="H127" s="69">
        <f t="shared" si="59"/>
        <v>385.3064</v>
      </c>
      <c r="I127" s="69"/>
      <c r="J127" s="34"/>
      <c r="K127" s="69"/>
      <c r="L127" s="34"/>
      <c r="M127" s="69">
        <v>0</v>
      </c>
      <c r="N127" s="34">
        <f t="shared" si="63"/>
        <v>0</v>
      </c>
      <c r="O127" s="69">
        <v>385.3064</v>
      </c>
      <c r="P127" s="34">
        <f t="shared" si="64"/>
        <v>100</v>
      </c>
      <c r="Q127" s="258">
        <f t="shared" si="60"/>
        <v>0</v>
      </c>
      <c r="R127" s="127"/>
      <c r="S127" s="259">
        <f t="shared" si="67"/>
        <v>385.3064</v>
      </c>
      <c r="T127" s="258">
        <f t="shared" si="65"/>
        <v>0</v>
      </c>
      <c r="U127" s="69">
        <v>0</v>
      </c>
      <c r="V127" s="458"/>
    </row>
    <row r="128" spans="1:23" x14ac:dyDescent="0.2">
      <c r="A128" s="109"/>
      <c r="B128" s="29">
        <v>4116</v>
      </c>
      <c r="C128" s="29">
        <v>314</v>
      </c>
      <c r="D128" s="29">
        <v>15002</v>
      </c>
      <c r="E128" s="211" t="s">
        <v>438</v>
      </c>
      <c r="F128" s="69"/>
      <c r="G128" s="69">
        <f>24.45+40.05</f>
        <v>64.5</v>
      </c>
      <c r="H128" s="69">
        <f t="shared" si="59"/>
        <v>64.5</v>
      </c>
      <c r="I128" s="69"/>
      <c r="J128" s="34"/>
      <c r="K128" s="69"/>
      <c r="L128" s="34"/>
      <c r="M128" s="69">
        <v>24.45</v>
      </c>
      <c r="N128" s="34">
        <f t="shared" si="63"/>
        <v>37.906976744186046</v>
      </c>
      <c r="O128" s="69">
        <v>64.5</v>
      </c>
      <c r="P128" s="34">
        <f t="shared" si="64"/>
        <v>100</v>
      </c>
      <c r="Q128" s="258">
        <f t="shared" si="60"/>
        <v>0</v>
      </c>
      <c r="R128" s="127"/>
      <c r="S128" s="259">
        <f t="shared" si="67"/>
        <v>64.5</v>
      </c>
      <c r="T128" s="258">
        <f t="shared" si="65"/>
        <v>0</v>
      </c>
      <c r="U128" s="69">
        <v>0</v>
      </c>
      <c r="V128" s="458"/>
    </row>
    <row r="129" spans="1:23" x14ac:dyDescent="0.2">
      <c r="A129" s="109"/>
      <c r="B129" s="29">
        <v>4116</v>
      </c>
      <c r="C129" s="29">
        <v>201</v>
      </c>
      <c r="D129" s="29"/>
      <c r="E129" s="211" t="s">
        <v>480</v>
      </c>
      <c r="F129" s="69"/>
      <c r="G129" s="69">
        <v>26.934999999999999</v>
      </c>
      <c r="H129" s="69">
        <f t="shared" si="59"/>
        <v>26.934999999999999</v>
      </c>
      <c r="I129" s="69"/>
      <c r="J129" s="34"/>
      <c r="K129" s="69"/>
      <c r="L129" s="34"/>
      <c r="M129" s="69"/>
      <c r="N129" s="34"/>
      <c r="O129" s="69">
        <v>26.934999999999999</v>
      </c>
      <c r="P129" s="34">
        <f t="shared" si="64"/>
        <v>100</v>
      </c>
      <c r="Q129" s="258">
        <f t="shared" si="60"/>
        <v>0</v>
      </c>
      <c r="R129" s="127"/>
      <c r="S129" s="259"/>
      <c r="T129" s="258"/>
      <c r="U129" s="69"/>
      <c r="V129" s="458"/>
    </row>
    <row r="130" spans="1:23" x14ac:dyDescent="0.2">
      <c r="A130" s="109"/>
      <c r="B130" s="29">
        <v>4121</v>
      </c>
      <c r="C130" s="29"/>
      <c r="D130" s="29" t="s">
        <v>288</v>
      </c>
      <c r="E130" s="211" t="s">
        <v>268</v>
      </c>
      <c r="F130" s="34">
        <f>130+50+0.7</f>
        <v>180.7</v>
      </c>
      <c r="G130" s="69"/>
      <c r="H130" s="69">
        <f t="shared" si="59"/>
        <v>180.7</v>
      </c>
      <c r="I130" s="69">
        <f>105.185-I131</f>
        <v>70.5</v>
      </c>
      <c r="J130" s="34">
        <f t="shared" si="61"/>
        <v>39.01494189263974</v>
      </c>
      <c r="K130" s="69">
        <f>140.78-K131</f>
        <v>70.5</v>
      </c>
      <c r="L130" s="34">
        <f t="shared" si="62"/>
        <v>39.01494189263974</v>
      </c>
      <c r="M130" s="69">
        <f>10.5+10.5+10.5+9+56.845+7.5+12+12+45.5+10.5+64.84-M131</f>
        <v>150.5</v>
      </c>
      <c r="N130" s="34">
        <f t="shared" si="63"/>
        <v>83.287216380741569</v>
      </c>
      <c r="O130" s="69">
        <f>10.5+10.5+10.5+9+76.74+7.5+9+3+32+25.5+10.5+70.2-O131</f>
        <v>150.5</v>
      </c>
      <c r="P130" s="34">
        <f t="shared" si="64"/>
        <v>83.287216380741569</v>
      </c>
      <c r="Q130" s="258">
        <f t="shared" si="60"/>
        <v>-30.199999999999989</v>
      </c>
      <c r="R130" s="127"/>
      <c r="S130" s="416">
        <v>151</v>
      </c>
      <c r="T130" s="258">
        <f t="shared" si="65"/>
        <v>-29.699999999999989</v>
      </c>
      <c r="U130" s="69">
        <v>175.1</v>
      </c>
      <c r="V130" s="158">
        <f>U130/F130</f>
        <v>0.96900940785832879</v>
      </c>
    </row>
    <row r="131" spans="1:23" x14ac:dyDescent="0.2">
      <c r="A131" s="109"/>
      <c r="B131" s="29">
        <v>4121</v>
      </c>
      <c r="C131" s="29"/>
      <c r="D131" s="29">
        <v>321</v>
      </c>
      <c r="E131" s="211" t="s">
        <v>192</v>
      </c>
      <c r="F131" s="69">
        <f>65+60</f>
        <v>125</v>
      </c>
      <c r="G131" s="69"/>
      <c r="H131" s="69">
        <f t="shared" si="59"/>
        <v>125</v>
      </c>
      <c r="I131" s="69">
        <f>11.245+23.44</f>
        <v>34.685000000000002</v>
      </c>
      <c r="J131" s="34">
        <f t="shared" si="61"/>
        <v>27.748000000000001</v>
      </c>
      <c r="K131" s="69">
        <f>27.68+42.6</f>
        <v>70.28</v>
      </c>
      <c r="L131" s="34">
        <f t="shared" si="62"/>
        <v>56.223999999999997</v>
      </c>
      <c r="M131" s="69">
        <v>99.185000000000002</v>
      </c>
      <c r="N131" s="34">
        <f t="shared" si="63"/>
        <v>79.347999999999999</v>
      </c>
      <c r="O131" s="69">
        <f>61.74+62.7</f>
        <v>124.44</v>
      </c>
      <c r="P131" s="34">
        <f t="shared" si="64"/>
        <v>99.551999999999992</v>
      </c>
      <c r="Q131" s="258">
        <f t="shared" si="60"/>
        <v>-0.56000000000000227</v>
      </c>
      <c r="R131" s="127" t="s">
        <v>0</v>
      </c>
      <c r="S131" s="262">
        <f>M131/3*4</f>
        <v>132.24666666666667</v>
      </c>
      <c r="T131" s="258">
        <f t="shared" si="65"/>
        <v>7.2466666666666697</v>
      </c>
      <c r="U131" s="69">
        <f>65+60</f>
        <v>125</v>
      </c>
      <c r="V131" s="158">
        <f>U131/F131</f>
        <v>1</v>
      </c>
    </row>
    <row r="132" spans="1:23" x14ac:dyDescent="0.2">
      <c r="A132" s="109"/>
      <c r="B132" s="29">
        <v>4122</v>
      </c>
      <c r="C132" s="29">
        <v>249</v>
      </c>
      <c r="D132" s="29"/>
      <c r="E132" s="211" t="s">
        <v>422</v>
      </c>
      <c r="F132" s="69"/>
      <c r="G132" s="69">
        <f>1.507+47.1177+5.2353</f>
        <v>53.86</v>
      </c>
      <c r="H132" s="69">
        <f t="shared" si="59"/>
        <v>53.86</v>
      </c>
      <c r="I132" s="69">
        <v>1.5069999999999999</v>
      </c>
      <c r="J132" s="34">
        <f t="shared" si="61"/>
        <v>2.7979948013367988</v>
      </c>
      <c r="K132" s="69">
        <v>1.5069999999999999</v>
      </c>
      <c r="L132" s="34">
        <f t="shared" si="62"/>
        <v>2.7979948013367988</v>
      </c>
      <c r="M132" s="69">
        <v>48.624699999999997</v>
      </c>
      <c r="N132" s="34">
        <f t="shared" si="63"/>
        <v>90.279799480133676</v>
      </c>
      <c r="O132" s="69">
        <v>53.86</v>
      </c>
      <c r="P132" s="34">
        <f t="shared" si="64"/>
        <v>100</v>
      </c>
      <c r="Q132" s="258">
        <f t="shared" si="60"/>
        <v>0</v>
      </c>
      <c r="R132" s="127"/>
      <c r="S132" s="416">
        <f>H132</f>
        <v>53.86</v>
      </c>
      <c r="T132" s="258">
        <f t="shared" si="65"/>
        <v>0</v>
      </c>
      <c r="U132" s="69">
        <v>0</v>
      </c>
      <c r="V132" s="158"/>
    </row>
    <row r="133" spans="1:23" x14ac:dyDescent="0.2">
      <c r="A133" s="109"/>
      <c r="B133" s="29">
        <v>4122</v>
      </c>
      <c r="C133" s="29">
        <v>223</v>
      </c>
      <c r="D133" s="29"/>
      <c r="E133" s="211" t="s">
        <v>443</v>
      </c>
      <c r="F133" s="69"/>
      <c r="G133" s="69">
        <v>38.335230000000003</v>
      </c>
      <c r="H133" s="69">
        <f t="shared" si="59"/>
        <v>38.335230000000003</v>
      </c>
      <c r="I133" s="69"/>
      <c r="J133" s="34"/>
      <c r="K133" s="69"/>
      <c r="L133" s="34"/>
      <c r="M133" s="69">
        <v>38.335230000000003</v>
      </c>
      <c r="N133" s="34">
        <f>M133/$H133*100</f>
        <v>100</v>
      </c>
      <c r="O133" s="69">
        <v>38.335230000000003</v>
      </c>
      <c r="P133" s="34">
        <f t="shared" si="64"/>
        <v>100</v>
      </c>
      <c r="Q133" s="258">
        <f t="shared" si="60"/>
        <v>0</v>
      </c>
      <c r="R133" s="127"/>
      <c r="S133" s="416">
        <f>H133</f>
        <v>38.335230000000003</v>
      </c>
      <c r="T133" s="258">
        <f t="shared" si="65"/>
        <v>0</v>
      </c>
      <c r="U133" s="69">
        <v>0</v>
      </c>
      <c r="V133" s="158"/>
    </row>
    <row r="134" spans="1:23" x14ac:dyDescent="0.2">
      <c r="A134" s="109"/>
      <c r="B134" s="29">
        <v>4122</v>
      </c>
      <c r="C134" s="29">
        <v>201</v>
      </c>
      <c r="D134" s="29"/>
      <c r="E134" s="211" t="s">
        <v>430</v>
      </c>
      <c r="F134" s="69"/>
      <c r="G134" s="69">
        <v>14.215</v>
      </c>
      <c r="H134" s="69">
        <f t="shared" si="59"/>
        <v>14.215</v>
      </c>
      <c r="I134" s="69"/>
      <c r="J134" s="34"/>
      <c r="K134" s="69">
        <v>14.215</v>
      </c>
      <c r="L134" s="34">
        <f t="shared" si="62"/>
        <v>100</v>
      </c>
      <c r="M134" s="69">
        <v>14.215</v>
      </c>
      <c r="N134" s="34">
        <f t="shared" si="63"/>
        <v>100</v>
      </c>
      <c r="O134" s="69">
        <v>14.215</v>
      </c>
      <c r="P134" s="34">
        <f t="shared" si="64"/>
        <v>100</v>
      </c>
      <c r="Q134" s="258">
        <f t="shared" si="60"/>
        <v>0</v>
      </c>
      <c r="R134" s="127"/>
      <c r="S134" s="416">
        <f>H134</f>
        <v>14.215</v>
      </c>
      <c r="T134" s="258">
        <f t="shared" si="65"/>
        <v>0</v>
      </c>
      <c r="U134" s="69">
        <v>0</v>
      </c>
      <c r="V134" s="158"/>
    </row>
    <row r="135" spans="1:23" x14ac:dyDescent="0.2">
      <c r="A135" s="109"/>
      <c r="B135" s="29">
        <v>4122</v>
      </c>
      <c r="C135" s="29">
        <v>102</v>
      </c>
      <c r="D135" s="29"/>
      <c r="E135" s="211" t="s">
        <v>376</v>
      </c>
      <c r="F135" s="69">
        <v>500</v>
      </c>
      <c r="G135" s="69">
        <v>-500</v>
      </c>
      <c r="H135" s="69">
        <f t="shared" si="59"/>
        <v>0</v>
      </c>
      <c r="I135" s="69">
        <v>0</v>
      </c>
      <c r="J135" s="34" t="e">
        <f t="shared" si="61"/>
        <v>#DIV/0!</v>
      </c>
      <c r="K135" s="69"/>
      <c r="L135" s="34" t="e">
        <f t="shared" si="62"/>
        <v>#DIV/0!</v>
      </c>
      <c r="M135" s="69">
        <v>0</v>
      </c>
      <c r="N135" s="34" t="e">
        <f t="shared" si="63"/>
        <v>#DIV/0!</v>
      </c>
      <c r="O135" s="69">
        <v>0</v>
      </c>
      <c r="P135" s="34"/>
      <c r="Q135" s="258">
        <f t="shared" si="60"/>
        <v>0</v>
      </c>
      <c r="R135" s="127" t="s">
        <v>450</v>
      </c>
      <c r="S135" s="416">
        <f>H135</f>
        <v>0</v>
      </c>
      <c r="T135" s="258">
        <f t="shared" si="65"/>
        <v>0</v>
      </c>
      <c r="U135" s="69">
        <v>500</v>
      </c>
      <c r="V135" s="158"/>
    </row>
    <row r="136" spans="1:23" x14ac:dyDescent="0.2">
      <c r="A136" s="109"/>
      <c r="B136" s="29">
        <v>4122</v>
      </c>
      <c r="C136" s="29"/>
      <c r="D136" s="29"/>
      <c r="E136" s="211" t="s">
        <v>384</v>
      </c>
      <c r="F136" s="69">
        <v>120</v>
      </c>
      <c r="G136" s="69">
        <v>-120</v>
      </c>
      <c r="H136" s="69">
        <f t="shared" si="59"/>
        <v>0</v>
      </c>
      <c r="I136" s="69">
        <v>0</v>
      </c>
      <c r="J136" s="34" t="e">
        <f t="shared" si="61"/>
        <v>#DIV/0!</v>
      </c>
      <c r="K136" s="69">
        <v>0</v>
      </c>
      <c r="L136" s="34" t="e">
        <f t="shared" si="62"/>
        <v>#DIV/0!</v>
      </c>
      <c r="M136" s="69">
        <v>0</v>
      </c>
      <c r="N136" s="34" t="e">
        <f t="shared" si="63"/>
        <v>#DIV/0!</v>
      </c>
      <c r="O136" s="69"/>
      <c r="P136" s="34"/>
      <c r="Q136" s="258">
        <f t="shared" si="60"/>
        <v>0</v>
      </c>
      <c r="R136" s="503"/>
      <c r="S136" s="416">
        <v>0</v>
      </c>
      <c r="T136" s="258">
        <f t="shared" si="65"/>
        <v>0</v>
      </c>
      <c r="U136" s="69">
        <v>0</v>
      </c>
      <c r="V136" s="158"/>
    </row>
    <row r="137" spans="1:23" x14ac:dyDescent="0.2">
      <c r="A137" s="109"/>
      <c r="B137" s="29">
        <v>4122</v>
      </c>
      <c r="C137" s="29">
        <v>307</v>
      </c>
      <c r="D137" s="256" t="s">
        <v>299</v>
      </c>
      <c r="E137" s="29" t="s">
        <v>330</v>
      </c>
      <c r="F137" s="69"/>
      <c r="G137" s="69">
        <f>5011.205+3340.803</f>
        <v>8352.0079999999998</v>
      </c>
      <c r="H137" s="69">
        <f t="shared" si="59"/>
        <v>8352.0079999999998</v>
      </c>
      <c r="I137" s="69">
        <v>5011.2049999999999</v>
      </c>
      <c r="J137" s="34">
        <f>I137/$H137*100</f>
        <v>60.000002394633725</v>
      </c>
      <c r="K137" s="69">
        <v>5011.2049999999999</v>
      </c>
      <c r="L137" s="34">
        <f t="shared" si="62"/>
        <v>60.000002394633725</v>
      </c>
      <c r="M137" s="69">
        <v>8352.0079999999998</v>
      </c>
      <c r="N137" s="34">
        <f t="shared" si="63"/>
        <v>100</v>
      </c>
      <c r="O137" s="69">
        <v>8352.0079999999998</v>
      </c>
      <c r="P137" s="34">
        <f t="shared" si="64"/>
        <v>100</v>
      </c>
      <c r="Q137" s="258">
        <f t="shared" si="60"/>
        <v>0</v>
      </c>
      <c r="R137" s="127"/>
      <c r="S137" s="416">
        <f>H137</f>
        <v>8352.0079999999998</v>
      </c>
      <c r="T137" s="258">
        <f>S137-H137</f>
        <v>0</v>
      </c>
      <c r="U137" s="69">
        <v>0</v>
      </c>
      <c r="V137" s="158"/>
    </row>
    <row r="138" spans="1:23" x14ac:dyDescent="0.2">
      <c r="A138" s="109"/>
      <c r="B138" s="29">
        <v>4122</v>
      </c>
      <c r="C138" s="29">
        <v>227</v>
      </c>
      <c r="D138" s="29">
        <v>13305</v>
      </c>
      <c r="E138" s="449" t="s">
        <v>329</v>
      </c>
      <c r="F138" s="69">
        <v>1500</v>
      </c>
      <c r="G138" s="69">
        <v>200</v>
      </c>
      <c r="H138" s="69">
        <f t="shared" si="59"/>
        <v>1700</v>
      </c>
      <c r="I138" s="69">
        <v>961.17100000000005</v>
      </c>
      <c r="J138" s="34">
        <f>I138/$H138*100</f>
        <v>56.539470588235297</v>
      </c>
      <c r="K138" s="69">
        <v>961.17100000000005</v>
      </c>
      <c r="L138" s="34">
        <f t="shared" si="62"/>
        <v>56.539470588235297</v>
      </c>
      <c r="M138" s="69">
        <v>1601.951</v>
      </c>
      <c r="N138" s="34">
        <f t="shared" si="63"/>
        <v>94.232411764705887</v>
      </c>
      <c r="O138" s="69">
        <v>1700</v>
      </c>
      <c r="P138" s="34">
        <f t="shared" si="64"/>
        <v>100</v>
      </c>
      <c r="Q138" s="258">
        <f t="shared" si="60"/>
        <v>0</v>
      </c>
      <c r="R138" s="127"/>
      <c r="S138" s="259">
        <v>1700</v>
      </c>
      <c r="T138" s="258">
        <f t="shared" si="65"/>
        <v>0</v>
      </c>
      <c r="U138" s="69">
        <v>1800</v>
      </c>
      <c r="V138" s="158">
        <f>U138/F138</f>
        <v>1.2</v>
      </c>
      <c r="W138" s="113"/>
    </row>
    <row r="139" spans="1:23" x14ac:dyDescent="0.2">
      <c r="A139" s="109"/>
      <c r="B139" s="29">
        <v>4122</v>
      </c>
      <c r="C139" s="29">
        <v>301</v>
      </c>
      <c r="D139" s="29"/>
      <c r="E139" s="449" t="s">
        <v>440</v>
      </c>
      <c r="F139" s="69"/>
      <c r="G139" s="69">
        <v>59.761800000000001</v>
      </c>
      <c r="H139" s="69">
        <f t="shared" si="59"/>
        <v>59.761800000000001</v>
      </c>
      <c r="I139" s="69"/>
      <c r="J139" s="34"/>
      <c r="K139" s="69"/>
      <c r="L139" s="34"/>
      <c r="M139" s="69">
        <v>59.761800000000001</v>
      </c>
      <c r="N139" s="34">
        <f t="shared" si="63"/>
        <v>100</v>
      </c>
      <c r="O139" s="69">
        <v>59.761800000000001</v>
      </c>
      <c r="P139" s="34">
        <f t="shared" si="64"/>
        <v>100</v>
      </c>
      <c r="Q139" s="258">
        <f t="shared" si="60"/>
        <v>0</v>
      </c>
      <c r="R139" s="127"/>
      <c r="S139" s="259">
        <f>H139</f>
        <v>59.761800000000001</v>
      </c>
      <c r="T139" s="258">
        <f t="shared" si="65"/>
        <v>0</v>
      </c>
      <c r="U139" s="69">
        <v>0</v>
      </c>
      <c r="V139" s="158"/>
    </row>
    <row r="140" spans="1:23" x14ac:dyDescent="0.2">
      <c r="A140" s="109"/>
      <c r="B140" s="29">
        <v>4122</v>
      </c>
      <c r="C140" s="29">
        <v>311</v>
      </c>
      <c r="D140" s="29"/>
      <c r="E140" s="449" t="s">
        <v>432</v>
      </c>
      <c r="F140" s="69"/>
      <c r="G140" s="69">
        <f>49.4-49.4</f>
        <v>0</v>
      </c>
      <c r="H140" s="69">
        <f t="shared" si="59"/>
        <v>0</v>
      </c>
      <c r="I140" s="69"/>
      <c r="J140" s="34"/>
      <c r="K140" s="69">
        <v>49.4</v>
      </c>
      <c r="L140" s="34"/>
      <c r="M140" s="69">
        <v>0</v>
      </c>
      <c r="N140" s="34"/>
      <c r="O140" s="69"/>
      <c r="P140" s="34"/>
      <c r="Q140" s="258">
        <f t="shared" si="60"/>
        <v>0</v>
      </c>
      <c r="R140" s="127"/>
      <c r="S140" s="259">
        <f>H140</f>
        <v>0</v>
      </c>
      <c r="T140" s="258">
        <f t="shared" si="65"/>
        <v>0</v>
      </c>
      <c r="U140" s="69">
        <v>0</v>
      </c>
      <c r="V140" s="158"/>
    </row>
    <row r="141" spans="1:23" x14ac:dyDescent="0.2">
      <c r="A141" s="109"/>
      <c r="B141" s="29">
        <v>4122</v>
      </c>
      <c r="C141" s="29">
        <v>312</v>
      </c>
      <c r="D141" s="29"/>
      <c r="E141" s="449" t="s">
        <v>449</v>
      </c>
      <c r="F141" s="69"/>
      <c r="G141" s="69">
        <v>15</v>
      </c>
      <c r="H141" s="69">
        <f t="shared" si="59"/>
        <v>15</v>
      </c>
      <c r="I141" s="69"/>
      <c r="J141" s="34"/>
      <c r="K141" s="69"/>
      <c r="L141" s="34"/>
      <c r="M141" s="69"/>
      <c r="N141" s="34"/>
      <c r="O141" s="69">
        <v>15</v>
      </c>
      <c r="P141" s="34">
        <f t="shared" si="64"/>
        <v>100</v>
      </c>
      <c r="Q141" s="258">
        <f t="shared" si="60"/>
        <v>0</v>
      </c>
      <c r="R141" s="127"/>
      <c r="S141" s="259">
        <f t="shared" ref="S141:S142" si="68">H141</f>
        <v>15</v>
      </c>
      <c r="T141" s="258">
        <f t="shared" ref="T141:T142" si="69">S141-H141</f>
        <v>0</v>
      </c>
      <c r="U141" s="69">
        <v>0</v>
      </c>
      <c r="V141" s="158"/>
    </row>
    <row r="142" spans="1:23" x14ac:dyDescent="0.2">
      <c r="A142" s="109"/>
      <c r="B142" s="29">
        <v>4122</v>
      </c>
      <c r="C142" s="29">
        <v>650</v>
      </c>
      <c r="D142" s="29"/>
      <c r="E142" s="449" t="s">
        <v>481</v>
      </c>
      <c r="F142" s="69"/>
      <c r="G142" s="69">
        <v>20.998999999999999</v>
      </c>
      <c r="H142" s="69">
        <f t="shared" si="59"/>
        <v>20.998999999999999</v>
      </c>
      <c r="I142" s="69"/>
      <c r="J142" s="34"/>
      <c r="K142" s="69"/>
      <c r="L142" s="34"/>
      <c r="M142" s="69"/>
      <c r="N142" s="34"/>
      <c r="O142" s="69">
        <v>20.998999999999999</v>
      </c>
      <c r="P142" s="34">
        <f t="shared" si="64"/>
        <v>100</v>
      </c>
      <c r="Q142" s="258">
        <f t="shared" si="60"/>
        <v>0</v>
      </c>
      <c r="R142" s="127"/>
      <c r="S142" s="259">
        <f t="shared" si="68"/>
        <v>20.998999999999999</v>
      </c>
      <c r="T142" s="258">
        <f t="shared" si="69"/>
        <v>0</v>
      </c>
      <c r="U142" s="69"/>
      <c r="V142" s="158"/>
    </row>
    <row r="143" spans="1:23" ht="13.5" customHeight="1" x14ac:dyDescent="0.2">
      <c r="A143" s="109"/>
      <c r="B143" s="29">
        <v>4132</v>
      </c>
      <c r="C143" s="109"/>
      <c r="D143" s="29"/>
      <c r="E143" s="29" t="s">
        <v>482</v>
      </c>
      <c r="F143" s="69"/>
      <c r="G143" s="69"/>
      <c r="H143" s="69">
        <f t="shared" si="59"/>
        <v>0</v>
      </c>
      <c r="I143" s="69">
        <v>22.265000000000001</v>
      </c>
      <c r="J143" s="34"/>
      <c r="K143" s="69">
        <v>22.265000000000001</v>
      </c>
      <c r="L143" s="34"/>
      <c r="M143" s="69">
        <v>22.265000000000001</v>
      </c>
      <c r="N143" s="34"/>
      <c r="O143" s="69">
        <v>22.265000000000001</v>
      </c>
      <c r="P143" s="34"/>
      <c r="Q143" s="258">
        <f t="shared" si="60"/>
        <v>22.265000000000001</v>
      </c>
      <c r="R143" s="417"/>
      <c r="S143" s="259">
        <v>22</v>
      </c>
      <c r="T143" s="258">
        <f>S143-H143</f>
        <v>22</v>
      </c>
      <c r="U143" s="69">
        <v>342</v>
      </c>
      <c r="V143" s="158"/>
    </row>
    <row r="144" spans="1:23" x14ac:dyDescent="0.2">
      <c r="A144" s="96" t="s">
        <v>52</v>
      </c>
      <c r="B144" s="32"/>
      <c r="C144" s="96"/>
      <c r="D144" s="32"/>
      <c r="E144" s="32"/>
      <c r="F144" s="70">
        <f>SUM(F145:F152)</f>
        <v>2600</v>
      </c>
      <c r="G144" s="70">
        <f>SUM(G145:G152)</f>
        <v>17585.502630000003</v>
      </c>
      <c r="H144" s="70">
        <f>SUM(H145:H152)</f>
        <v>20185.502630000003</v>
      </c>
      <c r="I144" s="70">
        <f>SUM(I145:I152)</f>
        <v>22.28595</v>
      </c>
      <c r="J144" s="31">
        <f>I144/$H144*100</f>
        <v>0.1104057224063288</v>
      </c>
      <c r="K144" s="70">
        <f>SUM(K145:K152)</f>
        <v>2522.28595</v>
      </c>
      <c r="L144" s="31">
        <f>K144/$H144*100</f>
        <v>12.495532047100676</v>
      </c>
      <c r="M144" s="70">
        <f>SUM(M145:M152)</f>
        <v>2712.28595</v>
      </c>
      <c r="N144" s="31">
        <f>M144/$H144*100</f>
        <v>13.436801647777447</v>
      </c>
      <c r="O144" s="70">
        <f>SUM(O145:O152)</f>
        <v>20186.201680000002</v>
      </c>
      <c r="P144" s="31">
        <f>O144/$H144*100</f>
        <v>100.0034631290229</v>
      </c>
      <c r="Q144" s="338">
        <f>SUM(Q145:Q152)</f>
        <v>0.69904999999999973</v>
      </c>
      <c r="R144" s="112"/>
      <c r="S144" s="70">
        <f>SUM(S145:S152)</f>
        <v>20184.285950000001</v>
      </c>
      <c r="T144" s="355">
        <f>SUM(T145:T152)</f>
        <v>-1.2166799999995419</v>
      </c>
      <c r="U144" s="70">
        <f>SUM(U145:U152)</f>
        <v>16084</v>
      </c>
      <c r="V144" s="157">
        <f>U144/F144</f>
        <v>6.1861538461538466</v>
      </c>
    </row>
    <row r="145" spans="1:22" x14ac:dyDescent="0.2">
      <c r="A145" s="96"/>
      <c r="B145" s="33">
        <v>4222</v>
      </c>
      <c r="C145" s="33">
        <v>216</v>
      </c>
      <c r="D145" s="32"/>
      <c r="E145" s="391" t="s">
        <v>311</v>
      </c>
      <c r="F145" s="412"/>
      <c r="G145" s="412">
        <v>10000</v>
      </c>
      <c r="H145" s="69">
        <f>SUM(F145:G145)</f>
        <v>10000</v>
      </c>
      <c r="I145" s="412">
        <v>0</v>
      </c>
      <c r="J145" s="34"/>
      <c r="K145" s="412"/>
      <c r="L145" s="34"/>
      <c r="M145" s="412"/>
      <c r="N145" s="34"/>
      <c r="O145" s="412">
        <v>10000</v>
      </c>
      <c r="P145" s="34">
        <f>O145/$H145*100</f>
        <v>100</v>
      </c>
      <c r="Q145" s="258">
        <f t="shared" si="60"/>
        <v>0</v>
      </c>
      <c r="R145" s="127"/>
      <c r="S145" s="259">
        <v>10000</v>
      </c>
      <c r="T145" s="258">
        <f t="shared" ref="T145:T152" si="70">S145-H145</f>
        <v>0</v>
      </c>
      <c r="U145" s="412">
        <v>0</v>
      </c>
      <c r="V145" s="157"/>
    </row>
    <row r="146" spans="1:22" x14ac:dyDescent="0.2">
      <c r="A146" s="96"/>
      <c r="B146" s="33"/>
      <c r="C146" s="33"/>
      <c r="D146" s="32"/>
      <c r="E146" s="391" t="s">
        <v>463</v>
      </c>
      <c r="F146" s="412"/>
      <c r="G146" s="412"/>
      <c r="H146" s="69"/>
      <c r="I146" s="412"/>
      <c r="J146" s="34"/>
      <c r="K146" s="412"/>
      <c r="L146" s="34"/>
      <c r="M146" s="412"/>
      <c r="N146" s="34"/>
      <c r="O146" s="412"/>
      <c r="P146" s="34"/>
      <c r="Q146" s="258">
        <f t="shared" si="60"/>
        <v>0</v>
      </c>
      <c r="R146" s="127"/>
      <c r="S146" s="259"/>
      <c r="T146" s="258">
        <f t="shared" si="70"/>
        <v>0</v>
      </c>
      <c r="U146" s="412">
        <v>600</v>
      </c>
      <c r="V146" s="157"/>
    </row>
    <row r="147" spans="1:22" x14ac:dyDescent="0.2">
      <c r="A147" s="96"/>
      <c r="B147" s="33">
        <v>4222</v>
      </c>
      <c r="C147" s="33">
        <v>252</v>
      </c>
      <c r="D147" s="32"/>
      <c r="E147" s="211" t="s">
        <v>384</v>
      </c>
      <c r="F147" s="412"/>
      <c r="G147" s="412">
        <v>120</v>
      </c>
      <c r="H147" s="69">
        <f t="shared" ref="H147:H152" si="71">SUM(F147:G147)</f>
        <v>120</v>
      </c>
      <c r="I147" s="412"/>
      <c r="J147" s="34"/>
      <c r="K147" s="412"/>
      <c r="L147" s="34"/>
      <c r="M147" s="412">
        <v>90</v>
      </c>
      <c r="N147" s="34">
        <f t="shared" si="63"/>
        <v>75</v>
      </c>
      <c r="O147" s="412">
        <v>120</v>
      </c>
      <c r="P147" s="34">
        <f t="shared" ref="P147:P151" si="72">O147/$H147*100</f>
        <v>100</v>
      </c>
      <c r="Q147" s="258">
        <f t="shared" si="60"/>
        <v>0</v>
      </c>
      <c r="R147" s="503"/>
      <c r="S147" s="259">
        <v>120</v>
      </c>
      <c r="T147" s="258">
        <f t="shared" si="70"/>
        <v>0</v>
      </c>
      <c r="U147" s="412">
        <v>0</v>
      </c>
      <c r="V147" s="157"/>
    </row>
    <row r="148" spans="1:22" x14ac:dyDescent="0.2">
      <c r="A148" s="96"/>
      <c r="B148" s="33">
        <v>4216</v>
      </c>
      <c r="C148" s="33">
        <v>203</v>
      </c>
      <c r="D148" s="32"/>
      <c r="E148" s="211" t="s">
        <v>447</v>
      </c>
      <c r="F148" s="412"/>
      <c r="G148" s="412">
        <v>6671.7923199999996</v>
      </c>
      <c r="H148" s="69">
        <f t="shared" si="71"/>
        <v>6671.7923199999996</v>
      </c>
      <c r="I148" s="412"/>
      <c r="J148" s="34"/>
      <c r="K148" s="412"/>
      <c r="L148" s="34"/>
      <c r="M148" s="412"/>
      <c r="N148" s="34"/>
      <c r="O148" s="412">
        <v>6671.7923199999996</v>
      </c>
      <c r="P148" s="34">
        <f t="shared" si="72"/>
        <v>100</v>
      </c>
      <c r="Q148" s="258">
        <f t="shared" si="60"/>
        <v>0</v>
      </c>
      <c r="R148" s="503"/>
      <c r="S148" s="259">
        <v>6671</v>
      </c>
      <c r="T148" s="258">
        <f t="shared" si="70"/>
        <v>-0.79231999999956315</v>
      </c>
      <c r="U148" s="412">
        <v>15484</v>
      </c>
      <c r="V148" s="157"/>
    </row>
    <row r="149" spans="1:22" x14ac:dyDescent="0.2">
      <c r="A149" s="96"/>
      <c r="B149" s="33">
        <v>4216</v>
      </c>
      <c r="C149" s="33">
        <v>223</v>
      </c>
      <c r="D149" s="32"/>
      <c r="E149" s="391" t="s">
        <v>345</v>
      </c>
      <c r="F149" s="412">
        <v>2500</v>
      </c>
      <c r="G149" s="412"/>
      <c r="H149" s="69">
        <f t="shared" si="71"/>
        <v>2500</v>
      </c>
      <c r="I149" s="412">
        <v>0</v>
      </c>
      <c r="J149" s="34">
        <f>I149/$H149*100</f>
        <v>0</v>
      </c>
      <c r="K149" s="412">
        <v>2500</v>
      </c>
      <c r="L149" s="34">
        <f t="shared" si="62"/>
        <v>100</v>
      </c>
      <c r="M149" s="412">
        <v>2500</v>
      </c>
      <c r="N149" s="34">
        <f t="shared" si="63"/>
        <v>100</v>
      </c>
      <c r="O149" s="412">
        <v>2500</v>
      </c>
      <c r="P149" s="34">
        <f t="shared" si="72"/>
        <v>100</v>
      </c>
      <c r="Q149" s="258">
        <f t="shared" si="60"/>
        <v>0</v>
      </c>
      <c r="R149" s="127"/>
      <c r="S149" s="259">
        <f>H149</f>
        <v>2500</v>
      </c>
      <c r="T149" s="258">
        <f t="shared" si="70"/>
        <v>0</v>
      </c>
      <c r="U149" s="412">
        <v>0</v>
      </c>
      <c r="V149" s="157"/>
    </row>
    <row r="150" spans="1:22" x14ac:dyDescent="0.2">
      <c r="A150" s="96"/>
      <c r="B150" s="33">
        <v>4216</v>
      </c>
      <c r="C150" s="33">
        <v>312</v>
      </c>
      <c r="D150" s="32"/>
      <c r="E150" s="211" t="s">
        <v>423</v>
      </c>
      <c r="F150" s="412"/>
      <c r="G150" s="412">
        <v>22.28595</v>
      </c>
      <c r="H150" s="69">
        <f t="shared" si="71"/>
        <v>22.28595</v>
      </c>
      <c r="I150" s="412">
        <v>22.28595</v>
      </c>
      <c r="J150" s="34">
        <f>I150/$H150*100</f>
        <v>100</v>
      </c>
      <c r="K150" s="412">
        <v>22.28595</v>
      </c>
      <c r="L150" s="34">
        <f t="shared" si="62"/>
        <v>100</v>
      </c>
      <c r="M150" s="412">
        <v>22.28595</v>
      </c>
      <c r="N150" s="34">
        <f t="shared" si="63"/>
        <v>100</v>
      </c>
      <c r="O150" s="412">
        <v>22.984999999999999</v>
      </c>
      <c r="P150" s="34">
        <f t="shared" si="72"/>
        <v>103.13672964356466</v>
      </c>
      <c r="Q150" s="258">
        <f t="shared" si="60"/>
        <v>0.69904999999999973</v>
      </c>
      <c r="R150" s="127"/>
      <c r="S150" s="259">
        <f>H150</f>
        <v>22.28595</v>
      </c>
      <c r="T150" s="258">
        <f t="shared" si="70"/>
        <v>0</v>
      </c>
      <c r="U150" s="412">
        <v>0</v>
      </c>
      <c r="V150" s="157"/>
    </row>
    <row r="151" spans="1:22" x14ac:dyDescent="0.2">
      <c r="A151" s="96"/>
      <c r="B151" s="33">
        <v>4216</v>
      </c>
      <c r="C151" s="33">
        <v>250</v>
      </c>
      <c r="D151" s="32"/>
      <c r="E151" s="211" t="s">
        <v>390</v>
      </c>
      <c r="F151" s="412"/>
      <c r="G151" s="412">
        <v>771.42435999999998</v>
      </c>
      <c r="H151" s="69">
        <f t="shared" si="71"/>
        <v>771.42435999999998</v>
      </c>
      <c r="I151" s="412"/>
      <c r="J151" s="34"/>
      <c r="K151" s="412"/>
      <c r="L151" s="34"/>
      <c r="M151" s="412"/>
      <c r="N151" s="34"/>
      <c r="O151" s="412">
        <v>771.42435999999998</v>
      </c>
      <c r="P151" s="34">
        <f t="shared" si="72"/>
        <v>100</v>
      </c>
      <c r="Q151" s="258">
        <f t="shared" si="60"/>
        <v>0</v>
      </c>
      <c r="R151" s="127"/>
      <c r="S151" s="259">
        <v>771</v>
      </c>
      <c r="T151" s="258">
        <f t="shared" si="70"/>
        <v>-0.42435999999997875</v>
      </c>
      <c r="U151" s="412">
        <v>0</v>
      </c>
      <c r="V151" s="157"/>
    </row>
    <row r="152" spans="1:22" ht="13.5" thickBot="1" x14ac:dyDescent="0.25">
      <c r="A152" s="96"/>
      <c r="B152" s="33">
        <v>4222</v>
      </c>
      <c r="C152" s="33">
        <v>223</v>
      </c>
      <c r="D152" s="32"/>
      <c r="E152" s="391" t="s">
        <v>360</v>
      </c>
      <c r="F152" s="412">
        <v>100</v>
      </c>
      <c r="G152" s="412"/>
      <c r="H152" s="69">
        <f t="shared" si="71"/>
        <v>100</v>
      </c>
      <c r="I152" s="412">
        <v>0</v>
      </c>
      <c r="J152" s="34">
        <f>I152/$H152*100</f>
        <v>0</v>
      </c>
      <c r="K152" s="412">
        <v>0</v>
      </c>
      <c r="L152" s="34">
        <f t="shared" si="62"/>
        <v>0</v>
      </c>
      <c r="M152" s="412">
        <v>100</v>
      </c>
      <c r="N152" s="34">
        <f t="shared" si="63"/>
        <v>100</v>
      </c>
      <c r="O152" s="412">
        <v>100</v>
      </c>
      <c r="P152" s="34">
        <f>O152/$H152*100</f>
        <v>100</v>
      </c>
      <c r="Q152" s="258">
        <f t="shared" si="60"/>
        <v>0</v>
      </c>
      <c r="R152" s="127"/>
      <c r="S152" s="259">
        <f>H152</f>
        <v>100</v>
      </c>
      <c r="T152" s="258">
        <f t="shared" si="70"/>
        <v>0</v>
      </c>
      <c r="U152" s="412">
        <v>0</v>
      </c>
      <c r="V152" s="157"/>
    </row>
    <row r="153" spans="1:22" ht="14.25" customHeight="1" thickBot="1" x14ac:dyDescent="0.3">
      <c r="A153" s="115" t="s">
        <v>53</v>
      </c>
      <c r="B153" s="118"/>
      <c r="C153" s="119"/>
      <c r="D153" s="118"/>
      <c r="E153" s="118"/>
      <c r="F153" s="121">
        <f>SUM(F112+F144)</f>
        <v>30510</v>
      </c>
      <c r="G153" s="121">
        <f>SUM(G112+G144)</f>
        <v>28103.721390000002</v>
      </c>
      <c r="H153" s="121">
        <f>SUM(H112+H144)</f>
        <v>58613.721390000013</v>
      </c>
      <c r="I153" s="121">
        <f>SUM(I112+I144)</f>
        <v>12168.463079999998</v>
      </c>
      <c r="J153" s="36">
        <f>I153/$H153*100</f>
        <v>20.76043423183166</v>
      </c>
      <c r="K153" s="121">
        <f>SUM(K112+K144)</f>
        <v>21751.812880000005</v>
      </c>
      <c r="L153" s="36">
        <f>K153/$H153*100</f>
        <v>37.110445070138546</v>
      </c>
      <c r="M153" s="121">
        <f>SUM(M112+M144)</f>
        <v>33567.593480000003</v>
      </c>
      <c r="N153" s="36">
        <f>M153/$H153*100</f>
        <v>57.269172958069362</v>
      </c>
      <c r="O153" s="121">
        <f>SUM(O112+O144)</f>
        <v>58635.214870000011</v>
      </c>
      <c r="P153" s="36">
        <f>O153/$H153*100</f>
        <v>100.03666970717826</v>
      </c>
      <c r="Q153" s="339">
        <f>SUM(Q112+Q144)</f>
        <v>21.493479999999849</v>
      </c>
      <c r="R153" s="121"/>
      <c r="S153" s="71">
        <f>SUM(S112+S144)</f>
        <v>58585.406156666679</v>
      </c>
      <c r="T153" s="356">
        <f>SUM(T112+T144)</f>
        <v>-1.3802333333330239</v>
      </c>
      <c r="U153" s="121">
        <f>SUM(U112+U144)</f>
        <v>44305</v>
      </c>
      <c r="V153" s="159">
        <f>U153/F153</f>
        <v>1.4521468371025894</v>
      </c>
    </row>
    <row r="154" spans="1:22" ht="16.5" thickBot="1" x14ac:dyDescent="0.3">
      <c r="A154" s="39" t="s">
        <v>11</v>
      </c>
      <c r="B154" s="40"/>
      <c r="C154" s="41"/>
      <c r="D154" s="41"/>
      <c r="E154" s="42"/>
      <c r="F154" s="128">
        <f>SUM(F38+F102+F110+F153)</f>
        <v>157187</v>
      </c>
      <c r="G154" s="128">
        <f>SUM(G38+G102+G110+G153)</f>
        <v>30503.634200000004</v>
      </c>
      <c r="H154" s="128">
        <f>SUM(H38+H102+H110+H153)</f>
        <v>187690.63420000003</v>
      </c>
      <c r="I154" s="128">
        <f>SUM(I38+I102+I110+I153)</f>
        <v>43686.629549999998</v>
      </c>
      <c r="J154" s="448">
        <f>I154/$H154*100</f>
        <v>23.2758708159344</v>
      </c>
      <c r="K154" s="128">
        <f>SUM(K38+K102+K110+K153)</f>
        <v>83083.193240000008</v>
      </c>
      <c r="L154" s="128">
        <f>K154/$H154*100</f>
        <v>44.266030425081269</v>
      </c>
      <c r="M154" s="128">
        <f>SUM(M38+M102+M110+M153)</f>
        <v>130869.75034</v>
      </c>
      <c r="N154" s="128">
        <f>M154/$H154*100</f>
        <v>69.726308346610068</v>
      </c>
      <c r="O154" s="128">
        <f>SUM(O38+O102+O110+O153)</f>
        <v>187033.54029</v>
      </c>
      <c r="P154" s="128">
        <f>O154/$H154*100</f>
        <v>99.649905860886037</v>
      </c>
      <c r="Q154" s="339">
        <f>SUM(Q38+Q102+Q110+Q153)</f>
        <v>-657.09391000000346</v>
      </c>
      <c r="R154" s="247"/>
      <c r="S154" s="128">
        <f>SUM(S38+S102+S110+S153)</f>
        <v>185669.09799666668</v>
      </c>
      <c r="T154" s="357">
        <f>SUM(T38+T102+T110+T153)</f>
        <v>-1939.6012033333325</v>
      </c>
      <c r="U154" s="128">
        <f>SUM(U38+U102+U110+U153)</f>
        <v>178477</v>
      </c>
      <c r="V154" s="212">
        <f>U154/F154</f>
        <v>1.1354437707952947</v>
      </c>
    </row>
    <row r="155" spans="1:22" ht="24" customHeight="1" thickBot="1" x14ac:dyDescent="0.25">
      <c r="A155" s="106"/>
      <c r="B155" s="23"/>
      <c r="C155" s="106"/>
      <c r="D155" s="23"/>
      <c r="E155" s="23"/>
      <c r="F155" s="152"/>
      <c r="G155" s="152"/>
      <c r="H155" s="152"/>
      <c r="I155" s="152"/>
      <c r="J155" s="108"/>
      <c r="K155" s="152"/>
      <c r="L155" s="108"/>
      <c r="M155" s="152"/>
      <c r="N155" s="108"/>
      <c r="O155" s="152"/>
      <c r="P155" s="108"/>
      <c r="Q155" s="340"/>
      <c r="R155" s="235"/>
      <c r="S155" s="340"/>
      <c r="T155" s="340"/>
      <c r="U155" s="152"/>
      <c r="V155" s="155"/>
    </row>
    <row r="156" spans="1:22" ht="13.5" thickBot="1" x14ac:dyDescent="0.25">
      <c r="A156" s="43"/>
      <c r="B156" s="44"/>
      <c r="C156" s="43"/>
      <c r="D156" s="44"/>
      <c r="E156" s="45"/>
      <c r="F156" s="457" t="s">
        <v>356</v>
      </c>
      <c r="G156" s="453" t="str">
        <f>G3</f>
        <v>Změna</v>
      </c>
      <c r="H156" s="153" t="s">
        <v>100</v>
      </c>
      <c r="I156" s="453" t="str">
        <f>I3</f>
        <v>1.Q.2018</v>
      </c>
      <c r="J156" s="413" t="s">
        <v>4</v>
      </c>
      <c r="K156" s="453" t="str">
        <f>K3</f>
        <v>2.Q.2018</v>
      </c>
      <c r="L156" s="413" t="s">
        <v>4</v>
      </c>
      <c r="M156" s="453" t="str">
        <f>M3</f>
        <v>3.Q.2018</v>
      </c>
      <c r="N156" s="413" t="s">
        <v>4</v>
      </c>
      <c r="O156" s="453" t="str">
        <f>O3</f>
        <v>4.Q.2018</v>
      </c>
      <c r="P156" s="424" t="s">
        <v>4</v>
      </c>
      <c r="Q156" s="260" t="s">
        <v>91</v>
      </c>
      <c r="R156" s="248"/>
      <c r="S156" s="260" t="s">
        <v>407</v>
      </c>
      <c r="T156" s="260" t="s">
        <v>408</v>
      </c>
      <c r="U156" s="453" t="str">
        <f>U3</f>
        <v>R 2019</v>
      </c>
      <c r="V156" s="25" t="str">
        <f>V2</f>
        <v>R 19/18</v>
      </c>
    </row>
    <row r="157" spans="1:22" x14ac:dyDescent="0.2">
      <c r="A157" s="43" t="s">
        <v>54</v>
      </c>
      <c r="B157" s="23"/>
      <c r="C157" s="106"/>
      <c r="D157" s="23"/>
      <c r="E157" s="122" t="s">
        <v>55</v>
      </c>
      <c r="F157" s="149">
        <f>F38</f>
        <v>91121</v>
      </c>
      <c r="G157" s="149">
        <f>G38</f>
        <v>0</v>
      </c>
      <c r="H157" s="149">
        <f>H38</f>
        <v>91121</v>
      </c>
      <c r="I157" s="149">
        <f>I38</f>
        <v>24922.761000000002</v>
      </c>
      <c r="J157" s="38">
        <f t="shared" ref="J157:J163" si="73">I157/$H157*100</f>
        <v>27.351281263375078</v>
      </c>
      <c r="K157" s="149">
        <f>K38</f>
        <v>48993.236389999998</v>
      </c>
      <c r="L157" s="38">
        <f t="shared" ref="L157:L163" si="74">K157/$H157*100</f>
        <v>53.767228619088904</v>
      </c>
      <c r="M157" s="149">
        <f>M38</f>
        <v>71196.877260000008</v>
      </c>
      <c r="N157" s="394">
        <f t="shared" ref="N157:N163" si="75">M157/$H157*100</f>
        <v>78.134433621228922</v>
      </c>
      <c r="O157" s="149">
        <f>O38</f>
        <v>95464.905759999994</v>
      </c>
      <c r="P157" s="394">
        <f t="shared" ref="P157:P163" si="76">O157/$H157*100</f>
        <v>104.767184030026</v>
      </c>
      <c r="Q157" s="258">
        <f>Q38</f>
        <v>4343.9057599999969</v>
      </c>
      <c r="R157" s="249"/>
      <c r="S157" s="373">
        <f>S38</f>
        <v>94876.741333333339</v>
      </c>
      <c r="T157" s="373">
        <f>T38</f>
        <v>3810.7413333333334</v>
      </c>
      <c r="U157" s="149">
        <f>U38</f>
        <v>93221</v>
      </c>
      <c r="V157" s="161">
        <f t="shared" ref="V157:V163" si="77">U157/F157</f>
        <v>1.0230462791233634</v>
      </c>
    </row>
    <row r="158" spans="1:22" x14ac:dyDescent="0.2">
      <c r="A158" s="106"/>
      <c r="B158" s="23"/>
      <c r="C158" s="106"/>
      <c r="D158" s="23"/>
      <c r="E158" s="62" t="s">
        <v>56</v>
      </c>
      <c r="F158" s="376">
        <f>F102</f>
        <v>27406</v>
      </c>
      <c r="G158" s="376">
        <f>G102</f>
        <v>2399.9128100000003</v>
      </c>
      <c r="H158" s="46">
        <f>H102</f>
        <v>29805.912810000002</v>
      </c>
      <c r="I158" s="376">
        <f>I102</f>
        <v>6101.8324700000003</v>
      </c>
      <c r="J158" s="38">
        <f t="shared" si="73"/>
        <v>20.471885927119839</v>
      </c>
      <c r="K158" s="376">
        <f>K102</f>
        <v>11214.487970000002</v>
      </c>
      <c r="L158" s="38">
        <f t="shared" si="74"/>
        <v>37.625044538939598</v>
      </c>
      <c r="M158" s="376">
        <f>M102</f>
        <v>24341.411599999999</v>
      </c>
      <c r="N158" s="394">
        <f t="shared" si="75"/>
        <v>81.666385308063312</v>
      </c>
      <c r="O158" s="376">
        <f>O102</f>
        <v>30140.540660000002</v>
      </c>
      <c r="P158" s="394">
        <f t="shared" si="76"/>
        <v>101.12268948826735</v>
      </c>
      <c r="Q158" s="258">
        <f>Q102</f>
        <v>334.62784999999946</v>
      </c>
      <c r="R158" s="250"/>
      <c r="S158" s="373">
        <f>S102</f>
        <v>29412.10550666667</v>
      </c>
      <c r="T158" s="373">
        <f>T102</f>
        <v>-393.8073033333331</v>
      </c>
      <c r="U158" s="376">
        <f>U102</f>
        <v>27393</v>
      </c>
      <c r="V158" s="161">
        <f t="shared" si="77"/>
        <v>0.99952565131722981</v>
      </c>
    </row>
    <row r="159" spans="1:22" x14ac:dyDescent="0.2">
      <c r="A159" s="106"/>
      <c r="B159" s="23"/>
      <c r="C159" s="106"/>
      <c r="D159" s="23"/>
      <c r="E159" s="62" t="s">
        <v>57</v>
      </c>
      <c r="F159" s="150">
        <f>F112</f>
        <v>27910</v>
      </c>
      <c r="G159" s="150">
        <f>G112</f>
        <v>10518.21876</v>
      </c>
      <c r="H159" s="150">
        <f>H112</f>
        <v>38428.218760000011</v>
      </c>
      <c r="I159" s="150">
        <f>I112</f>
        <v>12146.177129999998</v>
      </c>
      <c r="J159" s="38">
        <f t="shared" si="73"/>
        <v>31.607442452271485</v>
      </c>
      <c r="K159" s="150">
        <f>K112</f>
        <v>19229.526930000004</v>
      </c>
      <c r="L159" s="38">
        <f t="shared" si="74"/>
        <v>50.040120386782135</v>
      </c>
      <c r="M159" s="150">
        <f>M112</f>
        <v>30855.307530000005</v>
      </c>
      <c r="N159" s="394">
        <f t="shared" si="75"/>
        <v>80.293358697430278</v>
      </c>
      <c r="O159" s="150">
        <f>O112</f>
        <v>38449.013190000005</v>
      </c>
      <c r="P159" s="394">
        <f t="shared" si="76"/>
        <v>100.05411239623119</v>
      </c>
      <c r="Q159" s="258">
        <f>Q112</f>
        <v>20.794429999999849</v>
      </c>
      <c r="R159" s="347"/>
      <c r="S159" s="373">
        <f>S112</f>
        <v>38401.120206666674</v>
      </c>
      <c r="T159" s="373">
        <f>T112</f>
        <v>-0.16355333333348199</v>
      </c>
      <c r="U159" s="150">
        <f>U112</f>
        <v>28221</v>
      </c>
      <c r="V159" s="161">
        <f t="shared" si="77"/>
        <v>1.0111429595127195</v>
      </c>
    </row>
    <row r="160" spans="1:22" x14ac:dyDescent="0.2">
      <c r="A160" s="106"/>
      <c r="B160" s="23"/>
      <c r="C160" s="106"/>
      <c r="D160" s="23"/>
      <c r="E160" s="123" t="s">
        <v>58</v>
      </c>
      <c r="F160" s="183">
        <f>SUM(F157:F159)</f>
        <v>146437</v>
      </c>
      <c r="G160" s="183">
        <f>SUM(G157:G159)</f>
        <v>12918.13157</v>
      </c>
      <c r="H160" s="183">
        <f>SUM(H157:H159)</f>
        <v>159355.13157000003</v>
      </c>
      <c r="I160" s="183">
        <f>SUM(I157:I159)</f>
        <v>43170.770600000003</v>
      </c>
      <c r="J160" s="214">
        <f t="shared" si="73"/>
        <v>27.090919617506231</v>
      </c>
      <c r="K160" s="183">
        <f>SUM(K157:K159)</f>
        <v>79437.25129</v>
      </c>
      <c r="L160" s="214">
        <f t="shared" si="74"/>
        <v>49.849195634535029</v>
      </c>
      <c r="M160" s="183">
        <f>SUM(M157:M159)</f>
        <v>126393.59639000001</v>
      </c>
      <c r="N160" s="395">
        <f t="shared" si="75"/>
        <v>79.315673831613637</v>
      </c>
      <c r="O160" s="183">
        <f>SUM(O157:O159)</f>
        <v>164054.45960999999</v>
      </c>
      <c r="P160" s="395">
        <f t="shared" si="76"/>
        <v>102.94896561767494</v>
      </c>
      <c r="Q160" s="338">
        <f>SUM(Q157:Q159)</f>
        <v>4699.3280399999967</v>
      </c>
      <c r="R160" s="251"/>
      <c r="S160" s="374">
        <f>SUM(S157:S159)</f>
        <v>162689.96704666669</v>
      </c>
      <c r="T160" s="374">
        <f>SUM(T157:T159)</f>
        <v>3416.770476666667</v>
      </c>
      <c r="U160" s="183">
        <f>SUM(U157:U159)</f>
        <v>148835</v>
      </c>
      <c r="V160" s="162">
        <f t="shared" si="77"/>
        <v>1.0163756427678796</v>
      </c>
    </row>
    <row r="161" spans="1:23" x14ac:dyDescent="0.2">
      <c r="A161" s="106"/>
      <c r="B161" s="23"/>
      <c r="C161" s="106"/>
      <c r="D161" s="23"/>
      <c r="E161" s="62" t="s">
        <v>59</v>
      </c>
      <c r="F161" s="151">
        <f>F110</f>
        <v>8150</v>
      </c>
      <c r="G161" s="151">
        <f>G110</f>
        <v>0</v>
      </c>
      <c r="H161" s="151">
        <f>H110</f>
        <v>8150</v>
      </c>
      <c r="I161" s="151">
        <f>I110</f>
        <v>493.57299999999998</v>
      </c>
      <c r="J161" s="38">
        <f t="shared" si="73"/>
        <v>6.0561104294478518</v>
      </c>
      <c r="K161" s="151">
        <f>K110</f>
        <v>1123.6559999999999</v>
      </c>
      <c r="L161" s="38">
        <f t="shared" si="74"/>
        <v>13.787190184049077</v>
      </c>
      <c r="M161" s="151">
        <f>M110</f>
        <v>1763.8679999999999</v>
      </c>
      <c r="N161" s="394">
        <f t="shared" si="75"/>
        <v>21.642552147239265</v>
      </c>
      <c r="O161" s="151">
        <f>O110</f>
        <v>2792.8789999999999</v>
      </c>
      <c r="P161" s="394">
        <f t="shared" si="76"/>
        <v>34.268453987730055</v>
      </c>
      <c r="Q161" s="258">
        <f>Q110</f>
        <v>-5357.1210000000001</v>
      </c>
      <c r="R161" s="249" t="s">
        <v>1</v>
      </c>
      <c r="S161" s="373">
        <f>S110</f>
        <v>2794.8450000000003</v>
      </c>
      <c r="T161" s="373">
        <f>T110</f>
        <v>-5355.1549999999997</v>
      </c>
      <c r="U161" s="151">
        <f>U110</f>
        <v>13558</v>
      </c>
      <c r="V161" s="161">
        <f t="shared" si="77"/>
        <v>1.663558282208589</v>
      </c>
    </row>
    <row r="162" spans="1:23" x14ac:dyDescent="0.2">
      <c r="A162" s="106"/>
      <c r="B162" s="23"/>
      <c r="C162" s="106"/>
      <c r="D162" s="23"/>
      <c r="E162" s="62" t="s">
        <v>60</v>
      </c>
      <c r="F162" s="151">
        <f>F144</f>
        <v>2600</v>
      </c>
      <c r="G162" s="151">
        <f>G144</f>
        <v>17585.502630000003</v>
      </c>
      <c r="H162" s="151">
        <f>H144</f>
        <v>20185.502630000003</v>
      </c>
      <c r="I162" s="151">
        <f>I144</f>
        <v>22.28595</v>
      </c>
      <c r="J162" s="38">
        <f t="shared" si="73"/>
        <v>0.1104057224063288</v>
      </c>
      <c r="K162" s="151">
        <f>K144</f>
        <v>2522.28595</v>
      </c>
      <c r="L162" s="38">
        <f t="shared" si="74"/>
        <v>12.495532047100676</v>
      </c>
      <c r="M162" s="151">
        <f>M144</f>
        <v>2712.28595</v>
      </c>
      <c r="N162" s="394">
        <f t="shared" si="75"/>
        <v>13.436801647777447</v>
      </c>
      <c r="O162" s="151">
        <f>O144</f>
        <v>20186.201680000002</v>
      </c>
      <c r="P162" s="394">
        <f t="shared" si="76"/>
        <v>100.0034631290229</v>
      </c>
      <c r="Q162" s="258">
        <f>Q144</f>
        <v>0.69904999999999973</v>
      </c>
      <c r="R162" s="249"/>
      <c r="S162" s="373">
        <f>S144</f>
        <v>20184.285950000001</v>
      </c>
      <c r="T162" s="373">
        <f>T144</f>
        <v>-1.2166799999995419</v>
      </c>
      <c r="U162" s="151">
        <f>U144</f>
        <v>16084</v>
      </c>
      <c r="V162" s="161">
        <f t="shared" si="77"/>
        <v>6.1861538461538466</v>
      </c>
    </row>
    <row r="163" spans="1:23" ht="13.5" thickBot="1" x14ac:dyDescent="0.25">
      <c r="A163" s="124"/>
      <c r="B163" s="23"/>
      <c r="C163" s="106"/>
      <c r="D163" s="23"/>
      <c r="E163" s="125" t="s">
        <v>61</v>
      </c>
      <c r="F163" s="377">
        <f>SUM(F160:F162)</f>
        <v>157187</v>
      </c>
      <c r="G163" s="377">
        <f>SUM(G160:G162)</f>
        <v>30503.6342</v>
      </c>
      <c r="H163" s="173">
        <f>SUM(H160:H162)</f>
        <v>187690.63420000003</v>
      </c>
      <c r="I163" s="377">
        <f>SUM(I160:I162)</f>
        <v>43686.629549999998</v>
      </c>
      <c r="J163" s="47">
        <f t="shared" si="73"/>
        <v>23.2758708159344</v>
      </c>
      <c r="K163" s="377">
        <f>SUM(K160:K162)</f>
        <v>83083.193240000008</v>
      </c>
      <c r="L163" s="47">
        <f t="shared" si="74"/>
        <v>44.266030425081269</v>
      </c>
      <c r="M163" s="377">
        <f>SUM(M160:M162)</f>
        <v>130869.75034000001</v>
      </c>
      <c r="N163" s="396">
        <f t="shared" si="75"/>
        <v>69.726308346610082</v>
      </c>
      <c r="O163" s="377">
        <f>SUM(O160:O162)</f>
        <v>187033.54028999998</v>
      </c>
      <c r="P163" s="396">
        <f t="shared" si="76"/>
        <v>99.649905860886022</v>
      </c>
      <c r="Q163" s="353">
        <f>SUM(Q160:Q162)</f>
        <v>-657.09391000000346</v>
      </c>
      <c r="R163" s="252"/>
      <c r="S163" s="375">
        <f>SUM(S160:S162)</f>
        <v>185669.09799666668</v>
      </c>
      <c r="T163" s="375">
        <f>SUM(T160:T162)</f>
        <v>-1939.6012033333323</v>
      </c>
      <c r="U163" s="377">
        <f>SUM(U160:U162)</f>
        <v>178477</v>
      </c>
      <c r="V163" s="163">
        <f t="shared" si="77"/>
        <v>1.1354437707952947</v>
      </c>
    </row>
    <row r="164" spans="1:23" x14ac:dyDescent="0.2">
      <c r="R164" s="253"/>
    </row>
    <row r="165" spans="1:23" x14ac:dyDescent="0.2">
      <c r="A165" s="15"/>
      <c r="B165" s="130"/>
      <c r="C165" s="130"/>
      <c r="D165" s="514"/>
      <c r="E165" s="512"/>
      <c r="F165" s="148"/>
      <c r="G165" s="148"/>
      <c r="H165" s="387"/>
      <c r="I165" s="148"/>
      <c r="J165" s="117"/>
      <c r="K165" s="148"/>
      <c r="L165" s="117"/>
      <c r="M165" s="148"/>
      <c r="N165" s="117"/>
      <c r="O165" s="148"/>
      <c r="P165" s="117"/>
      <c r="Q165" s="520"/>
      <c r="R165" s="126"/>
      <c r="S165" s="215"/>
      <c r="T165" s="215"/>
      <c r="V165" s="130"/>
    </row>
    <row r="166" spans="1:23" x14ac:dyDescent="0.2">
      <c r="A166" s="130"/>
      <c r="B166" s="130"/>
      <c r="C166" s="130"/>
      <c r="D166" s="337"/>
      <c r="E166" s="512"/>
      <c r="F166" s="148"/>
      <c r="G166" s="148"/>
      <c r="H166" s="336"/>
      <c r="I166" s="148"/>
      <c r="J166" s="117"/>
      <c r="K166" s="148"/>
      <c r="L166" s="117"/>
      <c r="M166" s="148"/>
      <c r="N166" s="117"/>
      <c r="O166" s="148"/>
      <c r="P166" s="117"/>
      <c r="Q166" s="520"/>
      <c r="R166" s="126"/>
    </row>
    <row r="167" spans="1:23" x14ac:dyDescent="0.2">
      <c r="A167" s="130"/>
      <c r="B167" s="130"/>
      <c r="C167" s="130"/>
      <c r="D167" s="337"/>
      <c r="E167" s="512"/>
      <c r="F167" s="148"/>
      <c r="G167" s="148"/>
      <c r="H167" s="336"/>
      <c r="I167" s="148"/>
      <c r="J167" s="117"/>
      <c r="K167" s="148"/>
      <c r="L167" s="117"/>
      <c r="M167" s="148"/>
      <c r="N167" s="117"/>
      <c r="O167" s="148"/>
      <c r="P167" s="117"/>
      <c r="Q167" s="520"/>
      <c r="R167" s="253"/>
    </row>
    <row r="168" spans="1:23" x14ac:dyDescent="0.2">
      <c r="A168" s="130"/>
      <c r="B168" s="130"/>
      <c r="C168" s="130"/>
      <c r="D168" s="337"/>
      <c r="E168" s="512"/>
      <c r="F168" s="148"/>
      <c r="G168" s="148"/>
      <c r="H168" s="388"/>
      <c r="I168" s="148"/>
      <c r="J168" s="117"/>
      <c r="K168" s="148"/>
      <c r="L168" s="117"/>
      <c r="M168" s="148"/>
      <c r="N168" s="117"/>
      <c r="O168" s="148"/>
      <c r="P168" s="117"/>
      <c r="Q168" s="335"/>
      <c r="R168" s="126"/>
      <c r="S168" s="215"/>
      <c r="T168" s="215"/>
      <c r="V168" s="227"/>
    </row>
    <row r="169" spans="1:23" x14ac:dyDescent="0.2">
      <c r="A169" s="130"/>
      <c r="B169" s="130"/>
      <c r="C169" s="130"/>
      <c r="D169" s="337"/>
      <c r="E169" s="147"/>
      <c r="F169" s="148"/>
      <c r="G169" s="148"/>
      <c r="H169" s="388"/>
      <c r="I169" s="148"/>
      <c r="J169" s="117"/>
      <c r="K169" s="148"/>
      <c r="L169" s="117"/>
      <c r="M169" s="148"/>
      <c r="N169" s="117"/>
      <c r="O169" s="148"/>
      <c r="P169" s="117"/>
      <c r="Q169" s="520"/>
      <c r="R169" s="126"/>
    </row>
    <row r="170" spans="1:23" x14ac:dyDescent="0.2">
      <c r="A170" s="15"/>
      <c r="B170" s="130"/>
      <c r="C170" s="130"/>
      <c r="D170" s="337"/>
      <c r="E170" s="521"/>
      <c r="F170" s="148"/>
      <c r="G170" s="148"/>
      <c r="H170" s="389"/>
      <c r="I170" s="148"/>
      <c r="J170" s="117"/>
      <c r="K170" s="148"/>
      <c r="L170" s="117"/>
      <c r="M170" s="148"/>
      <c r="N170" s="117"/>
      <c r="O170" s="148"/>
      <c r="P170" s="117"/>
      <c r="Q170" s="520"/>
      <c r="R170" s="126"/>
      <c r="S170" s="215"/>
      <c r="T170" s="215"/>
      <c r="V170" s="253"/>
      <c r="W170" s="253"/>
    </row>
    <row r="171" spans="1:23" x14ac:dyDescent="0.2">
      <c r="D171" s="117"/>
      <c r="E171" s="454"/>
      <c r="F171" s="148"/>
      <c r="G171" s="148"/>
      <c r="I171" s="148"/>
      <c r="J171" s="117"/>
      <c r="K171" s="148"/>
      <c r="L171" s="117"/>
      <c r="M171" s="148"/>
      <c r="N171" s="117"/>
      <c r="O171" s="148"/>
      <c r="P171" s="117"/>
      <c r="Q171" s="335"/>
      <c r="R171" s="126"/>
    </row>
    <row r="172" spans="1:23" x14ac:dyDescent="0.2">
      <c r="D172" s="117"/>
      <c r="E172" s="454"/>
      <c r="F172" s="148"/>
      <c r="G172" s="148"/>
      <c r="I172" s="148"/>
      <c r="J172" s="117"/>
      <c r="K172" s="148"/>
      <c r="L172" s="117"/>
      <c r="M172" s="148"/>
      <c r="N172" s="117"/>
      <c r="O172" s="148"/>
      <c r="P172" s="117"/>
      <c r="Q172" s="335"/>
      <c r="R172" s="126"/>
    </row>
    <row r="173" spans="1:23" x14ac:dyDescent="0.2">
      <c r="E173" s="126"/>
      <c r="F173" s="341"/>
      <c r="G173" s="341"/>
      <c r="I173" s="341"/>
      <c r="K173" s="341"/>
      <c r="M173" s="341"/>
      <c r="O173" s="341"/>
      <c r="R173" s="126"/>
      <c r="U173" s="341"/>
    </row>
    <row r="174" spans="1:23" x14ac:dyDescent="0.2">
      <c r="R174" s="345"/>
    </row>
    <row r="175" spans="1:23" x14ac:dyDescent="0.2">
      <c r="R175" s="253"/>
    </row>
    <row r="178" spans="18:18" x14ac:dyDescent="0.2">
      <c r="R178" s="253"/>
    </row>
  </sheetData>
  <phoneticPr fontId="6" type="noConversion"/>
  <pageMargins left="0.70866141732283472" right="0.15748031496062992" top="0.27559055118110237" bottom="0.15748031496062992" header="0.19685039370078741" footer="0.15748031496062992"/>
  <pageSetup paperSize="9" scale="83" fitToWidth="0" fitToHeight="0" orientation="landscape" r:id="rId1"/>
  <headerFooter alignWithMargins="0">
    <oddHeader>&amp;R&amp;P+1.strana</oddHeader>
    <oddFooter xml:space="preserve">&amp;R
</oddFooter>
  </headerFooter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List3"/>
  <dimension ref="A1:GP900"/>
  <sheetViews>
    <sheetView zoomScaleNormal="100" workbookViewId="0">
      <pane xSplit="4" ySplit="4" topLeftCell="E85" activePane="bottomRight" state="frozen"/>
      <selection pane="topRight" activeCell="E1" sqref="E1"/>
      <selection pane="bottomLeft" activeCell="A5" sqref="A5"/>
      <selection pane="bottomRight" activeCell="AM1" sqref="AM1:AN1048576"/>
    </sheetView>
  </sheetViews>
  <sheetFormatPr defaultColWidth="7.85546875" defaultRowHeight="12.75" x14ac:dyDescent="0.2"/>
  <cols>
    <col min="1" max="1" width="3.28515625" style="95" customWidth="1"/>
    <col min="2" max="2" width="4.85546875" style="98" customWidth="1"/>
    <col min="3" max="3" width="5.28515625" style="98" bestFit="1" customWidth="1"/>
    <col min="4" max="4" width="27.42578125" style="224" customWidth="1"/>
    <col min="5" max="6" width="6.7109375" style="95" customWidth="1"/>
    <col min="7" max="7" width="6.7109375" style="117" customWidth="1"/>
    <col min="8" max="8" width="6.140625" style="204" customWidth="1"/>
    <col min="9" max="9" width="6.7109375" style="204" customWidth="1"/>
    <col min="10" max="10" width="6.85546875" style="117" customWidth="1"/>
    <col min="11" max="11" width="6.140625" style="117" customWidth="1"/>
    <col min="12" max="12" width="6.42578125" style="117" customWidth="1"/>
    <col min="13" max="14" width="6.28515625" style="95" hidden="1" customWidth="1"/>
    <col min="15" max="15" width="6.28515625" style="117" hidden="1" customWidth="1"/>
    <col min="16" max="16" width="4.28515625" style="117" hidden="1" customWidth="1"/>
    <col min="17" max="18" width="6.140625" style="95" hidden="1" customWidth="1"/>
    <col min="19" max="19" width="6.42578125" style="117" hidden="1" customWidth="1"/>
    <col min="20" max="20" width="3.7109375" style="117" hidden="1" customWidth="1"/>
    <col min="21" max="21" width="6.5703125" style="95" hidden="1" customWidth="1"/>
    <col min="22" max="22" width="5.7109375" style="95" hidden="1" customWidth="1"/>
    <col min="23" max="23" width="6.42578125" style="117" hidden="1" customWidth="1"/>
    <col min="24" max="24" width="3.28515625" style="117" hidden="1" customWidth="1"/>
    <col min="25" max="25" width="7" style="117" customWidth="1"/>
    <col min="26" max="26" width="7" style="95" customWidth="1"/>
    <col min="27" max="27" width="7" style="117" customWidth="1"/>
    <col min="28" max="28" width="4" style="117" customWidth="1"/>
    <col min="29" max="29" width="5.85546875" style="117" customWidth="1"/>
    <col min="30" max="30" width="6.7109375" style="95" customWidth="1"/>
    <col min="31" max="31" width="6.140625" style="95" customWidth="1"/>
    <col min="32" max="32" width="6.85546875" style="117" customWidth="1"/>
    <col min="33" max="33" width="3.7109375" style="117" customWidth="1"/>
    <col min="34" max="34" width="7.5703125" style="95" hidden="1" customWidth="1"/>
    <col min="35" max="35" width="6.140625" style="372" hidden="1" customWidth="1"/>
    <col min="36" max="36" width="25" style="117" customWidth="1"/>
    <col min="37" max="37" width="23.28515625" style="204" hidden="1" customWidth="1"/>
    <col min="38" max="38" width="23.28515625" style="360" hidden="1" customWidth="1"/>
    <col min="39" max="40" width="8.28515625" style="95" customWidth="1"/>
    <col min="41" max="41" width="3.7109375" style="117" hidden="1" customWidth="1"/>
    <col min="42" max="42" width="6.85546875" style="204" hidden="1" customWidth="1"/>
    <col min="43" max="43" width="6.7109375" style="204" hidden="1" customWidth="1"/>
    <col min="44" max="16384" width="7.85546875" style="95"/>
  </cols>
  <sheetData>
    <row r="1" spans="1:43" ht="18.75" thickBot="1" x14ac:dyDescent="0.3">
      <c r="A1" s="105" t="s">
        <v>486</v>
      </c>
      <c r="B1" s="309"/>
      <c r="C1" s="309"/>
      <c r="D1" s="308"/>
      <c r="E1" s="308"/>
      <c r="F1" s="308"/>
      <c r="G1" s="309"/>
      <c r="H1" s="309"/>
      <c r="I1" s="309"/>
      <c r="J1" s="309"/>
      <c r="K1" s="309"/>
      <c r="L1" s="309"/>
      <c r="M1" s="308"/>
      <c r="N1" s="308"/>
      <c r="O1" s="309"/>
      <c r="P1" s="309"/>
      <c r="Q1" s="308"/>
      <c r="R1" s="308"/>
      <c r="S1" s="309"/>
      <c r="T1" s="309"/>
      <c r="U1" s="308"/>
      <c r="V1" s="308"/>
      <c r="W1" s="309"/>
      <c r="X1" s="309"/>
      <c r="Y1" s="309"/>
      <c r="Z1" s="308"/>
      <c r="AA1" s="309"/>
      <c r="AB1" s="309"/>
      <c r="AC1" s="492"/>
      <c r="AD1" s="308"/>
      <c r="AE1" s="308"/>
      <c r="AF1" s="309"/>
      <c r="AG1" s="309"/>
      <c r="AH1" s="308"/>
      <c r="AI1" s="361"/>
      <c r="AJ1" s="494"/>
      <c r="AK1" s="309"/>
      <c r="AL1" s="358"/>
      <c r="AM1" s="23"/>
      <c r="AN1" s="117"/>
      <c r="AP1" s="309"/>
      <c r="AQ1" s="309"/>
    </row>
    <row r="2" spans="1:43" x14ac:dyDescent="0.2">
      <c r="A2" s="135"/>
      <c r="B2" s="99"/>
      <c r="C2" s="99"/>
      <c r="D2" s="537"/>
      <c r="E2" s="177"/>
      <c r="F2" s="177" t="s">
        <v>358</v>
      </c>
      <c r="G2" s="177"/>
      <c r="H2" s="612" t="s">
        <v>3</v>
      </c>
      <c r="I2" s="613"/>
      <c r="J2" s="420"/>
      <c r="K2" s="48" t="s">
        <v>101</v>
      </c>
      <c r="L2" s="177"/>
      <c r="M2" s="177"/>
      <c r="N2" s="177" t="s">
        <v>410</v>
      </c>
      <c r="O2" s="177"/>
      <c r="P2" s="177"/>
      <c r="Q2" s="177"/>
      <c r="R2" s="177" t="s">
        <v>412</v>
      </c>
      <c r="S2" s="177"/>
      <c r="T2" s="177"/>
      <c r="U2" s="177"/>
      <c r="V2" s="177" t="s">
        <v>409</v>
      </c>
      <c r="W2" s="177"/>
      <c r="X2" s="177"/>
      <c r="Y2" s="177"/>
      <c r="Z2" s="177" t="s">
        <v>413</v>
      </c>
      <c r="AA2" s="177"/>
      <c r="AB2" s="177"/>
      <c r="AC2" s="399"/>
      <c r="AD2" s="177"/>
      <c r="AE2" s="177" t="s">
        <v>411</v>
      </c>
      <c r="AF2" s="177"/>
      <c r="AG2" s="177"/>
      <c r="AH2" s="177" t="s">
        <v>367</v>
      </c>
      <c r="AI2" s="362" t="s">
        <v>123</v>
      </c>
      <c r="AJ2" s="177"/>
      <c r="AK2" s="378"/>
      <c r="AL2" s="433"/>
      <c r="AM2" s="442"/>
      <c r="AN2" s="310"/>
      <c r="AO2" s="534"/>
      <c r="AP2" s="612" t="s">
        <v>359</v>
      </c>
      <c r="AQ2" s="613"/>
    </row>
    <row r="3" spans="1:43" x14ac:dyDescent="0.2">
      <c r="A3" s="90"/>
      <c r="B3" s="32"/>
      <c r="C3" s="32"/>
      <c r="D3" s="425"/>
      <c r="E3" s="49">
        <v>2018</v>
      </c>
      <c r="F3" s="50">
        <v>2018</v>
      </c>
      <c r="G3" s="89">
        <v>2018</v>
      </c>
      <c r="H3" s="185">
        <v>2018</v>
      </c>
      <c r="I3" s="186">
        <v>2018</v>
      </c>
      <c r="J3" s="49">
        <v>2018</v>
      </c>
      <c r="K3" s="50">
        <v>2018</v>
      </c>
      <c r="L3" s="89">
        <v>2018</v>
      </c>
      <c r="M3" s="49">
        <v>2018</v>
      </c>
      <c r="N3" s="50">
        <v>2018</v>
      </c>
      <c r="O3" s="89">
        <v>2018</v>
      </c>
      <c r="P3" s="89"/>
      <c r="Q3" s="49">
        <v>2018</v>
      </c>
      <c r="R3" s="50">
        <v>2018</v>
      </c>
      <c r="S3" s="89">
        <v>2018</v>
      </c>
      <c r="T3" s="89"/>
      <c r="U3" s="49">
        <v>2018</v>
      </c>
      <c r="V3" s="50">
        <v>2018</v>
      </c>
      <c r="W3" s="89">
        <v>2018</v>
      </c>
      <c r="X3" s="89"/>
      <c r="Y3" s="49">
        <v>2018</v>
      </c>
      <c r="Z3" s="50">
        <v>2018</v>
      </c>
      <c r="AA3" s="89">
        <v>2018</v>
      </c>
      <c r="AB3" s="89"/>
      <c r="AC3" s="400" t="s">
        <v>287</v>
      </c>
      <c r="AD3" s="49">
        <v>2019</v>
      </c>
      <c r="AE3" s="50">
        <v>2019</v>
      </c>
      <c r="AF3" s="89">
        <v>2019</v>
      </c>
      <c r="AG3" s="89"/>
      <c r="AH3" s="50">
        <v>2019</v>
      </c>
      <c r="AI3" s="363" t="s">
        <v>133</v>
      </c>
      <c r="AJ3" s="89"/>
      <c r="AK3" s="186" t="s">
        <v>359</v>
      </c>
      <c r="AL3" s="434">
        <v>2017</v>
      </c>
      <c r="AM3" s="392" t="s">
        <v>157</v>
      </c>
      <c r="AN3" s="443" t="s">
        <v>167</v>
      </c>
      <c r="AO3" s="535"/>
      <c r="AP3" s="185">
        <v>2018</v>
      </c>
      <c r="AQ3" s="186">
        <v>2018</v>
      </c>
    </row>
    <row r="4" spans="1:43" ht="13.5" thickBot="1" x14ac:dyDescent="0.25">
      <c r="A4" s="51" t="s">
        <v>62</v>
      </c>
      <c r="B4" s="27" t="s">
        <v>21</v>
      </c>
      <c r="C4" s="27" t="s">
        <v>22</v>
      </c>
      <c r="D4" s="426" t="s">
        <v>63</v>
      </c>
      <c r="E4" s="51" t="s">
        <v>64</v>
      </c>
      <c r="F4" s="27" t="s">
        <v>65</v>
      </c>
      <c r="G4" s="52" t="s">
        <v>66</v>
      </c>
      <c r="H4" s="187" t="s">
        <v>64</v>
      </c>
      <c r="I4" s="459" t="s">
        <v>65</v>
      </c>
      <c r="J4" s="398" t="s">
        <v>64</v>
      </c>
      <c r="K4" s="27" t="s">
        <v>65</v>
      </c>
      <c r="L4" s="52" t="s">
        <v>66</v>
      </c>
      <c r="M4" s="51" t="s">
        <v>64</v>
      </c>
      <c r="N4" s="27" t="s">
        <v>65</v>
      </c>
      <c r="O4" s="52" t="s">
        <v>66</v>
      </c>
      <c r="P4" s="52" t="s">
        <v>4</v>
      </c>
      <c r="Q4" s="51" t="s">
        <v>64</v>
      </c>
      <c r="R4" s="27" t="s">
        <v>65</v>
      </c>
      <c r="S4" s="52" t="s">
        <v>66</v>
      </c>
      <c r="T4" s="52" t="s">
        <v>4</v>
      </c>
      <c r="U4" s="51" t="s">
        <v>64</v>
      </c>
      <c r="V4" s="27" t="s">
        <v>65</v>
      </c>
      <c r="W4" s="52" t="s">
        <v>66</v>
      </c>
      <c r="X4" s="52" t="s">
        <v>4</v>
      </c>
      <c r="Y4" s="51" t="s">
        <v>64</v>
      </c>
      <c r="Z4" s="27" t="s">
        <v>65</v>
      </c>
      <c r="AA4" s="52" t="s">
        <v>66</v>
      </c>
      <c r="AB4" s="52" t="s">
        <v>4</v>
      </c>
      <c r="AC4" s="401" t="s">
        <v>190</v>
      </c>
      <c r="AD4" s="51" t="s">
        <v>64</v>
      </c>
      <c r="AE4" s="27" t="s">
        <v>65</v>
      </c>
      <c r="AF4" s="52" t="s">
        <v>66</v>
      </c>
      <c r="AG4" s="52" t="s">
        <v>4</v>
      </c>
      <c r="AH4" s="27"/>
      <c r="AI4" s="364" t="s">
        <v>414</v>
      </c>
      <c r="AJ4" s="52" t="s">
        <v>271</v>
      </c>
      <c r="AK4" s="459">
        <v>2017</v>
      </c>
      <c r="AL4" s="435" t="s">
        <v>279</v>
      </c>
      <c r="AM4" s="393" t="s">
        <v>156</v>
      </c>
      <c r="AN4" s="444" t="s">
        <v>161</v>
      </c>
      <c r="AO4" s="536" t="s">
        <v>326</v>
      </c>
      <c r="AP4" s="187" t="s">
        <v>64</v>
      </c>
      <c r="AQ4" s="459" t="s">
        <v>65</v>
      </c>
    </row>
    <row r="5" spans="1:43" x14ac:dyDescent="0.2">
      <c r="A5" s="136">
        <v>10</v>
      </c>
      <c r="B5" s="68"/>
      <c r="C5" s="68"/>
      <c r="D5" s="419" t="s">
        <v>67</v>
      </c>
      <c r="E5" s="53">
        <f t="shared" ref="E5:O5" si="0">SUM(E6:E9)</f>
        <v>1313</v>
      </c>
      <c r="F5" s="54">
        <f t="shared" si="0"/>
        <v>540</v>
      </c>
      <c r="G5" s="179">
        <f t="shared" si="0"/>
        <v>1853</v>
      </c>
      <c r="H5" s="188">
        <f t="shared" si="0"/>
        <v>140.86599999999999</v>
      </c>
      <c r="I5" s="189">
        <f t="shared" si="0"/>
        <v>0</v>
      </c>
      <c r="J5" s="53">
        <f t="shared" si="0"/>
        <v>1453.866</v>
      </c>
      <c r="K5" s="54">
        <f t="shared" si="0"/>
        <v>540</v>
      </c>
      <c r="L5" s="179">
        <f t="shared" si="0"/>
        <v>1993.866</v>
      </c>
      <c r="M5" s="53">
        <f t="shared" si="0"/>
        <v>125.38142999999999</v>
      </c>
      <c r="N5" s="54">
        <f t="shared" si="0"/>
        <v>50.335999999999999</v>
      </c>
      <c r="O5" s="179">
        <f t="shared" si="0"/>
        <v>175.71742999999998</v>
      </c>
      <c r="P5" s="179">
        <f>O5/$L5*100</f>
        <v>8.8129006663436744</v>
      </c>
      <c r="Q5" s="53">
        <f>SUM(Q6:Q9)</f>
        <v>453.29825</v>
      </c>
      <c r="R5" s="54">
        <f>SUM(R6:R9)</f>
        <v>50.335999999999999</v>
      </c>
      <c r="S5" s="179">
        <f>SUM(S6:S9)</f>
        <v>503.63425000000001</v>
      </c>
      <c r="T5" s="179">
        <f>S5/$L5*100</f>
        <v>25.259182412459012</v>
      </c>
      <c r="U5" s="53">
        <f>SUM(U6:U9)</f>
        <v>705.22669999999994</v>
      </c>
      <c r="V5" s="54">
        <f>SUM(V6:V9)</f>
        <v>50.335999999999999</v>
      </c>
      <c r="W5" s="179">
        <f>SUM(W6:W9)</f>
        <v>755.56269999999995</v>
      </c>
      <c r="X5" s="179">
        <f>W5/$L5*100</f>
        <v>37.894356992897215</v>
      </c>
      <c r="Y5" s="53">
        <f>SUM(Y6:Y9)</f>
        <v>1068.5601799999999</v>
      </c>
      <c r="Z5" s="54">
        <f>SUM(Z6:Z9)</f>
        <v>50.335999999999999</v>
      </c>
      <c r="AA5" s="179">
        <f>SUM(AA6:AA9)</f>
        <v>1118.89618</v>
      </c>
      <c r="AB5" s="179">
        <f>AA5/$L5*100</f>
        <v>56.116919592389856</v>
      </c>
      <c r="AC5" s="402">
        <f>SUM(AC6:AC9)</f>
        <v>874.96982000000014</v>
      </c>
      <c r="AD5" s="53">
        <f>SUM(AD6:AD9)</f>
        <v>1228</v>
      </c>
      <c r="AE5" s="54">
        <f>SUM(AE6:AE9)</f>
        <v>932</v>
      </c>
      <c r="AF5" s="179">
        <f>SUM(AF6:AF9)</f>
        <v>2160</v>
      </c>
      <c r="AG5" s="179">
        <f>AF5/$G5*100</f>
        <v>116.56772800863465</v>
      </c>
      <c r="AH5" s="54">
        <f>SUM(AH6:AH9)</f>
        <v>2230</v>
      </c>
      <c r="AI5" s="365">
        <f>AH5/G5</f>
        <v>1.2034538586076633</v>
      </c>
      <c r="AJ5" s="179"/>
      <c r="AK5" s="189">
        <f>SUM(AK6:AK9)</f>
        <v>0</v>
      </c>
      <c r="AL5" s="436">
        <f>SUM(AL6:AL9)</f>
        <v>1603.866</v>
      </c>
      <c r="AM5" s="55"/>
      <c r="AN5" s="74"/>
      <c r="AP5" s="188">
        <f>SUM(AP6:AP9)</f>
        <v>1203.866</v>
      </c>
      <c r="AQ5" s="189">
        <f>SUM(AQ6:AQ9)</f>
        <v>51</v>
      </c>
    </row>
    <row r="6" spans="1:43" x14ac:dyDescent="0.2">
      <c r="A6" s="137"/>
      <c r="B6" s="29">
        <v>1031</v>
      </c>
      <c r="C6" s="29">
        <v>201</v>
      </c>
      <c r="D6" s="211" t="s">
        <v>197</v>
      </c>
      <c r="E6" s="46">
        <f>569+494</f>
        <v>1063</v>
      </c>
      <c r="F6" s="29">
        <v>400</v>
      </c>
      <c r="G6" s="57">
        <f>E6+F6</f>
        <v>1463</v>
      </c>
      <c r="H6" s="196">
        <f>14.215+26.935</f>
        <v>41.15</v>
      </c>
      <c r="I6" s="191"/>
      <c r="J6" s="46">
        <f t="shared" ref="J6:K9" si="1">E6+H6</f>
        <v>1104.1500000000001</v>
      </c>
      <c r="K6" s="29">
        <f t="shared" si="1"/>
        <v>400</v>
      </c>
      <c r="L6" s="57">
        <f>SUM(J6:K6)</f>
        <v>1504.15</v>
      </c>
      <c r="M6" s="46">
        <f>140.40343-N7+35.314</f>
        <v>125.38142999999999</v>
      </c>
      <c r="N6" s="29"/>
      <c r="O6" s="57">
        <f>M6+N6</f>
        <v>125.38142999999999</v>
      </c>
      <c r="P6" s="57">
        <f>O6/$L6*100</f>
        <v>8.3356998969517662</v>
      </c>
      <c r="Q6" s="46">
        <f>467.62025-R7+36.014</f>
        <v>453.29825</v>
      </c>
      <c r="R6" s="29"/>
      <c r="S6" s="57">
        <f>Q6+R6</f>
        <v>453.29825</v>
      </c>
      <c r="T6" s="57">
        <f>S6/$L6*100</f>
        <v>30.136505667652823</v>
      </c>
      <c r="U6" s="46">
        <f>719.8557-V7+35.707</f>
        <v>705.22669999999994</v>
      </c>
      <c r="V6" s="29"/>
      <c r="W6" s="57">
        <f>U6+V6</f>
        <v>705.22669999999994</v>
      </c>
      <c r="X6" s="57">
        <f>W6/$L6*100</f>
        <v>46.885397068111551</v>
      </c>
      <c r="Y6" s="46">
        <f>1019.18018-Z7</f>
        <v>968.84417999999994</v>
      </c>
      <c r="Z6" s="29"/>
      <c r="AA6" s="57">
        <f>Y6+Z6</f>
        <v>968.84417999999994</v>
      </c>
      <c r="AB6" s="57">
        <f>AA6/$L6*100</f>
        <v>64.411407107003953</v>
      </c>
      <c r="AC6" s="403">
        <f>L6-AA6</f>
        <v>535.30582000000015</v>
      </c>
      <c r="AD6" s="46">
        <f>695+533</f>
        <v>1228</v>
      </c>
      <c r="AE6" s="29">
        <v>402</v>
      </c>
      <c r="AF6" s="57">
        <f>AD6+AE6</f>
        <v>1630</v>
      </c>
      <c r="AG6" s="57">
        <f>AF6/$G6*100</f>
        <v>111.41490088858509</v>
      </c>
      <c r="AH6" s="29">
        <f>695+402+533</f>
        <v>1630</v>
      </c>
      <c r="AI6" s="366">
        <f>AH6/G6</f>
        <v>1.114149008885851</v>
      </c>
      <c r="AJ6" s="57" t="s">
        <v>492</v>
      </c>
      <c r="AK6" s="191"/>
      <c r="AL6" s="437">
        <f>L6-AK6</f>
        <v>1504.15</v>
      </c>
      <c r="AM6" s="326" t="s">
        <v>355</v>
      </c>
      <c r="AN6" s="313" t="s">
        <v>68</v>
      </c>
      <c r="AP6" s="192">
        <f>J6</f>
        <v>1104.1500000000001</v>
      </c>
      <c r="AQ6" s="505">
        <v>0</v>
      </c>
    </row>
    <row r="7" spans="1:43" x14ac:dyDescent="0.2">
      <c r="A7" s="137"/>
      <c r="B7" s="29">
        <v>1031</v>
      </c>
      <c r="C7" s="29">
        <v>201</v>
      </c>
      <c r="D7" s="211" t="s">
        <v>368</v>
      </c>
      <c r="E7" s="46"/>
      <c r="F7" s="29">
        <v>140</v>
      </c>
      <c r="G7" s="57">
        <f>E7+F7</f>
        <v>140</v>
      </c>
      <c r="H7" s="190"/>
      <c r="I7" s="191"/>
      <c r="J7" s="46"/>
      <c r="K7" s="29">
        <f t="shared" si="1"/>
        <v>140</v>
      </c>
      <c r="L7" s="57">
        <f>SUM(J7:K7)</f>
        <v>140</v>
      </c>
      <c r="M7" s="46"/>
      <c r="N7" s="497">
        <v>50.335999999999999</v>
      </c>
      <c r="O7" s="57">
        <f>M7+N7</f>
        <v>50.335999999999999</v>
      </c>
      <c r="P7" s="57"/>
      <c r="Q7" s="46"/>
      <c r="R7" s="497">
        <v>50.335999999999999</v>
      </c>
      <c r="S7" s="57">
        <f>Q7+R7</f>
        <v>50.335999999999999</v>
      </c>
      <c r="T7" s="57"/>
      <c r="U7" s="46"/>
      <c r="V7" s="29">
        <v>50.335999999999999</v>
      </c>
      <c r="W7" s="57">
        <f>U7+V7</f>
        <v>50.335999999999999</v>
      </c>
      <c r="X7" s="57">
        <f>W7/$L7*100</f>
        <v>35.95428571428571</v>
      </c>
      <c r="Y7" s="46"/>
      <c r="Z7" s="29">
        <v>50.335999999999999</v>
      </c>
      <c r="AA7" s="57">
        <f>Y7+Z7</f>
        <v>50.335999999999999</v>
      </c>
      <c r="AB7" s="57"/>
      <c r="AC7" s="403">
        <f>L7-AA7</f>
        <v>89.664000000000001</v>
      </c>
      <c r="AD7" s="46"/>
      <c r="AE7" s="29">
        <v>530</v>
      </c>
      <c r="AF7" s="57">
        <f>AD7+AE7</f>
        <v>530</v>
      </c>
      <c r="AG7" s="57">
        <f>AF7/$G7*100</f>
        <v>378.57142857142856</v>
      </c>
      <c r="AH7" s="29">
        <v>600</v>
      </c>
      <c r="AI7" s="366">
        <f>AH7/G7</f>
        <v>4.2857142857142856</v>
      </c>
      <c r="AJ7" s="57"/>
      <c r="AK7" s="191"/>
      <c r="AL7" s="437"/>
      <c r="AM7" s="326" t="s">
        <v>355</v>
      </c>
      <c r="AN7" s="313" t="s">
        <v>120</v>
      </c>
      <c r="AP7" s="192">
        <f>J7</f>
        <v>0</v>
      </c>
      <c r="AQ7" s="506">
        <v>51</v>
      </c>
    </row>
    <row r="8" spans="1:43" x14ac:dyDescent="0.2">
      <c r="A8" s="137"/>
      <c r="B8" s="29">
        <v>1037</v>
      </c>
      <c r="C8" s="29">
        <v>202</v>
      </c>
      <c r="D8" s="211" t="s">
        <v>354</v>
      </c>
      <c r="E8" s="46">
        <v>250</v>
      </c>
      <c r="F8" s="29"/>
      <c r="G8" s="57">
        <f>E8+F8</f>
        <v>250</v>
      </c>
      <c r="H8" s="190"/>
      <c r="I8" s="191"/>
      <c r="J8" s="46">
        <f t="shared" si="1"/>
        <v>250</v>
      </c>
      <c r="K8" s="29">
        <f t="shared" si="1"/>
        <v>0</v>
      </c>
      <c r="L8" s="57">
        <f>SUM(J8:K8)</f>
        <v>250</v>
      </c>
      <c r="M8" s="46"/>
      <c r="N8" s="29"/>
      <c r="O8" s="57">
        <f>M8+N8</f>
        <v>0</v>
      </c>
      <c r="P8" s="57">
        <f>O8/$L8*100</f>
        <v>0</v>
      </c>
      <c r="Q8" s="46"/>
      <c r="R8" s="29"/>
      <c r="S8" s="57">
        <f>Q8+R8</f>
        <v>0</v>
      </c>
      <c r="T8" s="57">
        <f>S8/$L8*100</f>
        <v>0</v>
      </c>
      <c r="U8" s="46"/>
      <c r="V8" s="29"/>
      <c r="W8" s="57">
        <f>U8+V8</f>
        <v>0</v>
      </c>
      <c r="X8" s="57">
        <f>W8/$L8*100</f>
        <v>0</v>
      </c>
      <c r="Y8" s="46"/>
      <c r="Z8" s="29"/>
      <c r="AA8" s="57">
        <f>Y8+Z8</f>
        <v>0</v>
      </c>
      <c r="AB8" s="57">
        <f>AA8/$L8*100</f>
        <v>0</v>
      </c>
      <c r="AC8" s="403">
        <f t="shared" ref="AC8:AC9" si="2">L8-AA8</f>
        <v>250</v>
      </c>
      <c r="AD8" s="46"/>
      <c r="AE8" s="29"/>
      <c r="AF8" s="57">
        <f>AD8+AE8</f>
        <v>0</v>
      </c>
      <c r="AG8" s="57">
        <f>AF8/$G8*100</f>
        <v>0</v>
      </c>
      <c r="AH8" s="29"/>
      <c r="AI8" s="366">
        <f>AH8/G8</f>
        <v>0</v>
      </c>
      <c r="AJ8" s="57"/>
      <c r="AK8" s="191"/>
      <c r="AL8" s="437"/>
      <c r="AM8" s="326" t="s">
        <v>355</v>
      </c>
      <c r="AN8" s="313" t="s">
        <v>120</v>
      </c>
      <c r="AP8" s="504">
        <v>0</v>
      </c>
      <c r="AQ8" s="191"/>
    </row>
    <row r="9" spans="1:43" ht="13.5" customHeight="1" x14ac:dyDescent="0.2">
      <c r="A9" s="137"/>
      <c r="B9" s="29">
        <v>1036</v>
      </c>
      <c r="C9" s="29">
        <v>109</v>
      </c>
      <c r="D9" s="211" t="s">
        <v>158</v>
      </c>
      <c r="E9" s="46"/>
      <c r="F9" s="16"/>
      <c r="G9" s="57">
        <f>E9+F9</f>
        <v>0</v>
      </c>
      <c r="H9" s="196">
        <v>99.715999999999994</v>
      </c>
      <c r="I9" s="191"/>
      <c r="J9" s="46">
        <f t="shared" si="1"/>
        <v>99.715999999999994</v>
      </c>
      <c r="K9" s="16">
        <f t="shared" si="1"/>
        <v>0</v>
      </c>
      <c r="L9" s="57">
        <f>SUM(J9:K9)</f>
        <v>99.715999999999994</v>
      </c>
      <c r="M9" s="46"/>
      <c r="N9" s="16"/>
      <c r="O9" s="57">
        <f>M9+N9</f>
        <v>0</v>
      </c>
      <c r="P9" s="57"/>
      <c r="Q9" s="46"/>
      <c r="R9" s="16"/>
      <c r="S9" s="57">
        <f>Q9+R9</f>
        <v>0</v>
      </c>
      <c r="T9" s="57"/>
      <c r="U9" s="46">
        <v>0</v>
      </c>
      <c r="V9" s="16"/>
      <c r="W9" s="57">
        <f>U9+V9</f>
        <v>0</v>
      </c>
      <c r="X9" s="57"/>
      <c r="Y9" s="46">
        <v>99.715999999999994</v>
      </c>
      <c r="Z9" s="16"/>
      <c r="AA9" s="57">
        <f>Y9+Z9</f>
        <v>99.715999999999994</v>
      </c>
      <c r="AB9" s="57"/>
      <c r="AC9" s="403">
        <f t="shared" si="2"/>
        <v>0</v>
      </c>
      <c r="AD9" s="46"/>
      <c r="AE9" s="16"/>
      <c r="AF9" s="57">
        <f>AD9+AE9</f>
        <v>0</v>
      </c>
      <c r="AG9" s="57"/>
      <c r="AH9" s="16"/>
      <c r="AI9" s="366"/>
      <c r="AJ9" s="57" t="s">
        <v>144</v>
      </c>
      <c r="AK9" s="191"/>
      <c r="AL9" s="437">
        <f>L9-AK9</f>
        <v>99.715999999999994</v>
      </c>
      <c r="AM9" s="334" t="s">
        <v>206</v>
      </c>
      <c r="AN9" s="312" t="s">
        <v>255</v>
      </c>
      <c r="AP9" s="192">
        <f>J9</f>
        <v>99.715999999999994</v>
      </c>
      <c r="AQ9" s="191"/>
    </row>
    <row r="10" spans="1:43" x14ac:dyDescent="0.2">
      <c r="A10" s="138">
        <v>21</v>
      </c>
      <c r="B10" s="24"/>
      <c r="C10" s="24"/>
      <c r="D10" s="427" t="s">
        <v>265</v>
      </c>
      <c r="E10" s="58">
        <f t="shared" ref="E10:O10" si="3">SUM(E11:E15)</f>
        <v>1229</v>
      </c>
      <c r="F10" s="59">
        <f t="shared" si="3"/>
        <v>860</v>
      </c>
      <c r="G10" s="60">
        <f t="shared" si="3"/>
        <v>2089</v>
      </c>
      <c r="H10" s="194">
        <f t="shared" si="3"/>
        <v>170.999</v>
      </c>
      <c r="I10" s="195">
        <f t="shared" si="3"/>
        <v>-150</v>
      </c>
      <c r="J10" s="58">
        <f t="shared" si="3"/>
        <v>1399.999</v>
      </c>
      <c r="K10" s="59">
        <f t="shared" si="3"/>
        <v>710</v>
      </c>
      <c r="L10" s="60">
        <f t="shared" si="3"/>
        <v>2109.9989999999998</v>
      </c>
      <c r="M10" s="58">
        <f t="shared" si="3"/>
        <v>227.03667000000002</v>
      </c>
      <c r="N10" s="59">
        <f t="shared" si="3"/>
        <v>7.5129999999999999</v>
      </c>
      <c r="O10" s="60">
        <f t="shared" si="3"/>
        <v>234.54966999999999</v>
      </c>
      <c r="P10" s="60">
        <f t="shared" ref="P10:P16" si="4">O10/$L10*100</f>
        <v>11.116103372560842</v>
      </c>
      <c r="Q10" s="58">
        <f>SUM(Q11:Q15)</f>
        <v>436.9991</v>
      </c>
      <c r="R10" s="59">
        <f>SUM(R11:R15)</f>
        <v>7.5129999999999999</v>
      </c>
      <c r="S10" s="60">
        <f>SUM(S11:S15)</f>
        <v>444.51210000000003</v>
      </c>
      <c r="T10" s="60">
        <f t="shared" ref="T10:T64" si="5">S10/$L10*100</f>
        <v>21.066934154945098</v>
      </c>
      <c r="U10" s="58">
        <f>SUM(U11:U15)</f>
        <v>542.49049999999988</v>
      </c>
      <c r="V10" s="59">
        <f>SUM(V11:V15)</f>
        <v>7.5129999999999999</v>
      </c>
      <c r="W10" s="60">
        <f>SUM(W11:W15)</f>
        <v>550.00350000000003</v>
      </c>
      <c r="X10" s="60">
        <f t="shared" ref="X10:X63" si="6">W10/$L10*100</f>
        <v>26.066528941482915</v>
      </c>
      <c r="Y10" s="58">
        <f>SUM(Y11:Y15)</f>
        <v>1113.5317399999999</v>
      </c>
      <c r="Z10" s="59">
        <f>SUM(Z11:Z15)</f>
        <v>154.13</v>
      </c>
      <c r="AA10" s="60">
        <f>SUM(AA11:AA15)</f>
        <v>1267.66174</v>
      </c>
      <c r="AB10" s="60">
        <f t="shared" ref="AB10:AB61" si="7">AA10/$L10*100</f>
        <v>60.07878392359428</v>
      </c>
      <c r="AC10" s="404">
        <f>SUM(AC11:AC15)</f>
        <v>842.3372599999999</v>
      </c>
      <c r="AD10" s="58">
        <f>SUM(AD11:AD15)</f>
        <v>1050</v>
      </c>
      <c r="AE10" s="59">
        <f>SUM(AE11:AE15)</f>
        <v>710</v>
      </c>
      <c r="AF10" s="60">
        <f>SUM(AF11:AF15)</f>
        <v>1760</v>
      </c>
      <c r="AG10" s="60">
        <f t="shared" ref="AG10:AG17" si="8">AF10/$G10*100</f>
        <v>84.250837721397801</v>
      </c>
      <c r="AH10" s="59">
        <f>SUM(AH11:AH15)</f>
        <v>1910</v>
      </c>
      <c r="AI10" s="367">
        <f t="shared" ref="AI10:AI16" si="9">AH10/G10</f>
        <v>0.91431306845380567</v>
      </c>
      <c r="AJ10" s="60"/>
      <c r="AK10" s="195">
        <f>SUM(AK11:AK15)</f>
        <v>0</v>
      </c>
      <c r="AL10" s="438">
        <f>SUM(AL11:AL15)</f>
        <v>2109.9989999999998</v>
      </c>
      <c r="AM10" s="55"/>
      <c r="AN10" s="74"/>
      <c r="AP10" s="194">
        <f>SUM(AP11:AP15)</f>
        <v>1349.999</v>
      </c>
      <c r="AQ10" s="195">
        <f>SUM(AQ11:AQ15)</f>
        <v>550</v>
      </c>
    </row>
    <row r="11" spans="1:43" x14ac:dyDescent="0.2">
      <c r="A11" s="62"/>
      <c r="B11" s="29">
        <v>2121</v>
      </c>
      <c r="C11" s="29">
        <v>20</v>
      </c>
      <c r="D11" s="211" t="s">
        <v>92</v>
      </c>
      <c r="E11" s="46"/>
      <c r="F11" s="16">
        <v>410</v>
      </c>
      <c r="G11" s="57">
        <f>E11+F11</f>
        <v>410</v>
      </c>
      <c r="H11" s="190"/>
      <c r="I11" s="191"/>
      <c r="J11" s="46">
        <f t="shared" ref="J11:K13" si="10">E11+H11</f>
        <v>0</v>
      </c>
      <c r="K11" s="29">
        <f t="shared" si="10"/>
        <v>410</v>
      </c>
      <c r="L11" s="57">
        <f>SUM(J11:K11)</f>
        <v>410</v>
      </c>
      <c r="M11" s="46"/>
      <c r="N11" s="16">
        <v>7.5129999999999999</v>
      </c>
      <c r="O11" s="57">
        <f>M11+N11</f>
        <v>7.5129999999999999</v>
      </c>
      <c r="P11" s="57">
        <f t="shared" si="4"/>
        <v>1.832439024390244</v>
      </c>
      <c r="Q11" s="46"/>
      <c r="R11" s="16">
        <v>7.5129999999999999</v>
      </c>
      <c r="S11" s="57">
        <f>Q11+R11</f>
        <v>7.5129999999999999</v>
      </c>
      <c r="T11" s="57">
        <f t="shared" si="5"/>
        <v>1.832439024390244</v>
      </c>
      <c r="U11" s="46"/>
      <c r="V11" s="16">
        <v>7.5129999999999999</v>
      </c>
      <c r="W11" s="57">
        <f>U11+V11</f>
        <v>7.5129999999999999</v>
      </c>
      <c r="X11" s="57">
        <f t="shared" si="6"/>
        <v>1.832439024390244</v>
      </c>
      <c r="Y11" s="46"/>
      <c r="Z11" s="16">
        <v>7.5129999999999999</v>
      </c>
      <c r="AA11" s="57">
        <f>Y11+Z11</f>
        <v>7.5129999999999999</v>
      </c>
      <c r="AB11" s="57">
        <f t="shared" si="7"/>
        <v>1.832439024390244</v>
      </c>
      <c r="AC11" s="403">
        <f t="shared" ref="AC11:AC15" si="11">L11-AA11</f>
        <v>402.48700000000002</v>
      </c>
      <c r="AD11" s="46"/>
      <c r="AE11" s="16">
        <v>410</v>
      </c>
      <c r="AF11" s="57">
        <f>AD11+AE11</f>
        <v>410</v>
      </c>
      <c r="AG11" s="57">
        <f t="shared" si="8"/>
        <v>100</v>
      </c>
      <c r="AH11" s="16">
        <v>410</v>
      </c>
      <c r="AI11" s="366">
        <f t="shared" si="9"/>
        <v>1</v>
      </c>
      <c r="AJ11" s="57" t="s">
        <v>455</v>
      </c>
      <c r="AK11" s="191"/>
      <c r="AL11" s="437">
        <f>L11-AK11</f>
        <v>410</v>
      </c>
      <c r="AM11" s="326" t="s">
        <v>68</v>
      </c>
      <c r="AN11" s="313" t="s">
        <v>120</v>
      </c>
      <c r="AP11" s="192">
        <f>J11</f>
        <v>0</v>
      </c>
      <c r="AQ11" s="505">
        <v>250</v>
      </c>
    </row>
    <row r="12" spans="1:43" x14ac:dyDescent="0.2">
      <c r="A12" s="62"/>
      <c r="B12" s="29">
        <v>2121</v>
      </c>
      <c r="C12" s="29">
        <v>237</v>
      </c>
      <c r="D12" s="211" t="s">
        <v>175</v>
      </c>
      <c r="E12" s="46">
        <f>529-150</f>
        <v>379</v>
      </c>
      <c r="F12" s="16">
        <v>150</v>
      </c>
      <c r="G12" s="57">
        <f>E12+F12</f>
        <v>529</v>
      </c>
      <c r="H12" s="190">
        <v>150</v>
      </c>
      <c r="I12" s="191">
        <f>-150</f>
        <v>-150</v>
      </c>
      <c r="J12" s="46">
        <f t="shared" si="10"/>
        <v>529</v>
      </c>
      <c r="K12" s="29">
        <f t="shared" si="10"/>
        <v>0</v>
      </c>
      <c r="L12" s="57">
        <f>SUM(J12:K12)</f>
        <v>529</v>
      </c>
      <c r="M12" s="46">
        <v>48.123669999999997</v>
      </c>
      <c r="N12" s="16"/>
      <c r="O12" s="57">
        <f>M12+N12</f>
        <v>48.123669999999997</v>
      </c>
      <c r="P12" s="57">
        <f t="shared" si="4"/>
        <v>9.0971020793950856</v>
      </c>
      <c r="Q12" s="46">
        <v>87.013300000000001</v>
      </c>
      <c r="R12" s="16"/>
      <c r="S12" s="57">
        <f>Q12+R12</f>
        <v>87.013300000000001</v>
      </c>
      <c r="T12" s="57">
        <f t="shared" si="5"/>
        <v>16.448638941398865</v>
      </c>
      <c r="U12" s="46">
        <v>115.4233</v>
      </c>
      <c r="V12" s="16"/>
      <c r="W12" s="57">
        <f>U12+V12</f>
        <v>115.4233</v>
      </c>
      <c r="X12" s="57">
        <f t="shared" si="6"/>
        <v>21.819149338374292</v>
      </c>
      <c r="Y12" s="46">
        <v>380.01794000000001</v>
      </c>
      <c r="Z12" s="16"/>
      <c r="AA12" s="57">
        <f>Y12+Z12</f>
        <v>380.01794000000001</v>
      </c>
      <c r="AB12" s="57">
        <f t="shared" si="7"/>
        <v>71.837039697542536</v>
      </c>
      <c r="AC12" s="403">
        <f t="shared" si="11"/>
        <v>148.98205999999999</v>
      </c>
      <c r="AD12" s="46">
        <v>400</v>
      </c>
      <c r="AE12" s="16"/>
      <c r="AF12" s="57">
        <f>AD12+AE12</f>
        <v>400</v>
      </c>
      <c r="AG12" s="57">
        <f t="shared" si="8"/>
        <v>75.614366729678636</v>
      </c>
      <c r="AH12" s="16">
        <v>400</v>
      </c>
      <c r="AI12" s="366">
        <f t="shared" si="9"/>
        <v>0.75614366729678639</v>
      </c>
      <c r="AJ12" s="57"/>
      <c r="AK12" s="191"/>
      <c r="AL12" s="437">
        <f>L12-AK12</f>
        <v>529</v>
      </c>
      <c r="AM12" s="326" t="s">
        <v>68</v>
      </c>
      <c r="AN12" s="313" t="s">
        <v>120</v>
      </c>
      <c r="AP12" s="499">
        <f>J12</f>
        <v>529</v>
      </c>
      <c r="AQ12" s="191">
        <f>K12</f>
        <v>0</v>
      </c>
    </row>
    <row r="13" spans="1:43" x14ac:dyDescent="0.2">
      <c r="A13" s="62"/>
      <c r="B13" s="29">
        <v>2141</v>
      </c>
      <c r="C13" s="29">
        <v>101</v>
      </c>
      <c r="D13" s="211" t="s">
        <v>286</v>
      </c>
      <c r="E13" s="46">
        <f>50+80</f>
        <v>130</v>
      </c>
      <c r="F13" s="16"/>
      <c r="G13" s="57">
        <f>E13+F13</f>
        <v>130</v>
      </c>
      <c r="H13" s="190"/>
      <c r="I13" s="191"/>
      <c r="J13" s="46">
        <f t="shared" si="10"/>
        <v>130</v>
      </c>
      <c r="K13" s="29">
        <f t="shared" si="10"/>
        <v>0</v>
      </c>
      <c r="L13" s="57">
        <f>SUM(J13:K13)</f>
        <v>130</v>
      </c>
      <c r="M13" s="46">
        <v>60.258000000000003</v>
      </c>
      <c r="N13" s="16"/>
      <c r="O13" s="57">
        <f>M13+N13</f>
        <v>60.258000000000003</v>
      </c>
      <c r="P13" s="57">
        <f t="shared" si="4"/>
        <v>46.35230769230769</v>
      </c>
      <c r="Q13" s="46">
        <v>63.052999999999997</v>
      </c>
      <c r="R13" s="16"/>
      <c r="S13" s="57">
        <f>Q13+R13</f>
        <v>63.052999999999997</v>
      </c>
      <c r="T13" s="57">
        <f t="shared" si="5"/>
        <v>48.502307692307689</v>
      </c>
      <c r="U13" s="46">
        <v>63.052999999999997</v>
      </c>
      <c r="V13" s="16"/>
      <c r="W13" s="57">
        <f>U13+V13</f>
        <v>63.052999999999997</v>
      </c>
      <c r="X13" s="57">
        <f t="shared" si="6"/>
        <v>48.502307692307689</v>
      </c>
      <c r="Y13" s="46">
        <v>91.628</v>
      </c>
      <c r="Z13" s="16"/>
      <c r="AA13" s="57">
        <f>Y13+Z13</f>
        <v>91.628</v>
      </c>
      <c r="AB13" s="57">
        <f t="shared" si="7"/>
        <v>70.483076923076922</v>
      </c>
      <c r="AC13" s="403">
        <f t="shared" si="11"/>
        <v>38.372</v>
      </c>
      <c r="AD13" s="46">
        <v>100</v>
      </c>
      <c r="AE13" s="16"/>
      <c r="AF13" s="57">
        <f>AD13+AE13</f>
        <v>100</v>
      </c>
      <c r="AG13" s="57">
        <f t="shared" si="8"/>
        <v>76.923076923076934</v>
      </c>
      <c r="AH13" s="16">
        <v>100</v>
      </c>
      <c r="AI13" s="366">
        <f t="shared" si="9"/>
        <v>0.76923076923076927</v>
      </c>
      <c r="AJ13" s="57"/>
      <c r="AK13" s="191"/>
      <c r="AL13" s="437">
        <f>L13-AK13</f>
        <v>130</v>
      </c>
      <c r="AM13" s="326" t="s">
        <v>335</v>
      </c>
      <c r="AN13" s="313" t="s">
        <v>120</v>
      </c>
      <c r="AP13" s="504">
        <v>80</v>
      </c>
      <c r="AQ13" s="191">
        <f>K13</f>
        <v>0</v>
      </c>
    </row>
    <row r="14" spans="1:43" x14ac:dyDescent="0.2">
      <c r="A14" s="62"/>
      <c r="B14" s="29">
        <v>2144</v>
      </c>
      <c r="C14" s="29">
        <v>650</v>
      </c>
      <c r="D14" s="211" t="s">
        <v>171</v>
      </c>
      <c r="E14" s="46">
        <v>420</v>
      </c>
      <c r="F14" s="16"/>
      <c r="G14" s="57">
        <f>E14+F14</f>
        <v>420</v>
      </c>
      <c r="H14" s="196">
        <v>20.998999999999999</v>
      </c>
      <c r="I14" s="191"/>
      <c r="J14" s="46">
        <f>E14+H14</f>
        <v>440.99900000000002</v>
      </c>
      <c r="K14" s="29"/>
      <c r="L14" s="57">
        <f>SUM(J14:K14)</f>
        <v>440.99900000000002</v>
      </c>
      <c r="M14" s="46">
        <f>56.955+5</f>
        <v>61.954999999999998</v>
      </c>
      <c r="N14" s="16"/>
      <c r="O14" s="57">
        <f>M14+N14</f>
        <v>61.954999999999998</v>
      </c>
      <c r="P14" s="57">
        <f t="shared" si="4"/>
        <v>14.048784691121746</v>
      </c>
      <c r="Q14" s="46">
        <v>155.01580000000001</v>
      </c>
      <c r="R14" s="16"/>
      <c r="S14" s="57">
        <f>Q14+R14</f>
        <v>155.01580000000001</v>
      </c>
      <c r="T14" s="57">
        <f t="shared" si="5"/>
        <v>35.151054764296518</v>
      </c>
      <c r="U14" s="46">
        <v>201.9682</v>
      </c>
      <c r="V14" s="16"/>
      <c r="W14" s="57">
        <f>U14+V14</f>
        <v>201.9682</v>
      </c>
      <c r="X14" s="57">
        <f t="shared" si="6"/>
        <v>45.797881627849492</v>
      </c>
      <c r="Y14" s="46">
        <v>351.59480000000002</v>
      </c>
      <c r="Z14" s="16"/>
      <c r="AA14" s="57">
        <f>Y14+Z14</f>
        <v>351.59480000000002</v>
      </c>
      <c r="AB14" s="57">
        <f t="shared" si="7"/>
        <v>79.726892804745589</v>
      </c>
      <c r="AC14" s="403">
        <f t="shared" si="11"/>
        <v>89.404200000000003</v>
      </c>
      <c r="AD14" s="46">
        <v>250</v>
      </c>
      <c r="AE14" s="16"/>
      <c r="AF14" s="57">
        <f>AD14+AE14</f>
        <v>250</v>
      </c>
      <c r="AG14" s="57">
        <f t="shared" si="8"/>
        <v>59.523809523809526</v>
      </c>
      <c r="AH14" s="16">
        <v>400</v>
      </c>
      <c r="AI14" s="366">
        <f t="shared" si="9"/>
        <v>0.95238095238095233</v>
      </c>
      <c r="AJ14" s="57" t="s">
        <v>294</v>
      </c>
      <c r="AK14" s="191"/>
      <c r="AL14" s="437">
        <f>L14-AK14</f>
        <v>440.99900000000002</v>
      </c>
      <c r="AM14" s="323" t="s">
        <v>303</v>
      </c>
      <c r="AN14" s="314" t="s">
        <v>477</v>
      </c>
      <c r="AP14" s="192">
        <f>J14</f>
        <v>440.99900000000002</v>
      </c>
      <c r="AQ14" s="191">
        <f>K14</f>
        <v>0</v>
      </c>
    </row>
    <row r="15" spans="1:43" x14ac:dyDescent="0.2">
      <c r="A15" s="62"/>
      <c r="B15" s="29">
        <v>2199</v>
      </c>
      <c r="C15" s="29">
        <v>912</v>
      </c>
      <c r="D15" s="211" t="s">
        <v>97</v>
      </c>
      <c r="E15" s="46">
        <v>300</v>
      </c>
      <c r="F15" s="16">
        <v>300</v>
      </c>
      <c r="G15" s="57">
        <f>E15+F15</f>
        <v>600</v>
      </c>
      <c r="H15" s="190"/>
      <c r="I15" s="191"/>
      <c r="J15" s="46">
        <f>E15+H15</f>
        <v>300</v>
      </c>
      <c r="K15" s="29">
        <f>F15+I15</f>
        <v>300</v>
      </c>
      <c r="L15" s="57">
        <f>SUM(J15:K15)</f>
        <v>600</v>
      </c>
      <c r="M15" s="46">
        <v>56.7</v>
      </c>
      <c r="N15" s="16"/>
      <c r="O15" s="57">
        <f>M15+N15</f>
        <v>56.7</v>
      </c>
      <c r="P15" s="57">
        <f t="shared" si="4"/>
        <v>9.4499999999999993</v>
      </c>
      <c r="Q15" s="46">
        <v>131.917</v>
      </c>
      <c r="R15" s="16"/>
      <c r="S15" s="57">
        <f>Q15+R15</f>
        <v>131.917</v>
      </c>
      <c r="T15" s="57">
        <f t="shared" si="5"/>
        <v>21.986166666666669</v>
      </c>
      <c r="U15" s="46">
        <v>162.04599999999999</v>
      </c>
      <c r="V15" s="16"/>
      <c r="W15" s="57">
        <f>U15+V15</f>
        <v>162.04599999999999</v>
      </c>
      <c r="X15" s="57">
        <f t="shared" si="6"/>
        <v>27.007666666666662</v>
      </c>
      <c r="Y15" s="46">
        <v>290.291</v>
      </c>
      <c r="Z15" s="16">
        <v>146.61699999999999</v>
      </c>
      <c r="AA15" s="57">
        <f>Y15+Z15</f>
        <v>436.90800000000002</v>
      </c>
      <c r="AB15" s="57">
        <f t="shared" si="7"/>
        <v>72.818000000000012</v>
      </c>
      <c r="AC15" s="403">
        <f t="shared" si="11"/>
        <v>163.09199999999998</v>
      </c>
      <c r="AD15" s="46">
        <v>300</v>
      </c>
      <c r="AE15" s="16">
        <v>300</v>
      </c>
      <c r="AF15" s="57">
        <f>AD15+AE15</f>
        <v>600</v>
      </c>
      <c r="AG15" s="57">
        <f t="shared" si="8"/>
        <v>100</v>
      </c>
      <c r="AH15" s="16">
        <v>600</v>
      </c>
      <c r="AI15" s="366">
        <f t="shared" si="9"/>
        <v>1</v>
      </c>
      <c r="AJ15" s="57"/>
      <c r="AK15" s="191"/>
      <c r="AL15" s="437">
        <f>L15-AK15</f>
        <v>600</v>
      </c>
      <c r="AM15" s="326" t="s">
        <v>324</v>
      </c>
      <c r="AN15" s="313" t="s">
        <v>120</v>
      </c>
      <c r="AP15" s="192">
        <f>J15</f>
        <v>300</v>
      </c>
      <c r="AQ15" s="191">
        <f>K15</f>
        <v>300</v>
      </c>
    </row>
    <row r="16" spans="1:43" x14ac:dyDescent="0.2">
      <c r="A16" s="138">
        <v>22</v>
      </c>
      <c r="B16" s="24"/>
      <c r="C16" s="24"/>
      <c r="D16" s="427" t="s">
        <v>69</v>
      </c>
      <c r="E16" s="58">
        <f t="shared" ref="E16:O16" si="12">SUM(E17:E27)</f>
        <v>4241</v>
      </c>
      <c r="F16" s="59">
        <f t="shared" si="12"/>
        <v>19507</v>
      </c>
      <c r="G16" s="60">
        <f t="shared" si="12"/>
        <v>23748</v>
      </c>
      <c r="H16" s="194">
        <f t="shared" si="12"/>
        <v>1687</v>
      </c>
      <c r="I16" s="195">
        <f t="shared" si="12"/>
        <v>29466</v>
      </c>
      <c r="J16" s="58">
        <f t="shared" si="12"/>
        <v>5928</v>
      </c>
      <c r="K16" s="59">
        <f t="shared" si="12"/>
        <v>48973</v>
      </c>
      <c r="L16" s="60">
        <f t="shared" si="12"/>
        <v>54901</v>
      </c>
      <c r="M16" s="58">
        <f t="shared" si="12"/>
        <v>2337.5080000000003</v>
      </c>
      <c r="N16" s="59">
        <f t="shared" si="12"/>
        <v>296.625</v>
      </c>
      <c r="O16" s="60">
        <f t="shared" si="12"/>
        <v>2634.1330000000003</v>
      </c>
      <c r="P16" s="60">
        <f t="shared" si="4"/>
        <v>4.797969071601611</v>
      </c>
      <c r="Q16" s="58">
        <f>SUM(Q17:Q27)</f>
        <v>3517.0435300000004</v>
      </c>
      <c r="R16" s="59">
        <f>SUM(R17:R27)</f>
        <v>6447.8530000000001</v>
      </c>
      <c r="S16" s="60">
        <f>SUM(S17:S27)</f>
        <v>9964.89653</v>
      </c>
      <c r="T16" s="60">
        <f t="shared" si="5"/>
        <v>18.150664887706963</v>
      </c>
      <c r="U16" s="58">
        <f>SUM(U17:U27)</f>
        <v>4911.6412399999999</v>
      </c>
      <c r="V16" s="59">
        <f>SUM(V17:V27)</f>
        <v>23754.941210000001</v>
      </c>
      <c r="W16" s="60">
        <f>SUM(W17:W27)</f>
        <v>28666.582449999998</v>
      </c>
      <c r="X16" s="60">
        <f t="shared" si="6"/>
        <v>52.2150460829493</v>
      </c>
      <c r="Y16" s="58">
        <f>SUM(Y17:Y27)</f>
        <v>5343.8095400000002</v>
      </c>
      <c r="Z16" s="59">
        <f>SUM(Z17:Z27)</f>
        <v>43753.175309999999</v>
      </c>
      <c r="AA16" s="60">
        <f>SUM(AA17:AA27)</f>
        <v>49096.984849999993</v>
      </c>
      <c r="AB16" s="60">
        <f t="shared" si="7"/>
        <v>89.428215970565191</v>
      </c>
      <c r="AC16" s="404">
        <f>SUM(AC17:AC27)</f>
        <v>5804.0151499999993</v>
      </c>
      <c r="AD16" s="58">
        <f>SUM(AD17:AD27)</f>
        <v>4701</v>
      </c>
      <c r="AE16" s="59">
        <f>SUM(AE17:AE27)</f>
        <v>24955</v>
      </c>
      <c r="AF16" s="60">
        <f>SUM(AF17:AF27)</f>
        <v>29656</v>
      </c>
      <c r="AG16" s="60">
        <f t="shared" si="8"/>
        <v>124.87788445342767</v>
      </c>
      <c r="AH16" s="59">
        <f>SUM(AH17:AH27)</f>
        <v>37079</v>
      </c>
      <c r="AI16" s="367">
        <f t="shared" si="9"/>
        <v>1.5613525349503117</v>
      </c>
      <c r="AJ16" s="60"/>
      <c r="AK16" s="195">
        <f>SUM(AK17:AK27)</f>
        <v>0</v>
      </c>
      <c r="AL16" s="438">
        <f>SUM(AL17:AL27)</f>
        <v>43501</v>
      </c>
      <c r="AM16" s="55"/>
      <c r="AN16" s="74"/>
      <c r="AP16" s="194">
        <f>SUM(AP17:AP27)</f>
        <v>5928</v>
      </c>
      <c r="AQ16" s="195">
        <f>SUM(AQ17:AQ27)</f>
        <v>47777</v>
      </c>
    </row>
    <row r="17" spans="1:43" x14ac:dyDescent="0.2">
      <c r="A17" s="137"/>
      <c r="B17" s="29">
        <v>2212</v>
      </c>
      <c r="C17" s="29">
        <v>203</v>
      </c>
      <c r="D17" s="490" t="s">
        <v>245</v>
      </c>
      <c r="E17" s="46">
        <v>170</v>
      </c>
      <c r="F17" s="16">
        <f>27950-23100+1500</f>
        <v>6350</v>
      </c>
      <c r="G17" s="57">
        <f t="shared" ref="G17:G27" si="13">E17+F17</f>
        <v>6520</v>
      </c>
      <c r="H17" s="190">
        <v>55</v>
      </c>
      <c r="I17" s="469">
        <f>24000-55</f>
        <v>23945</v>
      </c>
      <c r="J17" s="46">
        <f t="shared" ref="J17:K23" si="14">E17+H17</f>
        <v>225</v>
      </c>
      <c r="K17" s="29">
        <f t="shared" si="14"/>
        <v>30295</v>
      </c>
      <c r="L17" s="57">
        <f t="shared" ref="L17:L27" si="15">SUM(J17:K17)</f>
        <v>30520</v>
      </c>
      <c r="M17" s="46">
        <v>5.3239999999999998</v>
      </c>
      <c r="N17" s="16"/>
      <c r="O17" s="57">
        <f t="shared" ref="O17:O27" si="16">M17+N17</f>
        <v>5.3239999999999998</v>
      </c>
      <c r="P17" s="57">
        <f t="shared" ref="P17:P22" si="17">O17/$L17*100</f>
        <v>1.7444298820445608E-2</v>
      </c>
      <c r="Q17" s="46">
        <v>130.25899999999999</v>
      </c>
      <c r="R17" s="16"/>
      <c r="S17" s="57">
        <f t="shared" ref="S17:S27" si="18">Q17+R17</f>
        <v>130.25899999999999</v>
      </c>
      <c r="T17" s="57">
        <f>S17/$L17*100</f>
        <v>0.42679882044560941</v>
      </c>
      <c r="U17" s="46">
        <v>136.97900000000001</v>
      </c>
      <c r="V17" s="16">
        <f>15670.06721-U17</f>
        <v>15533.08821</v>
      </c>
      <c r="W17" s="57">
        <f t="shared" ref="W17:W23" si="19">U17+V17</f>
        <v>15670.067209999999</v>
      </c>
      <c r="X17" s="57">
        <f t="shared" ref="X17:X24" si="20">W17/$L17*100</f>
        <v>51.343601605504588</v>
      </c>
      <c r="Y17" s="46">
        <f>8.299+163.168+40.6278</f>
        <v>212.09480000000002</v>
      </c>
      <c r="Z17" s="16">
        <v>27314.893820000001</v>
      </c>
      <c r="AA17" s="57">
        <f t="shared" ref="AA17:AA27" si="21">Y17+Z17</f>
        <v>27526.98862</v>
      </c>
      <c r="AB17" s="57">
        <f>AA17/$L17*100</f>
        <v>90.193278571428564</v>
      </c>
      <c r="AC17" s="403">
        <f t="shared" ref="AC17:AC27" si="22">L17-AA17</f>
        <v>2993.0113799999999</v>
      </c>
      <c r="AD17" s="46"/>
      <c r="AE17" s="16">
        <v>380</v>
      </c>
      <c r="AF17" s="57">
        <f t="shared" ref="AF17:AF27" si="23">AD17+AE17</f>
        <v>380</v>
      </c>
      <c r="AG17" s="57">
        <f t="shared" si="8"/>
        <v>5.8282208588957047</v>
      </c>
      <c r="AH17" s="16">
        <v>4128</v>
      </c>
      <c r="AI17" s="366">
        <f t="shared" ref="AI17:AI25" si="24">AH17/G17</f>
        <v>0.63312883435582823</v>
      </c>
      <c r="AJ17" s="57"/>
      <c r="AK17" s="191"/>
      <c r="AL17" s="437">
        <f>L17-AK17</f>
        <v>30520</v>
      </c>
      <c r="AM17" s="326" t="s">
        <v>324</v>
      </c>
      <c r="AN17" s="313" t="s">
        <v>120</v>
      </c>
      <c r="AP17" s="192">
        <f>J17</f>
        <v>225</v>
      </c>
      <c r="AQ17" s="191">
        <f>K17</f>
        <v>30295</v>
      </c>
    </row>
    <row r="18" spans="1:43" x14ac:dyDescent="0.2">
      <c r="A18" s="137"/>
      <c r="B18" s="29">
        <v>2212</v>
      </c>
      <c r="C18" s="29">
        <v>204</v>
      </c>
      <c r="D18" s="211" t="s">
        <v>126</v>
      </c>
      <c r="E18" s="46">
        <f>3177+300</f>
        <v>3477</v>
      </c>
      <c r="F18" s="16"/>
      <c r="G18" s="57">
        <f t="shared" si="13"/>
        <v>3477</v>
      </c>
      <c r="H18" s="190">
        <f>600+805</f>
        <v>1405</v>
      </c>
      <c r="I18" s="191"/>
      <c r="J18" s="46">
        <f t="shared" si="14"/>
        <v>4882</v>
      </c>
      <c r="K18" s="29">
        <f t="shared" si="14"/>
        <v>0</v>
      </c>
      <c r="L18" s="57">
        <f t="shared" si="15"/>
        <v>4882</v>
      </c>
      <c r="M18" s="46">
        <v>2204.0675000000001</v>
      </c>
      <c r="N18" s="16"/>
      <c r="O18" s="57">
        <f t="shared" si="16"/>
        <v>2204.0675000000001</v>
      </c>
      <c r="P18" s="57">
        <f t="shared" si="17"/>
        <v>45.146814829987711</v>
      </c>
      <c r="Q18" s="46">
        <v>3131.9305300000001</v>
      </c>
      <c r="R18" s="16"/>
      <c r="S18" s="57">
        <f t="shared" si="18"/>
        <v>3131.9305300000001</v>
      </c>
      <c r="T18" s="57">
        <f>S18/$L18*100</f>
        <v>64.152612249078246</v>
      </c>
      <c r="U18" s="46">
        <v>4328.4047399999999</v>
      </c>
      <c r="V18" s="16"/>
      <c r="W18" s="57">
        <f t="shared" si="19"/>
        <v>4328.4047399999999</v>
      </c>
      <c r="X18" s="57">
        <f t="shared" si="20"/>
        <v>88.660482179434652</v>
      </c>
      <c r="Y18" s="46">
        <v>4328.4047399999999</v>
      </c>
      <c r="Z18" s="16"/>
      <c r="AA18" s="57">
        <f t="shared" si="21"/>
        <v>4328.4047399999999</v>
      </c>
      <c r="AB18" s="57">
        <f>AA18/$L18*100</f>
        <v>88.660482179434652</v>
      </c>
      <c r="AC18" s="403">
        <f t="shared" si="22"/>
        <v>553.59526000000005</v>
      </c>
      <c r="AD18" s="46">
        <f>3538+470+120</f>
        <v>4128</v>
      </c>
      <c r="AE18" s="16"/>
      <c r="AF18" s="57">
        <f t="shared" si="23"/>
        <v>4128</v>
      </c>
      <c r="AG18" s="57">
        <f t="shared" ref="AG18:AG25" si="25">AF18/$G18*100</f>
        <v>118.72303710094909</v>
      </c>
      <c r="AH18" s="16">
        <v>4128</v>
      </c>
      <c r="AI18" s="366">
        <f t="shared" si="24"/>
        <v>1.1872303710094909</v>
      </c>
      <c r="AJ18" s="57"/>
      <c r="AK18" s="191"/>
      <c r="AL18" s="437">
        <f>L18-AK18</f>
        <v>4882</v>
      </c>
      <c r="AM18" s="326" t="s">
        <v>204</v>
      </c>
      <c r="AN18" s="313" t="s">
        <v>120</v>
      </c>
      <c r="AP18" s="192">
        <f t="shared" ref="AP18:AP27" si="26">J18</f>
        <v>4882</v>
      </c>
      <c r="AQ18" s="191">
        <f t="shared" ref="AQ18:AQ27" si="27">K18</f>
        <v>0</v>
      </c>
    </row>
    <row r="19" spans="1:43" x14ac:dyDescent="0.2">
      <c r="A19" s="137"/>
      <c r="B19" s="29">
        <v>2212</v>
      </c>
      <c r="C19" s="29">
        <v>206</v>
      </c>
      <c r="D19" s="211" t="s">
        <v>342</v>
      </c>
      <c r="E19" s="46"/>
      <c r="F19" s="16">
        <v>500</v>
      </c>
      <c r="G19" s="57">
        <f t="shared" si="13"/>
        <v>500</v>
      </c>
      <c r="H19" s="190"/>
      <c r="I19" s="191"/>
      <c r="J19" s="46">
        <f t="shared" si="14"/>
        <v>0</v>
      </c>
      <c r="K19" s="29">
        <f t="shared" si="14"/>
        <v>500</v>
      </c>
      <c r="L19" s="57">
        <f t="shared" si="15"/>
        <v>500</v>
      </c>
      <c r="M19" s="46"/>
      <c r="N19" s="16">
        <v>4.4770000000000003</v>
      </c>
      <c r="O19" s="57">
        <f t="shared" si="16"/>
        <v>4.4770000000000003</v>
      </c>
      <c r="P19" s="57">
        <f t="shared" si="17"/>
        <v>0.89539999999999997</v>
      </c>
      <c r="Q19" s="46"/>
      <c r="R19" s="16">
        <v>4.4770000000000003</v>
      </c>
      <c r="S19" s="57">
        <f t="shared" si="18"/>
        <v>4.4770000000000003</v>
      </c>
      <c r="T19" s="57">
        <f>S19/$L19*100</f>
        <v>0.89539999999999997</v>
      </c>
      <c r="U19" s="46"/>
      <c r="V19" s="16">
        <v>4.4770000000000003</v>
      </c>
      <c r="W19" s="57">
        <f t="shared" si="19"/>
        <v>4.4770000000000003</v>
      </c>
      <c r="X19" s="57">
        <f t="shared" si="20"/>
        <v>0.89539999999999997</v>
      </c>
      <c r="Y19" s="46"/>
      <c r="Z19" s="16">
        <v>4.4770000000000003</v>
      </c>
      <c r="AA19" s="57">
        <f t="shared" si="21"/>
        <v>4.4770000000000003</v>
      </c>
      <c r="AB19" s="57">
        <f>AA19/$L19*100</f>
        <v>0.89539999999999997</v>
      </c>
      <c r="AC19" s="403">
        <f t="shared" si="22"/>
        <v>495.52300000000002</v>
      </c>
      <c r="AD19" s="46"/>
      <c r="AE19" s="16">
        <v>500</v>
      </c>
      <c r="AF19" s="57">
        <f t="shared" si="23"/>
        <v>500</v>
      </c>
      <c r="AG19" s="57">
        <f t="shared" si="25"/>
        <v>100</v>
      </c>
      <c r="AH19" s="16">
        <v>800</v>
      </c>
      <c r="AI19" s="366">
        <f t="shared" si="24"/>
        <v>1.6</v>
      </c>
      <c r="AJ19" s="57" t="s">
        <v>382</v>
      </c>
      <c r="AK19" s="191"/>
      <c r="AL19" s="437"/>
      <c r="AM19" s="326" t="s">
        <v>324</v>
      </c>
      <c r="AN19" s="313" t="s">
        <v>120</v>
      </c>
      <c r="AP19" s="192">
        <f t="shared" si="26"/>
        <v>0</v>
      </c>
      <c r="AQ19" s="505">
        <v>4</v>
      </c>
    </row>
    <row r="20" spans="1:43" x14ac:dyDescent="0.2">
      <c r="A20" s="137"/>
      <c r="B20" s="29">
        <v>2212</v>
      </c>
      <c r="C20" s="29">
        <v>208</v>
      </c>
      <c r="D20" s="211" t="s">
        <v>308</v>
      </c>
      <c r="E20" s="46"/>
      <c r="F20" s="16">
        <f>1687+350+120</f>
        <v>2157</v>
      </c>
      <c r="G20" s="57">
        <f t="shared" si="13"/>
        <v>2157</v>
      </c>
      <c r="H20" s="190"/>
      <c r="I20" s="191"/>
      <c r="J20" s="46">
        <f t="shared" si="14"/>
        <v>0</v>
      </c>
      <c r="K20" s="29">
        <f t="shared" si="14"/>
        <v>2157</v>
      </c>
      <c r="L20" s="57">
        <f t="shared" si="15"/>
        <v>2157</v>
      </c>
      <c r="M20" s="46"/>
      <c r="N20" s="16">
        <v>292.14800000000002</v>
      </c>
      <c r="O20" s="57">
        <f t="shared" si="16"/>
        <v>292.14800000000002</v>
      </c>
      <c r="P20" s="57">
        <f t="shared" si="17"/>
        <v>13.544181733889662</v>
      </c>
      <c r="Q20" s="46"/>
      <c r="R20" s="16">
        <f>292.148+1687</f>
        <v>1979.1480000000001</v>
      </c>
      <c r="S20" s="57">
        <f t="shared" si="18"/>
        <v>1979.1480000000001</v>
      </c>
      <c r="T20" s="57">
        <f>S20/$L20*100</f>
        <v>91.754659248956898</v>
      </c>
      <c r="U20" s="46"/>
      <c r="V20" s="16">
        <v>1979.1479999999999</v>
      </c>
      <c r="W20" s="57">
        <f t="shared" si="19"/>
        <v>1979.1479999999999</v>
      </c>
      <c r="X20" s="57">
        <f t="shared" si="20"/>
        <v>91.754659248956884</v>
      </c>
      <c r="Y20" s="46"/>
      <c r="Z20" s="16">
        <v>2027.9349999999999</v>
      </c>
      <c r="AA20" s="57">
        <f t="shared" si="21"/>
        <v>2027.9349999999999</v>
      </c>
      <c r="AB20" s="57">
        <f>AA20/$L20*100</f>
        <v>94.01645804357905</v>
      </c>
      <c r="AC20" s="403">
        <f t="shared" si="22"/>
        <v>129.06500000000005</v>
      </c>
      <c r="AD20" s="46"/>
      <c r="AE20" s="16">
        <v>18000</v>
      </c>
      <c r="AF20" s="57">
        <f t="shared" si="23"/>
        <v>18000</v>
      </c>
      <c r="AG20" s="57">
        <f t="shared" si="25"/>
        <v>834.49235048678713</v>
      </c>
      <c r="AH20" s="16">
        <v>18500</v>
      </c>
      <c r="AI20" s="366">
        <f t="shared" si="24"/>
        <v>8.5767269355586464</v>
      </c>
      <c r="AJ20" s="57" t="s">
        <v>471</v>
      </c>
      <c r="AK20" s="191"/>
      <c r="AL20" s="437">
        <f>L20-AK20</f>
        <v>2157</v>
      </c>
      <c r="AM20" s="326" t="s">
        <v>164</v>
      </c>
      <c r="AN20" s="313" t="s">
        <v>120</v>
      </c>
      <c r="AP20" s="192">
        <f t="shared" si="26"/>
        <v>0</v>
      </c>
      <c r="AQ20" s="191">
        <f t="shared" si="27"/>
        <v>2157</v>
      </c>
    </row>
    <row r="21" spans="1:43" x14ac:dyDescent="0.2">
      <c r="A21" s="137"/>
      <c r="B21" s="29">
        <v>2212</v>
      </c>
      <c r="C21" s="29">
        <v>211</v>
      </c>
      <c r="D21" s="211" t="s">
        <v>343</v>
      </c>
      <c r="E21" s="46"/>
      <c r="F21" s="16">
        <v>400</v>
      </c>
      <c r="G21" s="57">
        <f t="shared" si="13"/>
        <v>400</v>
      </c>
      <c r="H21" s="190"/>
      <c r="I21" s="191"/>
      <c r="J21" s="46">
        <f t="shared" si="14"/>
        <v>0</v>
      </c>
      <c r="K21" s="29">
        <f t="shared" si="14"/>
        <v>400</v>
      </c>
      <c r="L21" s="57">
        <f t="shared" si="15"/>
        <v>400</v>
      </c>
      <c r="M21" s="46"/>
      <c r="N21" s="16"/>
      <c r="O21" s="57">
        <f t="shared" si="16"/>
        <v>0</v>
      </c>
      <c r="P21" s="57">
        <f t="shared" si="17"/>
        <v>0</v>
      </c>
      <c r="Q21" s="46"/>
      <c r="R21" s="16"/>
      <c r="S21" s="57">
        <f t="shared" si="18"/>
        <v>0</v>
      </c>
      <c r="T21" s="57">
        <f>S21/$L21*100</f>
        <v>0</v>
      </c>
      <c r="U21" s="46"/>
      <c r="V21" s="16"/>
      <c r="W21" s="57">
        <f t="shared" si="19"/>
        <v>0</v>
      </c>
      <c r="X21" s="57">
        <f t="shared" si="20"/>
        <v>0</v>
      </c>
      <c r="Y21" s="46"/>
      <c r="Z21" s="16">
        <v>0</v>
      </c>
      <c r="AA21" s="57">
        <f t="shared" si="21"/>
        <v>0</v>
      </c>
      <c r="AB21" s="57">
        <f>AA21/$L21*100</f>
        <v>0</v>
      </c>
      <c r="AC21" s="403">
        <f t="shared" si="22"/>
        <v>400</v>
      </c>
      <c r="AD21" s="46"/>
      <c r="AE21" s="16">
        <v>400</v>
      </c>
      <c r="AF21" s="57">
        <f t="shared" si="23"/>
        <v>400</v>
      </c>
      <c r="AG21" s="57">
        <f t="shared" si="25"/>
        <v>100</v>
      </c>
      <c r="AH21" s="16">
        <v>400</v>
      </c>
      <c r="AI21" s="366">
        <f t="shared" si="24"/>
        <v>1</v>
      </c>
      <c r="AJ21" s="57" t="s">
        <v>450</v>
      </c>
      <c r="AK21" s="191"/>
      <c r="AL21" s="437"/>
      <c r="AM21" s="326" t="s">
        <v>164</v>
      </c>
      <c r="AN21" s="313" t="s">
        <v>324</v>
      </c>
      <c r="AP21" s="192">
        <f t="shared" si="26"/>
        <v>0</v>
      </c>
      <c r="AQ21" s="505">
        <v>0</v>
      </c>
    </row>
    <row r="22" spans="1:43" x14ac:dyDescent="0.2">
      <c r="A22" s="137"/>
      <c r="B22" s="29">
        <v>2212</v>
      </c>
      <c r="C22" s="29">
        <v>222</v>
      </c>
      <c r="D22" s="211" t="s">
        <v>439</v>
      </c>
      <c r="E22" s="46"/>
      <c r="F22" s="16">
        <v>752</v>
      </c>
      <c r="G22" s="57">
        <f t="shared" si="13"/>
        <v>752</v>
      </c>
      <c r="H22" s="190">
        <f>752-525</f>
        <v>227</v>
      </c>
      <c r="I22" s="191">
        <f>4800-752+525</f>
        <v>4573</v>
      </c>
      <c r="J22" s="46">
        <f t="shared" si="14"/>
        <v>227</v>
      </c>
      <c r="K22" s="29">
        <f t="shared" ref="K22:K27" si="28">F22+I22</f>
        <v>5325</v>
      </c>
      <c r="L22" s="57">
        <f t="shared" si="15"/>
        <v>5552</v>
      </c>
      <c r="M22" s="46"/>
      <c r="N22" s="16"/>
      <c r="O22" s="57">
        <f>M22+N22</f>
        <v>0</v>
      </c>
      <c r="P22" s="57">
        <f t="shared" si="17"/>
        <v>0</v>
      </c>
      <c r="Q22" s="46"/>
      <c r="R22" s="16"/>
      <c r="S22" s="57">
        <f t="shared" si="18"/>
        <v>0</v>
      </c>
      <c r="T22" s="57"/>
      <c r="U22" s="46"/>
      <c r="V22" s="16">
        <v>752</v>
      </c>
      <c r="W22" s="57">
        <f t="shared" si="19"/>
        <v>752</v>
      </c>
      <c r="X22" s="57">
        <f t="shared" si="20"/>
        <v>13.544668587896252</v>
      </c>
      <c r="Y22" s="46">
        <v>227</v>
      </c>
      <c r="Z22" s="16">
        <v>4922.9797699999999</v>
      </c>
      <c r="AA22" s="57">
        <f t="shared" si="21"/>
        <v>5149.9797699999999</v>
      </c>
      <c r="AB22" s="57">
        <f t="shared" ref="AB22:AB23" si="29">AA22/$L22*100</f>
        <v>92.759001621037456</v>
      </c>
      <c r="AC22" s="403">
        <f t="shared" si="22"/>
        <v>402.02023000000008</v>
      </c>
      <c r="AD22" s="46"/>
      <c r="AE22" s="16">
        <v>100</v>
      </c>
      <c r="AF22" s="57">
        <f t="shared" si="23"/>
        <v>100</v>
      </c>
      <c r="AG22" s="57">
        <f t="shared" si="25"/>
        <v>13.297872340425531</v>
      </c>
      <c r="AH22" s="16">
        <v>100</v>
      </c>
      <c r="AI22" s="366">
        <f t="shared" si="24"/>
        <v>0.13297872340425532</v>
      </c>
      <c r="AJ22" s="57" t="s">
        <v>491</v>
      </c>
      <c r="AK22" s="191"/>
      <c r="AL22" s="437"/>
      <c r="AM22" s="326" t="s">
        <v>164</v>
      </c>
      <c r="AN22" s="313" t="s">
        <v>120</v>
      </c>
      <c r="AP22" s="192">
        <f t="shared" si="26"/>
        <v>227</v>
      </c>
      <c r="AQ22" s="191">
        <f t="shared" si="27"/>
        <v>5325</v>
      </c>
    </row>
    <row r="23" spans="1:43" x14ac:dyDescent="0.2">
      <c r="A23" s="137"/>
      <c r="B23" s="29">
        <v>2219</v>
      </c>
      <c r="C23" s="29">
        <v>48</v>
      </c>
      <c r="D23" s="211" t="s">
        <v>381</v>
      </c>
      <c r="E23" s="46"/>
      <c r="F23" s="16">
        <f>3450+2250-752</f>
        <v>4948</v>
      </c>
      <c r="G23" s="57">
        <f t="shared" si="13"/>
        <v>4948</v>
      </c>
      <c r="H23" s="190"/>
      <c r="I23" s="191"/>
      <c r="J23" s="46">
        <f t="shared" si="14"/>
        <v>0</v>
      </c>
      <c r="K23" s="29">
        <f t="shared" si="28"/>
        <v>4948</v>
      </c>
      <c r="L23" s="57">
        <f t="shared" si="15"/>
        <v>4948</v>
      </c>
      <c r="M23" s="46"/>
      <c r="N23" s="16"/>
      <c r="O23" s="57">
        <f t="shared" si="16"/>
        <v>0</v>
      </c>
      <c r="P23" s="57"/>
      <c r="Q23" s="46"/>
      <c r="R23" s="16">
        <v>464.22800000000001</v>
      </c>
      <c r="S23" s="57">
        <f t="shared" si="18"/>
        <v>464.22800000000001</v>
      </c>
      <c r="T23" s="57"/>
      <c r="U23" s="46"/>
      <c r="V23" s="16">
        <v>464.22800000000001</v>
      </c>
      <c r="W23" s="57">
        <f t="shared" si="19"/>
        <v>464.22800000000001</v>
      </c>
      <c r="X23" s="57">
        <f t="shared" si="20"/>
        <v>9.3821341956346007</v>
      </c>
      <c r="Y23" s="46"/>
      <c r="Z23" s="16">
        <f>59.29+4401.59972</f>
        <v>4460.8897200000001</v>
      </c>
      <c r="AA23" s="57">
        <f t="shared" si="21"/>
        <v>4460.8897200000001</v>
      </c>
      <c r="AB23" s="57">
        <f t="shared" si="29"/>
        <v>90.155410670978171</v>
      </c>
      <c r="AC23" s="403">
        <f t="shared" si="22"/>
        <v>487.11027999999988</v>
      </c>
      <c r="AD23" s="46"/>
      <c r="AE23" s="16">
        <f>2800+105</f>
        <v>2905</v>
      </c>
      <c r="AF23" s="57">
        <f t="shared" si="23"/>
        <v>2905</v>
      </c>
      <c r="AG23" s="57">
        <f t="shared" si="25"/>
        <v>58.710590137429264</v>
      </c>
      <c r="AH23" s="16">
        <v>2800</v>
      </c>
      <c r="AI23" s="366">
        <f t="shared" si="24"/>
        <v>0.56588520614389648</v>
      </c>
      <c r="AJ23" s="57" t="s">
        <v>475</v>
      </c>
      <c r="AK23" s="191"/>
      <c r="AL23" s="437"/>
      <c r="AM23" s="326" t="s">
        <v>164</v>
      </c>
      <c r="AN23" s="313" t="s">
        <v>324</v>
      </c>
      <c r="AP23" s="192">
        <f t="shared" si="26"/>
        <v>0</v>
      </c>
      <c r="AQ23" s="191">
        <f t="shared" si="27"/>
        <v>4948</v>
      </c>
    </row>
    <row r="24" spans="1:43" x14ac:dyDescent="0.2">
      <c r="A24" s="137"/>
      <c r="B24" s="29">
        <v>2219</v>
      </c>
      <c r="C24" s="29">
        <v>43</v>
      </c>
      <c r="D24" s="211" t="s">
        <v>124</v>
      </c>
      <c r="E24" s="46">
        <v>35</v>
      </c>
      <c r="F24" s="16"/>
      <c r="G24" s="57">
        <f t="shared" si="13"/>
        <v>35</v>
      </c>
      <c r="H24" s="190"/>
      <c r="I24" s="191"/>
      <c r="J24" s="46">
        <f>E24+H24</f>
        <v>35</v>
      </c>
      <c r="K24" s="29">
        <f t="shared" si="28"/>
        <v>0</v>
      </c>
      <c r="L24" s="57">
        <f t="shared" si="15"/>
        <v>35</v>
      </c>
      <c r="M24" s="46">
        <v>4.0289999999999999</v>
      </c>
      <c r="N24" s="16"/>
      <c r="O24" s="57">
        <f t="shared" si="16"/>
        <v>4.0289999999999999</v>
      </c>
      <c r="P24" s="57">
        <f>O24/$L24*100</f>
        <v>11.511428571428571</v>
      </c>
      <c r="Q24" s="46">
        <v>6.6790000000000003</v>
      </c>
      <c r="R24" s="16"/>
      <c r="S24" s="57">
        <f t="shared" si="18"/>
        <v>6.6790000000000003</v>
      </c>
      <c r="T24" s="57">
        <f t="shared" si="5"/>
        <v>19.082857142857144</v>
      </c>
      <c r="U24" s="46">
        <v>12.62</v>
      </c>
      <c r="V24" s="16"/>
      <c r="W24" s="57">
        <f>U24+V24</f>
        <v>12.62</v>
      </c>
      <c r="X24" s="57">
        <f t="shared" si="20"/>
        <v>36.057142857142857</v>
      </c>
      <c r="Y24" s="46">
        <v>18.585000000000001</v>
      </c>
      <c r="Z24" s="16"/>
      <c r="AA24" s="57">
        <f t="shared" si="21"/>
        <v>18.585000000000001</v>
      </c>
      <c r="AB24" s="57">
        <f t="shared" si="7"/>
        <v>53.1</v>
      </c>
      <c r="AC24" s="403">
        <f t="shared" si="22"/>
        <v>16.414999999999999</v>
      </c>
      <c r="AD24" s="46">
        <v>35</v>
      </c>
      <c r="AE24" s="16">
        <v>170</v>
      </c>
      <c r="AF24" s="57">
        <f t="shared" si="23"/>
        <v>205</v>
      </c>
      <c r="AG24" s="57">
        <f t="shared" si="25"/>
        <v>585.71428571428567</v>
      </c>
      <c r="AH24" s="16">
        <f>35+150</f>
        <v>185</v>
      </c>
      <c r="AI24" s="366">
        <f t="shared" si="24"/>
        <v>5.2857142857142856</v>
      </c>
      <c r="AJ24" s="57"/>
      <c r="AK24" s="191"/>
      <c r="AL24" s="437">
        <f>L24-AK24</f>
        <v>35</v>
      </c>
      <c r="AM24" s="331" t="s">
        <v>163</v>
      </c>
      <c r="AN24" s="314" t="s">
        <v>303</v>
      </c>
      <c r="AP24" s="192">
        <f t="shared" si="26"/>
        <v>35</v>
      </c>
      <c r="AQ24" s="191">
        <f t="shared" si="27"/>
        <v>0</v>
      </c>
    </row>
    <row r="25" spans="1:43" x14ac:dyDescent="0.2">
      <c r="A25" s="137"/>
      <c r="B25" s="29">
        <v>2219</v>
      </c>
      <c r="C25" s="29">
        <v>46</v>
      </c>
      <c r="D25" s="211" t="s">
        <v>322</v>
      </c>
      <c r="E25" s="46"/>
      <c r="F25" s="16">
        <v>400</v>
      </c>
      <c r="G25" s="57">
        <f t="shared" si="13"/>
        <v>400</v>
      </c>
      <c r="H25" s="190"/>
      <c r="I25" s="191"/>
      <c r="J25" s="46">
        <f>E25+H25</f>
        <v>0</v>
      </c>
      <c r="K25" s="29">
        <f t="shared" si="28"/>
        <v>400</v>
      </c>
      <c r="L25" s="57">
        <f t="shared" si="15"/>
        <v>400</v>
      </c>
      <c r="M25" s="46"/>
      <c r="N25" s="16"/>
      <c r="O25" s="57">
        <f t="shared" si="16"/>
        <v>0</v>
      </c>
      <c r="P25" s="57">
        <f>O25/$L25*100</f>
        <v>0</v>
      </c>
      <c r="Q25" s="46"/>
      <c r="R25" s="16"/>
      <c r="S25" s="57">
        <f t="shared" si="18"/>
        <v>0</v>
      </c>
      <c r="T25" s="57">
        <f t="shared" si="5"/>
        <v>0</v>
      </c>
      <c r="U25" s="46"/>
      <c r="V25" s="16">
        <v>74</v>
      </c>
      <c r="W25" s="57">
        <f>U25+V25</f>
        <v>74</v>
      </c>
      <c r="X25" s="57">
        <f t="shared" si="6"/>
        <v>18.5</v>
      </c>
      <c r="Y25" s="46"/>
      <c r="Z25" s="16">
        <v>74</v>
      </c>
      <c r="AA25" s="57">
        <f t="shared" si="21"/>
        <v>74</v>
      </c>
      <c r="AB25" s="57">
        <f t="shared" si="7"/>
        <v>18.5</v>
      </c>
      <c r="AC25" s="403">
        <f t="shared" si="22"/>
        <v>326</v>
      </c>
      <c r="AD25" s="46"/>
      <c r="AE25" s="16">
        <v>500</v>
      </c>
      <c r="AF25" s="57">
        <f t="shared" si="23"/>
        <v>500</v>
      </c>
      <c r="AG25" s="57">
        <f t="shared" si="25"/>
        <v>125</v>
      </c>
      <c r="AH25" s="16">
        <v>3500</v>
      </c>
      <c r="AI25" s="366">
        <f t="shared" si="24"/>
        <v>8.75</v>
      </c>
      <c r="AJ25" s="57" t="s">
        <v>387</v>
      </c>
      <c r="AK25" s="191"/>
      <c r="AL25" s="437">
        <f>L25-AK25</f>
        <v>400</v>
      </c>
      <c r="AM25" s="326" t="s">
        <v>324</v>
      </c>
      <c r="AN25" s="313" t="s">
        <v>120</v>
      </c>
      <c r="AP25" s="192">
        <f t="shared" si="26"/>
        <v>0</v>
      </c>
      <c r="AQ25" s="505">
        <v>100</v>
      </c>
    </row>
    <row r="26" spans="1:43" x14ac:dyDescent="0.2">
      <c r="A26" s="137"/>
      <c r="B26" s="29">
        <v>2292</v>
      </c>
      <c r="C26" s="29">
        <v>204</v>
      </c>
      <c r="D26" s="211" t="s">
        <v>121</v>
      </c>
      <c r="E26" s="46">
        <v>497</v>
      </c>
      <c r="F26" s="16"/>
      <c r="G26" s="57">
        <f t="shared" si="13"/>
        <v>497</v>
      </c>
      <c r="H26" s="190"/>
      <c r="I26" s="191"/>
      <c r="J26" s="46">
        <f>E26+H26</f>
        <v>497</v>
      </c>
      <c r="K26" s="29">
        <f t="shared" si="28"/>
        <v>0</v>
      </c>
      <c r="L26" s="57">
        <f t="shared" si="15"/>
        <v>497</v>
      </c>
      <c r="M26" s="46">
        <v>124.08750000000001</v>
      </c>
      <c r="N26" s="16"/>
      <c r="O26" s="57">
        <f t="shared" si="16"/>
        <v>124.08750000000001</v>
      </c>
      <c r="P26" s="57">
        <f>O26/$L26*100</f>
        <v>24.967303822937627</v>
      </c>
      <c r="Q26" s="46">
        <v>248.17500000000001</v>
      </c>
      <c r="R26" s="16"/>
      <c r="S26" s="57">
        <f t="shared" si="18"/>
        <v>248.17500000000001</v>
      </c>
      <c r="T26" s="57">
        <f t="shared" si="5"/>
        <v>49.934607645875253</v>
      </c>
      <c r="U26" s="46">
        <v>372.26249999999999</v>
      </c>
      <c r="V26" s="16"/>
      <c r="W26" s="57">
        <f>U26+V26</f>
        <v>372.26249999999999</v>
      </c>
      <c r="X26" s="57">
        <f t="shared" si="6"/>
        <v>74.90191146881287</v>
      </c>
      <c r="Y26" s="46">
        <v>496.35</v>
      </c>
      <c r="Z26" s="16"/>
      <c r="AA26" s="57">
        <f t="shared" si="21"/>
        <v>496.35</v>
      </c>
      <c r="AB26" s="57">
        <f t="shared" si="7"/>
        <v>99.869215291750507</v>
      </c>
      <c r="AC26" s="403">
        <f t="shared" si="22"/>
        <v>0.64999999999997726</v>
      </c>
      <c r="AD26" s="46">
        <v>487</v>
      </c>
      <c r="AE26" s="16"/>
      <c r="AF26" s="57">
        <f t="shared" si="23"/>
        <v>487</v>
      </c>
      <c r="AG26" s="57">
        <f t="shared" ref="AG26:AG35" si="30">AF26/$G26*100</f>
        <v>97.987927565392354</v>
      </c>
      <c r="AH26" s="16">
        <v>487</v>
      </c>
      <c r="AI26" s="366">
        <f t="shared" ref="AI26:AI49" si="31">AH26/G26</f>
        <v>0.97987927565392352</v>
      </c>
      <c r="AJ26" s="57" t="s">
        <v>389</v>
      </c>
      <c r="AK26" s="191"/>
      <c r="AL26" s="437">
        <f>L26-AK26</f>
        <v>497</v>
      </c>
      <c r="AM26" s="445" t="s">
        <v>205</v>
      </c>
      <c r="AN26" s="311" t="s">
        <v>70</v>
      </c>
      <c r="AP26" s="192">
        <f t="shared" si="26"/>
        <v>497</v>
      </c>
      <c r="AQ26" s="191">
        <f t="shared" si="27"/>
        <v>0</v>
      </c>
    </row>
    <row r="27" spans="1:43" s="489" customFormat="1" ht="12" x14ac:dyDescent="0.2">
      <c r="A27" s="478"/>
      <c r="B27" s="479">
        <v>2321</v>
      </c>
      <c r="C27" s="479">
        <v>5103</v>
      </c>
      <c r="D27" s="428" t="s">
        <v>338</v>
      </c>
      <c r="E27" s="61">
        <v>62</v>
      </c>
      <c r="F27" s="64">
        <v>4000</v>
      </c>
      <c r="G27" s="63">
        <f t="shared" si="13"/>
        <v>4062</v>
      </c>
      <c r="H27" s="483"/>
      <c r="I27" s="198">
        <v>948</v>
      </c>
      <c r="J27" s="61">
        <f>E27+H27</f>
        <v>62</v>
      </c>
      <c r="K27" s="64">
        <f t="shared" si="28"/>
        <v>4948</v>
      </c>
      <c r="L27" s="63">
        <f t="shared" si="15"/>
        <v>5010</v>
      </c>
      <c r="M27" s="480"/>
      <c r="N27" s="481"/>
      <c r="O27" s="482">
        <f t="shared" si="16"/>
        <v>0</v>
      </c>
      <c r="P27" s="482">
        <f>O27/$L27*100</f>
        <v>0</v>
      </c>
      <c r="Q27" s="480"/>
      <c r="R27" s="64">
        <v>4000</v>
      </c>
      <c r="S27" s="63">
        <f t="shared" si="18"/>
        <v>4000</v>
      </c>
      <c r="T27" s="482">
        <f t="shared" si="5"/>
        <v>79.840319361277452</v>
      </c>
      <c r="U27" s="61">
        <v>61.375</v>
      </c>
      <c r="V27" s="64">
        <v>4948</v>
      </c>
      <c r="W27" s="63">
        <f>U27+V27</f>
        <v>5009.375</v>
      </c>
      <c r="X27" s="63">
        <f t="shared" si="6"/>
        <v>99.987524950099811</v>
      </c>
      <c r="Y27" s="480">
        <v>61.375</v>
      </c>
      <c r="Z27" s="481">
        <v>4948</v>
      </c>
      <c r="AA27" s="482">
        <f t="shared" si="21"/>
        <v>5009.375</v>
      </c>
      <c r="AB27" s="482">
        <f t="shared" si="7"/>
        <v>99.987524950099811</v>
      </c>
      <c r="AC27" s="403">
        <f t="shared" si="22"/>
        <v>0.625</v>
      </c>
      <c r="AD27" s="61">
        <v>51</v>
      </c>
      <c r="AE27" s="64">
        <v>2000</v>
      </c>
      <c r="AF27" s="63">
        <f t="shared" si="23"/>
        <v>2051</v>
      </c>
      <c r="AG27" s="63">
        <f t="shared" si="30"/>
        <v>50.492368291482023</v>
      </c>
      <c r="AH27" s="64">
        <f>51+2000</f>
        <v>2051</v>
      </c>
      <c r="AI27" s="368">
        <f t="shared" si="31"/>
        <v>0.50492368291482026</v>
      </c>
      <c r="AJ27" s="63" t="s">
        <v>571</v>
      </c>
      <c r="AK27" s="484"/>
      <c r="AL27" s="485">
        <f>L27-AK27</f>
        <v>5010</v>
      </c>
      <c r="AM27" s="486" t="s">
        <v>374</v>
      </c>
      <c r="AN27" s="487" t="s">
        <v>70</v>
      </c>
      <c r="AO27" s="488"/>
      <c r="AP27" s="415">
        <f t="shared" si="26"/>
        <v>62</v>
      </c>
      <c r="AQ27" s="198">
        <f t="shared" si="27"/>
        <v>4948</v>
      </c>
    </row>
    <row r="28" spans="1:43" x14ac:dyDescent="0.2">
      <c r="A28" s="90">
        <v>31</v>
      </c>
      <c r="B28" s="32">
        <v>3100</v>
      </c>
      <c r="C28" s="32"/>
      <c r="D28" s="419" t="s">
        <v>71</v>
      </c>
      <c r="E28" s="55">
        <f>SUM(E29:E43)</f>
        <v>12565</v>
      </c>
      <c r="F28" s="18">
        <f>SUM(F29:F43)</f>
        <v>6700</v>
      </c>
      <c r="G28" s="56">
        <f>SUM(G29:G43)</f>
        <v>19265</v>
      </c>
      <c r="H28" s="199">
        <f>SUM(H29:H43)</f>
        <v>-288.74599999999987</v>
      </c>
      <c r="I28" s="200">
        <f t="shared" ref="I28:O28" si="32">SUM(I29:I43)</f>
        <v>-23</v>
      </c>
      <c r="J28" s="55">
        <f t="shared" si="32"/>
        <v>12276.254000000001</v>
      </c>
      <c r="K28" s="18">
        <f t="shared" si="32"/>
        <v>6677</v>
      </c>
      <c r="L28" s="56">
        <f t="shared" si="32"/>
        <v>18953.254000000001</v>
      </c>
      <c r="M28" s="55">
        <f t="shared" si="32"/>
        <v>1892.1038800000001</v>
      </c>
      <c r="N28" s="18">
        <f t="shared" si="32"/>
        <v>337.17399999999998</v>
      </c>
      <c r="O28" s="56">
        <f t="shared" si="32"/>
        <v>2229.2778800000001</v>
      </c>
      <c r="P28" s="60">
        <f>O28/$L28*100</f>
        <v>11.761979657952139</v>
      </c>
      <c r="Q28" s="55">
        <f>SUM(Q29:Q43)</f>
        <v>4767.6875700000001</v>
      </c>
      <c r="R28" s="18">
        <f>SUM(R29:R43)</f>
        <v>1723.1894500000001</v>
      </c>
      <c r="S28" s="56">
        <f>SUM(S29:S43)</f>
        <v>6490.8770199999999</v>
      </c>
      <c r="T28" s="60">
        <f t="shared" si="5"/>
        <v>34.246768496850194</v>
      </c>
      <c r="U28" s="55">
        <f>SUM(U29:U43)</f>
        <v>9869.4073799999987</v>
      </c>
      <c r="V28" s="18">
        <f>SUM(V29:V43)</f>
        <v>3953.9645599999999</v>
      </c>
      <c r="W28" s="56">
        <f>SUM(W29:W43)</f>
        <v>13823.371939999999</v>
      </c>
      <c r="X28" s="60">
        <f t="shared" si="6"/>
        <v>72.934029903255663</v>
      </c>
      <c r="Y28" s="55">
        <f>SUM(Y29:Y43)</f>
        <v>11664.043880000003</v>
      </c>
      <c r="Z28" s="18">
        <f>SUM(Z29:Z43)</f>
        <v>4054.2225600000002</v>
      </c>
      <c r="AA28" s="56">
        <f>SUM(AA29:AA43)</f>
        <v>15718.266440000001</v>
      </c>
      <c r="AB28" s="60">
        <f t="shared" si="7"/>
        <v>82.931756415019819</v>
      </c>
      <c r="AC28" s="404">
        <f>SUM(AC29:AC43)</f>
        <v>3234.9875599999996</v>
      </c>
      <c r="AD28" s="55">
        <f>SUM(AD29:AD43)</f>
        <v>13412</v>
      </c>
      <c r="AE28" s="18">
        <f>SUM(AE29:AE43)</f>
        <v>5470</v>
      </c>
      <c r="AF28" s="56">
        <f>SUM(AF29:AF43)</f>
        <v>18882</v>
      </c>
      <c r="AG28" s="56">
        <f t="shared" si="30"/>
        <v>98.011938749026726</v>
      </c>
      <c r="AH28" s="18">
        <f>SUM(AH29:AH43)</f>
        <v>25572</v>
      </c>
      <c r="AI28" s="369">
        <f t="shared" si="31"/>
        <v>1.3273812613547884</v>
      </c>
      <c r="AJ28" s="56"/>
      <c r="AK28" s="200">
        <f>SUM(AK29:AK43)</f>
        <v>0</v>
      </c>
      <c r="AL28" s="440">
        <f>SUM(AL29:AL43)</f>
        <v>13353.254000000001</v>
      </c>
      <c r="AM28" s="327"/>
      <c r="AN28" s="74"/>
      <c r="AP28" s="199">
        <f>SUM(AP29:AP43)</f>
        <v>12187.660449999999</v>
      </c>
      <c r="AQ28" s="200">
        <f>SUM(AQ29:AQ43)</f>
        <v>4100</v>
      </c>
    </row>
    <row r="29" spans="1:43" ht="12" customHeight="1" x14ac:dyDescent="0.2">
      <c r="A29" s="137"/>
      <c r="B29" s="29">
        <v>3111</v>
      </c>
      <c r="C29" s="29">
        <v>301</v>
      </c>
      <c r="D29" s="211" t="s">
        <v>214</v>
      </c>
      <c r="E29" s="46">
        <v>1463</v>
      </c>
      <c r="F29" s="16"/>
      <c r="G29" s="57">
        <f t="shared" ref="G29:G43" si="33">E29+F29</f>
        <v>1463</v>
      </c>
      <c r="H29" s="196">
        <f>260.9664+59.7618</f>
        <v>320.72820000000002</v>
      </c>
      <c r="I29" s="191"/>
      <c r="J29" s="46">
        <f t="shared" ref="J29:J42" si="34">E29+H29</f>
        <v>1783.7282</v>
      </c>
      <c r="K29" s="29"/>
      <c r="L29" s="57">
        <f t="shared" ref="L29:L40" si="35">SUM(J29:K29)</f>
        <v>1783.7282</v>
      </c>
      <c r="M29" s="46">
        <v>365.75</v>
      </c>
      <c r="N29" s="16"/>
      <c r="O29" s="57">
        <f t="shared" ref="O29:O43" si="36">M29+N29</f>
        <v>365.75</v>
      </c>
      <c r="P29" s="57">
        <f t="shared" ref="P29:P36" si="37">O29/$L29*100</f>
        <v>20.504805608836595</v>
      </c>
      <c r="Q29" s="46">
        <f>731.5+260.9664</f>
        <v>992.46640000000002</v>
      </c>
      <c r="R29" s="16"/>
      <c r="S29" s="57">
        <f t="shared" ref="S29:S43" si="38">Q29+R29</f>
        <v>992.46640000000002</v>
      </c>
      <c r="T29" s="57">
        <f t="shared" si="5"/>
        <v>55.640001654960656</v>
      </c>
      <c r="U29" s="46">
        <f>1097.25+320.7282</f>
        <v>1417.9782</v>
      </c>
      <c r="V29" s="16"/>
      <c r="W29" s="57">
        <f t="shared" ref="W29:W43" si="39">U29+V29</f>
        <v>1417.9782</v>
      </c>
      <c r="X29" s="57">
        <f t="shared" si="6"/>
        <v>79.495194391163409</v>
      </c>
      <c r="Y29" s="46">
        <f>1463+320.7282</f>
        <v>1783.7282</v>
      </c>
      <c r="Z29" s="16"/>
      <c r="AA29" s="57">
        <f t="shared" ref="AA29:AA43" si="40">Y29+Z29</f>
        <v>1783.7282</v>
      </c>
      <c r="AB29" s="57">
        <f t="shared" si="7"/>
        <v>100</v>
      </c>
      <c r="AC29" s="403">
        <f t="shared" ref="AC29:AC43" si="41">L29-AA29</f>
        <v>0</v>
      </c>
      <c r="AD29" s="46">
        <v>1463</v>
      </c>
      <c r="AE29" s="16"/>
      <c r="AF29" s="57">
        <f t="shared" ref="AF29:AF43" si="42">AD29+AE29</f>
        <v>1463</v>
      </c>
      <c r="AG29" s="57">
        <f t="shared" si="30"/>
        <v>100</v>
      </c>
      <c r="AH29" s="16">
        <v>1483</v>
      </c>
      <c r="AI29" s="366">
        <f t="shared" si="31"/>
        <v>1.0136705399863295</v>
      </c>
      <c r="AJ29" s="57"/>
      <c r="AK29" s="191"/>
      <c r="AL29" s="437">
        <f t="shared" ref="AL29:AL43" si="43">L29-AK29</f>
        <v>1783.7282</v>
      </c>
      <c r="AM29" s="325" t="s">
        <v>206</v>
      </c>
      <c r="AN29" s="311" t="s">
        <v>70</v>
      </c>
      <c r="AP29" s="192">
        <f t="shared" ref="AP29:AP43" si="44">J29</f>
        <v>1783.7282</v>
      </c>
      <c r="AQ29" s="191">
        <f t="shared" ref="AQ29:AQ43" si="45">K29</f>
        <v>0</v>
      </c>
    </row>
    <row r="30" spans="1:43" ht="12" customHeight="1" x14ac:dyDescent="0.2">
      <c r="A30" s="137"/>
      <c r="B30" s="29">
        <v>3111</v>
      </c>
      <c r="C30" s="29">
        <v>301</v>
      </c>
      <c r="D30" s="211" t="s">
        <v>259</v>
      </c>
      <c r="E30" s="46">
        <v>223</v>
      </c>
      <c r="F30" s="16"/>
      <c r="G30" s="57">
        <f t="shared" si="33"/>
        <v>223</v>
      </c>
      <c r="H30" s="190"/>
      <c r="I30" s="191"/>
      <c r="J30" s="46">
        <f t="shared" si="34"/>
        <v>223</v>
      </c>
      <c r="K30" s="29"/>
      <c r="L30" s="57">
        <f t="shared" si="35"/>
        <v>223</v>
      </c>
      <c r="M30" s="46"/>
      <c r="N30" s="16"/>
      <c r="O30" s="57">
        <f t="shared" si="36"/>
        <v>0</v>
      </c>
      <c r="P30" s="57">
        <f t="shared" si="37"/>
        <v>0</v>
      </c>
      <c r="Q30" s="46">
        <v>0</v>
      </c>
      <c r="R30" s="16"/>
      <c r="S30" s="57">
        <f t="shared" si="38"/>
        <v>0</v>
      </c>
      <c r="T30" s="57">
        <f t="shared" si="5"/>
        <v>0</v>
      </c>
      <c r="U30" s="46">
        <v>222.58099999999999</v>
      </c>
      <c r="V30" s="16"/>
      <c r="W30" s="57">
        <f t="shared" si="39"/>
        <v>222.58099999999999</v>
      </c>
      <c r="X30" s="57">
        <f t="shared" si="6"/>
        <v>99.812107623318383</v>
      </c>
      <c r="Y30" s="46">
        <v>228.346</v>
      </c>
      <c r="Z30" s="16"/>
      <c r="AA30" s="57">
        <f t="shared" si="40"/>
        <v>228.346</v>
      </c>
      <c r="AB30" s="57">
        <f t="shared" si="7"/>
        <v>102.39730941704035</v>
      </c>
      <c r="AC30" s="403">
        <f t="shared" si="41"/>
        <v>-5.3460000000000036</v>
      </c>
      <c r="AD30" s="46">
        <v>223</v>
      </c>
      <c r="AE30" s="16"/>
      <c r="AF30" s="57">
        <f t="shared" si="42"/>
        <v>223</v>
      </c>
      <c r="AG30" s="57">
        <f t="shared" si="30"/>
        <v>100</v>
      </c>
      <c r="AH30" s="16">
        <v>223</v>
      </c>
      <c r="AI30" s="366">
        <f t="shared" si="31"/>
        <v>1</v>
      </c>
      <c r="AJ30" s="57"/>
      <c r="AK30" s="191"/>
      <c r="AL30" s="437">
        <f t="shared" si="43"/>
        <v>223</v>
      </c>
      <c r="AM30" s="325" t="s">
        <v>206</v>
      </c>
      <c r="AN30" s="311" t="s">
        <v>70</v>
      </c>
      <c r="AP30" s="192">
        <f t="shared" si="44"/>
        <v>223</v>
      </c>
      <c r="AQ30" s="191">
        <f t="shared" si="45"/>
        <v>0</v>
      </c>
    </row>
    <row r="31" spans="1:43" ht="12" customHeight="1" x14ac:dyDescent="0.2">
      <c r="A31" s="137"/>
      <c r="B31" s="29">
        <v>3111</v>
      </c>
      <c r="C31" s="29"/>
      <c r="D31" s="211" t="s">
        <v>472</v>
      </c>
      <c r="E31" s="46"/>
      <c r="F31" s="16"/>
      <c r="G31" s="57"/>
      <c r="H31" s="190"/>
      <c r="I31" s="191"/>
      <c r="J31" s="46"/>
      <c r="K31" s="29"/>
      <c r="L31" s="57"/>
      <c r="M31" s="46"/>
      <c r="N31" s="16"/>
      <c r="O31" s="57"/>
      <c r="P31" s="57"/>
      <c r="Q31" s="46"/>
      <c r="R31" s="16"/>
      <c r="S31" s="57"/>
      <c r="T31" s="57"/>
      <c r="U31" s="46"/>
      <c r="V31" s="16"/>
      <c r="W31" s="57"/>
      <c r="X31" s="57"/>
      <c r="Y31" s="46"/>
      <c r="Z31" s="16"/>
      <c r="AA31" s="57"/>
      <c r="AB31" s="57"/>
      <c r="AC31" s="403">
        <f t="shared" si="41"/>
        <v>0</v>
      </c>
      <c r="AD31" s="46"/>
      <c r="AE31" s="16">
        <v>300</v>
      </c>
      <c r="AF31" s="57">
        <f t="shared" si="42"/>
        <v>300</v>
      </c>
      <c r="AG31" s="57"/>
      <c r="AH31" s="16"/>
      <c r="AI31" s="366"/>
      <c r="AJ31" s="57"/>
      <c r="AK31" s="191"/>
      <c r="AL31" s="437"/>
      <c r="AM31" s="326" t="s">
        <v>164</v>
      </c>
      <c r="AN31" s="313" t="s">
        <v>120</v>
      </c>
      <c r="AP31" s="192"/>
      <c r="AQ31" s="191"/>
    </row>
    <row r="32" spans="1:43" x14ac:dyDescent="0.2">
      <c r="A32" s="137"/>
      <c r="B32" s="29">
        <v>3113</v>
      </c>
      <c r="C32" s="29">
        <v>300</v>
      </c>
      <c r="D32" s="211" t="s">
        <v>207</v>
      </c>
      <c r="E32" s="46">
        <f>3000+1000</f>
        <v>4000</v>
      </c>
      <c r="F32" s="16"/>
      <c r="G32" s="57">
        <f t="shared" si="33"/>
        <v>4000</v>
      </c>
      <c r="H32" s="190">
        <v>-2500</v>
      </c>
      <c r="I32" s="191"/>
      <c r="J32" s="46">
        <f t="shared" si="34"/>
        <v>1500</v>
      </c>
      <c r="K32" s="16"/>
      <c r="L32" s="57">
        <f t="shared" si="35"/>
        <v>1500</v>
      </c>
      <c r="M32" s="46">
        <f>420.809-N32</f>
        <v>83.635000000000048</v>
      </c>
      <c r="N32" s="498">
        <v>337.17399999999998</v>
      </c>
      <c r="O32" s="57">
        <f t="shared" si="36"/>
        <v>420.80900000000003</v>
      </c>
      <c r="P32" s="57">
        <f t="shared" si="37"/>
        <v>28.053933333333337</v>
      </c>
      <c r="Q32" s="46">
        <f>1018.56105-R32</f>
        <v>681.38705000000004</v>
      </c>
      <c r="R32" s="16">
        <v>337.17399999999998</v>
      </c>
      <c r="S32" s="57">
        <f t="shared" si="38"/>
        <v>1018.56105</v>
      </c>
      <c r="T32" s="57">
        <f t="shared" si="5"/>
        <v>67.904070000000004</v>
      </c>
      <c r="U32" s="46">
        <v>1518.4064499999999</v>
      </c>
      <c r="V32" s="16"/>
      <c r="W32" s="57">
        <f t="shared" si="39"/>
        <v>1518.4064499999999</v>
      </c>
      <c r="X32" s="57">
        <f t="shared" si="6"/>
        <v>101.22709666666667</v>
      </c>
      <c r="Y32" s="46">
        <v>1747.2454499999999</v>
      </c>
      <c r="Z32" s="16"/>
      <c r="AA32" s="57">
        <f t="shared" si="40"/>
        <v>1747.2454499999999</v>
      </c>
      <c r="AB32" s="57">
        <f t="shared" si="7"/>
        <v>116.48303</v>
      </c>
      <c r="AC32" s="403">
        <f t="shared" si="41"/>
        <v>-247.24544999999989</v>
      </c>
      <c r="AD32" s="46">
        <f>3150+100</f>
        <v>3250</v>
      </c>
      <c r="AE32" s="16"/>
      <c r="AF32" s="57">
        <f t="shared" si="42"/>
        <v>3250</v>
      </c>
      <c r="AG32" s="57">
        <f t="shared" si="30"/>
        <v>81.25</v>
      </c>
      <c r="AH32" s="16">
        <v>13550</v>
      </c>
      <c r="AI32" s="366">
        <f t="shared" si="31"/>
        <v>3.3875000000000002</v>
      </c>
      <c r="AJ32" s="57" t="s">
        <v>473</v>
      </c>
      <c r="AK32" s="191"/>
      <c r="AL32" s="437">
        <f t="shared" si="43"/>
        <v>1500</v>
      </c>
      <c r="AM32" s="326" t="s">
        <v>164</v>
      </c>
      <c r="AN32" s="313" t="s">
        <v>120</v>
      </c>
      <c r="AP32" s="192">
        <f>U32</f>
        <v>1518.4064499999999</v>
      </c>
      <c r="AQ32" s="191">
        <f t="shared" si="45"/>
        <v>0</v>
      </c>
    </row>
    <row r="33" spans="1:43" ht="12.75" customHeight="1" x14ac:dyDescent="0.2">
      <c r="A33" s="137"/>
      <c r="B33" s="29">
        <v>3113</v>
      </c>
      <c r="C33" s="29">
        <v>303</v>
      </c>
      <c r="D33" s="211" t="s">
        <v>215</v>
      </c>
      <c r="E33" s="46">
        <v>2331</v>
      </c>
      <c r="F33" s="16"/>
      <c r="G33" s="57">
        <f t="shared" si="33"/>
        <v>2331</v>
      </c>
      <c r="H33" s="196">
        <f>30+385.3064</f>
        <v>415.3064</v>
      </c>
      <c r="I33" s="191"/>
      <c r="J33" s="46">
        <f t="shared" si="34"/>
        <v>2746.3063999999999</v>
      </c>
      <c r="K33" s="16"/>
      <c r="L33" s="57">
        <f t="shared" si="35"/>
        <v>2746.3063999999999</v>
      </c>
      <c r="M33" s="46">
        <v>582.75</v>
      </c>
      <c r="N33" s="16"/>
      <c r="O33" s="57">
        <f t="shared" si="36"/>
        <v>582.75</v>
      </c>
      <c r="P33" s="57">
        <f t="shared" si="37"/>
        <v>21.219409458463922</v>
      </c>
      <c r="Q33" s="46">
        <v>1165.5</v>
      </c>
      <c r="R33" s="16"/>
      <c r="S33" s="57">
        <f t="shared" si="38"/>
        <v>1165.5</v>
      </c>
      <c r="T33" s="57">
        <f t="shared" si="5"/>
        <v>42.438818916927843</v>
      </c>
      <c r="U33" s="46">
        <f>1748.25</f>
        <v>1748.25</v>
      </c>
      <c r="V33" s="16"/>
      <c r="W33" s="57">
        <f t="shared" si="39"/>
        <v>1748.25</v>
      </c>
      <c r="X33" s="57">
        <f t="shared" si="6"/>
        <v>63.658228375391765</v>
      </c>
      <c r="Y33" s="46">
        <f>2361+385.3064</f>
        <v>2746.3063999999999</v>
      </c>
      <c r="Z33" s="16"/>
      <c r="AA33" s="57">
        <f t="shared" si="40"/>
        <v>2746.3063999999999</v>
      </c>
      <c r="AB33" s="57">
        <f t="shared" si="7"/>
        <v>100</v>
      </c>
      <c r="AC33" s="403">
        <f t="shared" si="41"/>
        <v>0</v>
      </c>
      <c r="AD33" s="46">
        <f>1732+548-289</f>
        <v>1991</v>
      </c>
      <c r="AE33" s="16"/>
      <c r="AF33" s="57">
        <f t="shared" si="42"/>
        <v>1991</v>
      </c>
      <c r="AG33" s="57">
        <f t="shared" si="30"/>
        <v>85.413985413985415</v>
      </c>
      <c r="AH33" s="46">
        <f>1732+548</f>
        <v>2280</v>
      </c>
      <c r="AI33" s="366">
        <f t="shared" si="31"/>
        <v>0.97812097812097809</v>
      </c>
      <c r="AJ33" s="57" t="s">
        <v>572</v>
      </c>
      <c r="AK33" s="191"/>
      <c r="AL33" s="437">
        <f t="shared" si="43"/>
        <v>2746.3063999999999</v>
      </c>
      <c r="AM33" s="325" t="s">
        <v>206</v>
      </c>
      <c r="AN33" s="311" t="s">
        <v>70</v>
      </c>
      <c r="AP33" s="192">
        <f t="shared" si="44"/>
        <v>2746.3063999999999</v>
      </c>
      <c r="AQ33" s="191">
        <f t="shared" si="45"/>
        <v>0</v>
      </c>
    </row>
    <row r="34" spans="1:43" ht="12.75" customHeight="1" x14ac:dyDescent="0.2">
      <c r="A34" s="137"/>
      <c r="B34" s="29">
        <v>3113</v>
      </c>
      <c r="C34" s="29">
        <v>303</v>
      </c>
      <c r="D34" s="211" t="s">
        <v>488</v>
      </c>
      <c r="E34" s="46"/>
      <c r="F34" s="16"/>
      <c r="G34" s="57"/>
      <c r="H34" s="196"/>
      <c r="I34" s="191"/>
      <c r="J34" s="46"/>
      <c r="K34" s="16"/>
      <c r="L34" s="57"/>
      <c r="M34" s="46"/>
      <c r="N34" s="16"/>
      <c r="O34" s="57"/>
      <c r="P34" s="57"/>
      <c r="Q34" s="46"/>
      <c r="R34" s="16"/>
      <c r="S34" s="57"/>
      <c r="T34" s="57"/>
      <c r="U34" s="46"/>
      <c r="V34" s="16"/>
      <c r="W34" s="57"/>
      <c r="X34" s="57"/>
      <c r="Y34" s="46"/>
      <c r="Z34" s="16"/>
      <c r="AA34" s="57"/>
      <c r="AB34" s="57"/>
      <c r="AC34" s="403"/>
      <c r="AD34" s="46">
        <v>2995</v>
      </c>
      <c r="AE34" s="16"/>
      <c r="AF34" s="57">
        <f t="shared" si="42"/>
        <v>2995</v>
      </c>
      <c r="AG34" s="57"/>
      <c r="AH34" s="46"/>
      <c r="AI34" s="366"/>
      <c r="AJ34" s="57"/>
      <c r="AK34" s="191"/>
      <c r="AL34" s="437"/>
      <c r="AM34" s="325" t="s">
        <v>206</v>
      </c>
      <c r="AN34" s="311" t="s">
        <v>70</v>
      </c>
      <c r="AP34" s="192"/>
      <c r="AQ34" s="191"/>
    </row>
    <row r="35" spans="1:43" x14ac:dyDescent="0.2">
      <c r="A35" s="137"/>
      <c r="B35" s="29">
        <v>3113</v>
      </c>
      <c r="C35" s="29">
        <v>303.30399999999997</v>
      </c>
      <c r="D35" s="211" t="s">
        <v>260</v>
      </c>
      <c r="E35" s="46">
        <f>636+363</f>
        <v>999</v>
      </c>
      <c r="F35" s="16"/>
      <c r="G35" s="57">
        <f t="shared" si="33"/>
        <v>999</v>
      </c>
      <c r="H35" s="190"/>
      <c r="I35" s="191"/>
      <c r="J35" s="46">
        <f t="shared" si="34"/>
        <v>999</v>
      </c>
      <c r="K35" s="29"/>
      <c r="L35" s="57">
        <f t="shared" si="35"/>
        <v>999</v>
      </c>
      <c r="M35" s="46"/>
      <c r="N35" s="16"/>
      <c r="O35" s="57">
        <f t="shared" si="36"/>
        <v>0</v>
      </c>
      <c r="P35" s="57">
        <f t="shared" si="37"/>
        <v>0</v>
      </c>
      <c r="Q35" s="46">
        <v>0</v>
      </c>
      <c r="R35" s="16"/>
      <c r="S35" s="57">
        <f t="shared" si="38"/>
        <v>0</v>
      </c>
      <c r="T35" s="57">
        <f t="shared" si="5"/>
        <v>0</v>
      </c>
      <c r="U35" s="46">
        <f>636.473+362.754</f>
        <v>999.22699999999998</v>
      </c>
      <c r="V35" s="16"/>
      <c r="W35" s="57">
        <f t="shared" si="39"/>
        <v>999.22699999999998</v>
      </c>
      <c r="X35" s="57">
        <f t="shared" si="6"/>
        <v>100.02272272272272</v>
      </c>
      <c r="Y35" s="46">
        <f>646.603+444.386</f>
        <v>1090.989</v>
      </c>
      <c r="Z35" s="16"/>
      <c r="AA35" s="57">
        <f t="shared" si="40"/>
        <v>1090.989</v>
      </c>
      <c r="AB35" s="57">
        <f t="shared" si="7"/>
        <v>109.20810810810811</v>
      </c>
      <c r="AC35" s="403">
        <f t="shared" si="41"/>
        <v>-91.989000000000033</v>
      </c>
      <c r="AD35" s="46">
        <f>462+647</f>
        <v>1109</v>
      </c>
      <c r="AE35" s="16"/>
      <c r="AF35" s="57">
        <f t="shared" si="42"/>
        <v>1109</v>
      </c>
      <c r="AG35" s="57">
        <f t="shared" si="30"/>
        <v>111.01101101101101</v>
      </c>
      <c r="AH35" s="46">
        <f>462+647</f>
        <v>1109</v>
      </c>
      <c r="AI35" s="366">
        <f t="shared" si="31"/>
        <v>1.1101101101101101</v>
      </c>
      <c r="AJ35" s="57"/>
      <c r="AK35" s="191"/>
      <c r="AL35" s="437">
        <f t="shared" si="43"/>
        <v>999</v>
      </c>
      <c r="AM35" s="325" t="s">
        <v>206</v>
      </c>
      <c r="AN35" s="311" t="s">
        <v>70</v>
      </c>
      <c r="AP35" s="192">
        <f t="shared" si="44"/>
        <v>999</v>
      </c>
      <c r="AQ35" s="191">
        <f t="shared" si="45"/>
        <v>0</v>
      </c>
    </row>
    <row r="36" spans="1:43" x14ac:dyDescent="0.2">
      <c r="A36" s="137"/>
      <c r="B36" s="29">
        <v>3113</v>
      </c>
      <c r="C36" s="29">
        <v>304</v>
      </c>
      <c r="D36" s="211" t="s">
        <v>216</v>
      </c>
      <c r="E36" s="46">
        <v>1561</v>
      </c>
      <c r="F36" s="16">
        <v>1100</v>
      </c>
      <c r="G36" s="57">
        <f t="shared" si="33"/>
        <v>2661</v>
      </c>
      <c r="H36" s="196">
        <f>10+338.3484</f>
        <v>348.34840000000003</v>
      </c>
      <c r="I36" s="191"/>
      <c r="J36" s="46">
        <f t="shared" si="34"/>
        <v>1909.3484000000001</v>
      </c>
      <c r="K36" s="29">
        <f>F36+I36</f>
        <v>1100</v>
      </c>
      <c r="L36" s="57">
        <f t="shared" si="35"/>
        <v>3009.3483999999999</v>
      </c>
      <c r="M36" s="46">
        <v>390.25</v>
      </c>
      <c r="N36" s="16"/>
      <c r="O36" s="57">
        <f t="shared" si="36"/>
        <v>390.25</v>
      </c>
      <c r="P36" s="57">
        <f t="shared" si="37"/>
        <v>12.967923554481098</v>
      </c>
      <c r="Q36" s="46">
        <f>10+780.5+338.3484</f>
        <v>1128.8484000000001</v>
      </c>
      <c r="R36" s="16"/>
      <c r="S36" s="57">
        <f t="shared" si="38"/>
        <v>1128.8484000000001</v>
      </c>
      <c r="T36" s="57">
        <f t="shared" si="5"/>
        <v>37.511389508772069</v>
      </c>
      <c r="U36" s="46">
        <f>10+1170.75+338.3484</f>
        <v>1519.0984000000001</v>
      </c>
      <c r="V36" s="16"/>
      <c r="W36" s="57">
        <f t="shared" si="39"/>
        <v>1519.0984000000001</v>
      </c>
      <c r="X36" s="57">
        <f t="shared" si="6"/>
        <v>50.479313063253159</v>
      </c>
      <c r="Y36" s="46">
        <f>10+1561+338.3484</f>
        <v>1909.3484000000001</v>
      </c>
      <c r="Z36" s="16">
        <v>0</v>
      </c>
      <c r="AA36" s="57">
        <f t="shared" si="40"/>
        <v>1909.3484000000001</v>
      </c>
      <c r="AB36" s="57">
        <f t="shared" si="7"/>
        <v>63.447236617734262</v>
      </c>
      <c r="AC36" s="403">
        <f t="shared" si="41"/>
        <v>1099.9999999999998</v>
      </c>
      <c r="AD36" s="46">
        <f>1484-146</f>
        <v>1338</v>
      </c>
      <c r="AE36" s="16">
        <v>1550</v>
      </c>
      <c r="AF36" s="57">
        <f t="shared" si="42"/>
        <v>2888</v>
      </c>
      <c r="AG36" s="57">
        <f t="shared" ref="AG36:AG52" si="46">AF36/$G36*100</f>
        <v>108.53062758361519</v>
      </c>
      <c r="AH36" s="16">
        <f>1564+770</f>
        <v>2334</v>
      </c>
      <c r="AI36" s="366">
        <f t="shared" si="31"/>
        <v>0.87711386696730553</v>
      </c>
      <c r="AJ36" s="57" t="s">
        <v>573</v>
      </c>
      <c r="AK36" s="191"/>
      <c r="AL36" s="437">
        <f t="shared" si="43"/>
        <v>3009.3483999999999</v>
      </c>
      <c r="AM36" s="325" t="s">
        <v>206</v>
      </c>
      <c r="AN36" s="311" t="s">
        <v>70</v>
      </c>
      <c r="AP36" s="192">
        <f t="shared" si="44"/>
        <v>1909.3484000000001</v>
      </c>
      <c r="AQ36" s="505">
        <v>0</v>
      </c>
    </row>
    <row r="37" spans="1:43" x14ac:dyDescent="0.2">
      <c r="A37" s="137"/>
      <c r="B37" s="29">
        <v>3113</v>
      </c>
      <c r="C37" s="29">
        <v>4169</v>
      </c>
      <c r="D37" s="490" t="s">
        <v>393</v>
      </c>
      <c r="E37" s="46"/>
      <c r="F37" s="16">
        <v>100</v>
      </c>
      <c r="G37" s="57">
        <f t="shared" si="33"/>
        <v>100</v>
      </c>
      <c r="H37" s="196"/>
      <c r="I37" s="191"/>
      <c r="J37" s="46">
        <f t="shared" si="34"/>
        <v>0</v>
      </c>
      <c r="K37" s="29">
        <f>F37+I37</f>
        <v>100</v>
      </c>
      <c r="L37" s="57">
        <f>SUM(J37:K37)</f>
        <v>100</v>
      </c>
      <c r="M37" s="46"/>
      <c r="N37" s="16"/>
      <c r="O37" s="57">
        <f t="shared" si="36"/>
        <v>0</v>
      </c>
      <c r="P37" s="57"/>
      <c r="Q37" s="46"/>
      <c r="R37" s="16"/>
      <c r="S37" s="57">
        <f t="shared" si="38"/>
        <v>0</v>
      </c>
      <c r="T37" s="57"/>
      <c r="U37" s="46"/>
      <c r="V37" s="16"/>
      <c r="W37" s="57">
        <f t="shared" si="39"/>
        <v>0</v>
      </c>
      <c r="X37" s="57">
        <f t="shared" si="6"/>
        <v>0</v>
      </c>
      <c r="Y37" s="46"/>
      <c r="Z37" s="16"/>
      <c r="AA37" s="57">
        <f t="shared" si="40"/>
        <v>0</v>
      </c>
      <c r="AB37" s="57"/>
      <c r="AC37" s="403">
        <f t="shared" si="41"/>
        <v>100</v>
      </c>
      <c r="AD37" s="46"/>
      <c r="AE37" s="16">
        <v>150</v>
      </c>
      <c r="AF37" s="57">
        <f t="shared" si="42"/>
        <v>150</v>
      </c>
      <c r="AG37" s="57">
        <f t="shared" si="46"/>
        <v>150</v>
      </c>
      <c r="AH37" s="16">
        <v>150</v>
      </c>
      <c r="AI37" s="366">
        <f t="shared" si="31"/>
        <v>1.5</v>
      </c>
      <c r="AJ37" s="57"/>
      <c r="AK37" s="191"/>
      <c r="AL37" s="437"/>
      <c r="AM37" s="326" t="s">
        <v>324</v>
      </c>
      <c r="AN37" s="313" t="s">
        <v>120</v>
      </c>
      <c r="AP37" s="192">
        <f t="shared" si="44"/>
        <v>0</v>
      </c>
      <c r="AQ37" s="505">
        <v>0</v>
      </c>
    </row>
    <row r="38" spans="1:43" x14ac:dyDescent="0.2">
      <c r="A38" s="137"/>
      <c r="B38" s="29">
        <v>3114</v>
      </c>
      <c r="C38" s="29">
        <v>311</v>
      </c>
      <c r="D38" s="211" t="s">
        <v>253</v>
      </c>
      <c r="E38" s="46">
        <v>140</v>
      </c>
      <c r="F38" s="16"/>
      <c r="G38" s="57">
        <f t="shared" si="33"/>
        <v>140</v>
      </c>
      <c r="H38" s="190">
        <f>49.4+1103.871-49.4</f>
        <v>1103.8710000000001</v>
      </c>
      <c r="I38" s="191"/>
      <c r="J38" s="46">
        <f t="shared" si="34"/>
        <v>1243.8710000000001</v>
      </c>
      <c r="K38" s="29"/>
      <c r="L38" s="57">
        <f t="shared" si="35"/>
        <v>1243.8710000000001</v>
      </c>
      <c r="M38" s="46">
        <v>35</v>
      </c>
      <c r="N38" s="16"/>
      <c r="O38" s="57">
        <f t="shared" si="36"/>
        <v>35</v>
      </c>
      <c r="P38" s="57">
        <f t="shared" ref="P38:P53" si="47">O38/$L38*100</f>
        <v>2.8137966075260215</v>
      </c>
      <c r="Q38" s="46">
        <v>70</v>
      </c>
      <c r="R38" s="16"/>
      <c r="S38" s="57">
        <f t="shared" si="38"/>
        <v>70</v>
      </c>
      <c r="T38" s="57">
        <f t="shared" si="5"/>
        <v>5.6275932150520429</v>
      </c>
      <c r="U38" s="46">
        <v>1190.8710000000001</v>
      </c>
      <c r="V38" s="16"/>
      <c r="W38" s="57">
        <f t="shared" si="39"/>
        <v>1190.8710000000001</v>
      </c>
      <c r="X38" s="57">
        <f t="shared" si="6"/>
        <v>95.739107994317735</v>
      </c>
      <c r="Y38" s="46">
        <v>1190.8710000000001</v>
      </c>
      <c r="Z38" s="16"/>
      <c r="AA38" s="57">
        <f t="shared" si="40"/>
        <v>1190.8710000000001</v>
      </c>
      <c r="AB38" s="57">
        <f t="shared" si="7"/>
        <v>95.739107994317735</v>
      </c>
      <c r="AC38" s="403">
        <f t="shared" si="41"/>
        <v>53</v>
      </c>
      <c r="AD38" s="46"/>
      <c r="AE38" s="16"/>
      <c r="AF38" s="57">
        <f t="shared" si="42"/>
        <v>0</v>
      </c>
      <c r="AG38" s="57">
        <f t="shared" si="46"/>
        <v>0</v>
      </c>
      <c r="AH38" s="16">
        <v>0</v>
      </c>
      <c r="AI38" s="366">
        <f t="shared" si="31"/>
        <v>0</v>
      </c>
      <c r="AJ38" s="57" t="s">
        <v>464</v>
      </c>
      <c r="AK38" s="191"/>
      <c r="AL38" s="437">
        <f t="shared" si="43"/>
        <v>1243.8710000000001</v>
      </c>
      <c r="AM38" s="325" t="s">
        <v>206</v>
      </c>
      <c r="AN38" s="311" t="s">
        <v>70</v>
      </c>
      <c r="AP38" s="504">
        <f>U38</f>
        <v>1190.8710000000001</v>
      </c>
      <c r="AQ38" s="191">
        <f t="shared" si="45"/>
        <v>0</v>
      </c>
    </row>
    <row r="39" spans="1:43" x14ac:dyDescent="0.2">
      <c r="A39" s="137"/>
      <c r="B39" s="29">
        <v>3119</v>
      </c>
      <c r="C39" s="29">
        <v>1112</v>
      </c>
      <c r="D39" s="211" t="s">
        <v>272</v>
      </c>
      <c r="E39" s="46">
        <v>160</v>
      </c>
      <c r="F39" s="16"/>
      <c r="G39" s="57">
        <f t="shared" si="33"/>
        <v>160</v>
      </c>
      <c r="H39" s="190"/>
      <c r="I39" s="191"/>
      <c r="J39" s="46">
        <f t="shared" si="34"/>
        <v>160</v>
      </c>
      <c r="K39" s="29"/>
      <c r="L39" s="57">
        <f>SUM(J39:K39)</f>
        <v>160</v>
      </c>
      <c r="M39" s="46"/>
      <c r="N39" s="16"/>
      <c r="O39" s="57">
        <f t="shared" si="36"/>
        <v>0</v>
      </c>
      <c r="P39" s="57">
        <f t="shared" si="47"/>
        <v>0</v>
      </c>
      <c r="Q39" s="46">
        <v>80</v>
      </c>
      <c r="R39" s="16"/>
      <c r="S39" s="57">
        <f t="shared" si="38"/>
        <v>80</v>
      </c>
      <c r="T39" s="57">
        <f t="shared" si="5"/>
        <v>50</v>
      </c>
      <c r="U39" s="46">
        <v>80</v>
      </c>
      <c r="V39" s="16"/>
      <c r="W39" s="57">
        <f t="shared" si="39"/>
        <v>80</v>
      </c>
      <c r="X39" s="57">
        <f t="shared" si="6"/>
        <v>50</v>
      </c>
      <c r="Y39" s="46">
        <v>106.667</v>
      </c>
      <c r="Z39" s="16"/>
      <c r="AA39" s="57">
        <f t="shared" si="40"/>
        <v>106.667</v>
      </c>
      <c r="AB39" s="57">
        <f t="shared" si="7"/>
        <v>66.666875000000005</v>
      </c>
      <c r="AC39" s="403">
        <f t="shared" si="41"/>
        <v>53.332999999999998</v>
      </c>
      <c r="AD39" s="46">
        <v>160</v>
      </c>
      <c r="AE39" s="16"/>
      <c r="AF39" s="57">
        <f t="shared" si="42"/>
        <v>160</v>
      </c>
      <c r="AG39" s="57">
        <f t="shared" si="46"/>
        <v>100</v>
      </c>
      <c r="AH39" s="16">
        <v>160</v>
      </c>
      <c r="AI39" s="366">
        <f t="shared" si="31"/>
        <v>1</v>
      </c>
      <c r="AJ39" s="57" t="s">
        <v>312</v>
      </c>
      <c r="AK39" s="191"/>
      <c r="AL39" s="437">
        <f t="shared" si="43"/>
        <v>160</v>
      </c>
      <c r="AM39" s="325" t="s">
        <v>206</v>
      </c>
      <c r="AN39" s="311" t="s">
        <v>70</v>
      </c>
      <c r="AP39" s="504">
        <f>J39-54</f>
        <v>106</v>
      </c>
      <c r="AQ39" s="191">
        <f t="shared" si="45"/>
        <v>0</v>
      </c>
    </row>
    <row r="40" spans="1:43" x14ac:dyDescent="0.2">
      <c r="A40" s="137"/>
      <c r="B40" s="29">
        <v>3141</v>
      </c>
      <c r="C40" s="29">
        <v>309</v>
      </c>
      <c r="D40" s="211" t="s">
        <v>282</v>
      </c>
      <c r="E40" s="46">
        <v>1480</v>
      </c>
      <c r="F40" s="16"/>
      <c r="G40" s="57">
        <f t="shared" si="33"/>
        <v>1480</v>
      </c>
      <c r="H40" s="190"/>
      <c r="I40" s="191"/>
      <c r="J40" s="46">
        <f t="shared" si="34"/>
        <v>1480</v>
      </c>
      <c r="K40" s="29">
        <f>F40+I40</f>
        <v>0</v>
      </c>
      <c r="L40" s="57">
        <f t="shared" si="35"/>
        <v>1480</v>
      </c>
      <c r="M40" s="46">
        <v>381.92388</v>
      </c>
      <c r="N40" s="16"/>
      <c r="O40" s="57">
        <f t="shared" si="36"/>
        <v>381.92388</v>
      </c>
      <c r="P40" s="57">
        <f t="shared" si="47"/>
        <v>25.805667567567568</v>
      </c>
      <c r="Q40" s="46">
        <v>541.70871999999997</v>
      </c>
      <c r="R40" s="16"/>
      <c r="S40" s="57">
        <f t="shared" si="38"/>
        <v>541.70871999999997</v>
      </c>
      <c r="T40" s="57">
        <f t="shared" si="5"/>
        <v>36.601940540540539</v>
      </c>
      <c r="U40" s="46">
        <v>997.68533000000002</v>
      </c>
      <c r="V40" s="16"/>
      <c r="W40" s="57">
        <f t="shared" si="39"/>
        <v>997.68533000000002</v>
      </c>
      <c r="X40" s="57">
        <f t="shared" si="6"/>
        <v>67.411170945945955</v>
      </c>
      <c r="Y40" s="46">
        <v>623.08243000000004</v>
      </c>
      <c r="Z40" s="16"/>
      <c r="AA40" s="57">
        <f t="shared" si="40"/>
        <v>623.08243000000004</v>
      </c>
      <c r="AB40" s="57">
        <f t="shared" si="7"/>
        <v>42.100164189189194</v>
      </c>
      <c r="AC40" s="403">
        <f t="shared" si="41"/>
        <v>856.91756999999996</v>
      </c>
      <c r="AD40" s="46">
        <v>600</v>
      </c>
      <c r="AE40" s="16">
        <v>1600</v>
      </c>
      <c r="AF40" s="57">
        <f t="shared" si="42"/>
        <v>2200</v>
      </c>
      <c r="AG40" s="57">
        <f t="shared" si="46"/>
        <v>148.64864864864865</v>
      </c>
      <c r="AH40" s="16">
        <f>600+1600</f>
        <v>2200</v>
      </c>
      <c r="AI40" s="366">
        <f t="shared" si="31"/>
        <v>1.4864864864864864</v>
      </c>
      <c r="AJ40" s="57"/>
      <c r="AK40" s="191"/>
      <c r="AL40" s="437">
        <f t="shared" si="43"/>
        <v>1480</v>
      </c>
      <c r="AM40" s="325" t="s">
        <v>206</v>
      </c>
      <c r="AN40" s="317" t="s">
        <v>316</v>
      </c>
      <c r="AP40" s="192">
        <f t="shared" si="44"/>
        <v>1480</v>
      </c>
      <c r="AQ40" s="191">
        <f t="shared" si="45"/>
        <v>0</v>
      </c>
    </row>
    <row r="41" spans="1:43" x14ac:dyDescent="0.2">
      <c r="A41" s="137"/>
      <c r="B41" s="29">
        <v>3231</v>
      </c>
      <c r="C41" s="29">
        <v>310</v>
      </c>
      <c r="D41" s="211" t="s">
        <v>386</v>
      </c>
      <c r="E41" s="46">
        <v>206</v>
      </c>
      <c r="F41" s="16"/>
      <c r="G41" s="57">
        <f t="shared" si="33"/>
        <v>206</v>
      </c>
      <c r="H41" s="190"/>
      <c r="I41" s="191"/>
      <c r="J41" s="46">
        <f t="shared" si="34"/>
        <v>206</v>
      </c>
      <c r="K41" s="29">
        <f>F41+I41</f>
        <v>0</v>
      </c>
      <c r="L41" s="57">
        <f>SUM(J41:K41)</f>
        <v>206</v>
      </c>
      <c r="M41" s="46">
        <v>51.5</v>
      </c>
      <c r="N41" s="16"/>
      <c r="O41" s="57">
        <f>M41+N41</f>
        <v>51.5</v>
      </c>
      <c r="P41" s="57">
        <f t="shared" si="47"/>
        <v>25</v>
      </c>
      <c r="Q41" s="46">
        <v>103</v>
      </c>
      <c r="R41" s="16"/>
      <c r="S41" s="57">
        <f t="shared" si="38"/>
        <v>103</v>
      </c>
      <c r="T41" s="57">
        <f t="shared" si="5"/>
        <v>50</v>
      </c>
      <c r="U41" s="46">
        <v>154.5</v>
      </c>
      <c r="V41" s="16"/>
      <c r="W41" s="57">
        <f t="shared" si="39"/>
        <v>154.5</v>
      </c>
      <c r="X41" s="57">
        <f t="shared" si="6"/>
        <v>75</v>
      </c>
      <c r="Y41" s="46">
        <v>206</v>
      </c>
      <c r="Z41" s="16"/>
      <c r="AA41" s="57">
        <f t="shared" si="40"/>
        <v>206</v>
      </c>
      <c r="AB41" s="57">
        <f t="shared" si="7"/>
        <v>100</v>
      </c>
      <c r="AC41" s="403">
        <f t="shared" si="41"/>
        <v>0</v>
      </c>
      <c r="AD41" s="46">
        <v>275</v>
      </c>
      <c r="AE41" s="16"/>
      <c r="AF41" s="57">
        <f t="shared" si="42"/>
        <v>275</v>
      </c>
      <c r="AG41" s="57">
        <f t="shared" si="46"/>
        <v>133.49514563106797</v>
      </c>
      <c r="AH41" s="16">
        <v>275</v>
      </c>
      <c r="AI41" s="366">
        <f t="shared" si="31"/>
        <v>1.3349514563106797</v>
      </c>
      <c r="AJ41" s="57"/>
      <c r="AK41" s="191"/>
      <c r="AL41" s="437">
        <f t="shared" si="43"/>
        <v>206</v>
      </c>
      <c r="AM41" s="325" t="s">
        <v>206</v>
      </c>
      <c r="AN41" s="311" t="s">
        <v>70</v>
      </c>
      <c r="AP41" s="192">
        <f t="shared" si="44"/>
        <v>206</v>
      </c>
      <c r="AQ41" s="191">
        <f t="shared" si="45"/>
        <v>0</v>
      </c>
    </row>
    <row r="42" spans="1:43" x14ac:dyDescent="0.2">
      <c r="A42" s="137"/>
      <c r="B42" s="29">
        <v>3231</v>
      </c>
      <c r="C42" s="29">
        <v>310</v>
      </c>
      <c r="D42" s="211" t="s">
        <v>395</v>
      </c>
      <c r="E42" s="46"/>
      <c r="F42" s="16">
        <v>5500</v>
      </c>
      <c r="G42" s="57">
        <f t="shared" si="33"/>
        <v>5500</v>
      </c>
      <c r="H42" s="190">
        <v>23</v>
      </c>
      <c r="I42" s="191">
        <v>-23</v>
      </c>
      <c r="J42" s="46">
        <f t="shared" si="34"/>
        <v>23</v>
      </c>
      <c r="K42" s="29">
        <f>F42+I42</f>
        <v>5477</v>
      </c>
      <c r="L42" s="57">
        <f>SUM(J42:K42)</f>
        <v>5500</v>
      </c>
      <c r="M42" s="46">
        <v>1.2949999999999999</v>
      </c>
      <c r="N42" s="16"/>
      <c r="O42" s="57">
        <f t="shared" si="36"/>
        <v>1.2949999999999999</v>
      </c>
      <c r="P42" s="57"/>
      <c r="Q42" s="46">
        <v>4.7770000000000001</v>
      </c>
      <c r="R42" s="16">
        <v>1386.0154500000001</v>
      </c>
      <c r="S42" s="57">
        <f t="shared" si="38"/>
        <v>1390.7924500000001</v>
      </c>
      <c r="T42" s="57">
        <f t="shared" si="5"/>
        <v>25.287135454545457</v>
      </c>
      <c r="U42" s="46">
        <f>10.412+7.19+0.726</f>
        <v>18.327999999999999</v>
      </c>
      <c r="V42" s="16">
        <f>4129.27456-U43-U41-U42</f>
        <v>3953.9645599999999</v>
      </c>
      <c r="W42" s="57">
        <f t="shared" si="39"/>
        <v>3972.2925599999999</v>
      </c>
      <c r="X42" s="57">
        <f t="shared" si="6"/>
        <v>72.223501090909096</v>
      </c>
      <c r="Y42" s="46">
        <f>0.421+14.721+7.19+0.726</f>
        <v>23.058</v>
      </c>
      <c r="Z42" s="16">
        <f>4014.22256+40</f>
        <v>4054.2225600000002</v>
      </c>
      <c r="AA42" s="57">
        <f t="shared" si="40"/>
        <v>4077.2805600000002</v>
      </c>
      <c r="AB42" s="57">
        <f t="shared" si="7"/>
        <v>74.132373818181819</v>
      </c>
      <c r="AC42" s="403">
        <f t="shared" si="41"/>
        <v>1422.7194399999998</v>
      </c>
      <c r="AD42" s="46"/>
      <c r="AE42" s="16">
        <v>1870</v>
      </c>
      <c r="AF42" s="57">
        <f t="shared" si="42"/>
        <v>1870</v>
      </c>
      <c r="AG42" s="57">
        <f t="shared" si="46"/>
        <v>34</v>
      </c>
      <c r="AH42" s="16">
        <v>1800</v>
      </c>
      <c r="AI42" s="366">
        <f t="shared" si="31"/>
        <v>0.32727272727272727</v>
      </c>
      <c r="AJ42" s="57" t="s">
        <v>457</v>
      </c>
      <c r="AK42" s="191"/>
      <c r="AL42" s="437"/>
      <c r="AM42" s="326" t="s">
        <v>164</v>
      </c>
      <c r="AN42" s="313" t="s">
        <v>120</v>
      </c>
      <c r="AP42" s="192">
        <f t="shared" si="44"/>
        <v>23</v>
      </c>
      <c r="AQ42" s="505">
        <v>4100</v>
      </c>
    </row>
    <row r="43" spans="1:43" x14ac:dyDescent="0.2">
      <c r="A43" s="139"/>
      <c r="B43" s="35">
        <v>3231</v>
      </c>
      <c r="C43" s="35">
        <v>310</v>
      </c>
      <c r="D43" s="428" t="s">
        <v>261</v>
      </c>
      <c r="E43" s="61">
        <v>2</v>
      </c>
      <c r="F43" s="64"/>
      <c r="G43" s="63">
        <f t="shared" si="33"/>
        <v>2</v>
      </c>
      <c r="H43" s="201"/>
      <c r="I43" s="198"/>
      <c r="J43" s="61">
        <f>E43+H43</f>
        <v>2</v>
      </c>
      <c r="K43" s="35">
        <f>F43+I43</f>
        <v>0</v>
      </c>
      <c r="L43" s="63">
        <f>SUM(J43:K43)</f>
        <v>2</v>
      </c>
      <c r="M43" s="61"/>
      <c r="N43" s="64"/>
      <c r="O43" s="63">
        <f t="shared" si="36"/>
        <v>0</v>
      </c>
      <c r="P43" s="63">
        <f t="shared" si="47"/>
        <v>0</v>
      </c>
      <c r="Q43" s="61">
        <v>0</v>
      </c>
      <c r="R43" s="64"/>
      <c r="S43" s="63">
        <f t="shared" si="38"/>
        <v>0</v>
      </c>
      <c r="T43" s="63">
        <f t="shared" si="5"/>
        <v>0</v>
      </c>
      <c r="U43" s="61">
        <v>2.4820000000000002</v>
      </c>
      <c r="V43" s="64"/>
      <c r="W43" s="63">
        <f t="shared" si="39"/>
        <v>2.4820000000000002</v>
      </c>
      <c r="X43" s="63">
        <f t="shared" si="6"/>
        <v>124.10000000000001</v>
      </c>
      <c r="Y43" s="61">
        <v>8.4019999999999992</v>
      </c>
      <c r="Z43" s="64"/>
      <c r="AA43" s="63">
        <f t="shared" si="40"/>
        <v>8.4019999999999992</v>
      </c>
      <c r="AB43" s="63">
        <f t="shared" si="7"/>
        <v>420.09999999999997</v>
      </c>
      <c r="AC43" s="403">
        <f t="shared" si="41"/>
        <v>-6.4019999999999992</v>
      </c>
      <c r="AD43" s="61">
        <v>8</v>
      </c>
      <c r="AE43" s="64"/>
      <c r="AF43" s="63">
        <f t="shared" si="42"/>
        <v>8</v>
      </c>
      <c r="AG43" s="63">
        <f t="shared" si="46"/>
        <v>400</v>
      </c>
      <c r="AH43" s="64">
        <v>8</v>
      </c>
      <c r="AI43" s="368">
        <f t="shared" si="31"/>
        <v>4</v>
      </c>
      <c r="AJ43" s="63"/>
      <c r="AK43" s="198"/>
      <c r="AL43" s="439">
        <f t="shared" si="43"/>
        <v>2</v>
      </c>
      <c r="AM43" s="446" t="s">
        <v>206</v>
      </c>
      <c r="AN43" s="316" t="s">
        <v>70</v>
      </c>
      <c r="AP43" s="415">
        <f t="shared" si="44"/>
        <v>2</v>
      </c>
      <c r="AQ43" s="198">
        <f t="shared" si="45"/>
        <v>0</v>
      </c>
    </row>
    <row r="44" spans="1:43" x14ac:dyDescent="0.2">
      <c r="A44" s="90">
        <v>33</v>
      </c>
      <c r="B44" s="32">
        <v>3300</v>
      </c>
      <c r="C44" s="32"/>
      <c r="D44" s="419" t="s">
        <v>72</v>
      </c>
      <c r="E44" s="55">
        <f t="shared" ref="E44:O44" si="48">SUM(E45:E57)</f>
        <v>15176</v>
      </c>
      <c r="F44" s="18">
        <f t="shared" si="48"/>
        <v>4400</v>
      </c>
      <c r="G44" s="56">
        <f t="shared" si="48"/>
        <v>19576</v>
      </c>
      <c r="H44" s="199">
        <f t="shared" si="48"/>
        <v>-1443.9186500000001</v>
      </c>
      <c r="I44" s="200">
        <f t="shared" si="48"/>
        <v>-3558.71405</v>
      </c>
      <c r="J44" s="55">
        <f t="shared" si="48"/>
        <v>13732.08135</v>
      </c>
      <c r="K44" s="18">
        <f t="shared" si="48"/>
        <v>841.28594999999996</v>
      </c>
      <c r="L44" s="56">
        <f t="shared" si="48"/>
        <v>14573.367300000002</v>
      </c>
      <c r="M44" s="55">
        <f t="shared" si="48"/>
        <v>1485.7676900000001</v>
      </c>
      <c r="N44" s="18">
        <f t="shared" si="48"/>
        <v>22.28595</v>
      </c>
      <c r="O44" s="56">
        <f t="shared" si="48"/>
        <v>1508.0536400000001</v>
      </c>
      <c r="P44" s="56">
        <f t="shared" si="47"/>
        <v>10.348010922636938</v>
      </c>
      <c r="Q44" s="55">
        <f>SUM(Q45:Q57)</f>
        <v>3056.5438200000003</v>
      </c>
      <c r="R44" s="18">
        <f>SUM(R45:R57)</f>
        <v>1332.54745</v>
      </c>
      <c r="S44" s="56">
        <f>SUM(S45:S57)</f>
        <v>4389.0912699999999</v>
      </c>
      <c r="T44" s="56">
        <f t="shared" si="5"/>
        <v>30.117207503580861</v>
      </c>
      <c r="U44" s="55">
        <f>SUM(U45:U57)</f>
        <v>6722.8122700000004</v>
      </c>
      <c r="V44" s="18">
        <f>SUM(V45:V57)</f>
        <v>1527.34222</v>
      </c>
      <c r="W44" s="56">
        <f>SUM(W45:W57)</f>
        <v>8250.1544900000008</v>
      </c>
      <c r="X44" s="56">
        <f t="shared" si="6"/>
        <v>56.611175167457695</v>
      </c>
      <c r="Y44" s="55">
        <f>SUM(Y45:Y57)</f>
        <v>13154.403359999998</v>
      </c>
      <c r="Z44" s="18">
        <f>SUM(Z45:Z57)</f>
        <v>763.58371999999997</v>
      </c>
      <c r="AA44" s="56">
        <f>SUM(AA45:AA57)</f>
        <v>13917.987079999999</v>
      </c>
      <c r="AB44" s="56">
        <f t="shared" si="7"/>
        <v>95.502890948202463</v>
      </c>
      <c r="AC44" s="404">
        <f>SUM(AC45:AC57)</f>
        <v>655.38022000000035</v>
      </c>
      <c r="AD44" s="55">
        <f>SUM(AD45:AD57)</f>
        <v>12350</v>
      </c>
      <c r="AE44" s="18">
        <f>SUM(AE45:AE57)</f>
        <v>5800</v>
      </c>
      <c r="AF44" s="56">
        <f>SUM(AF45:AF57)</f>
        <v>18150</v>
      </c>
      <c r="AG44" s="56">
        <f t="shared" si="46"/>
        <v>92.715570085819365</v>
      </c>
      <c r="AH44" s="18">
        <f>SUM(AH45:AH57)</f>
        <v>19180</v>
      </c>
      <c r="AI44" s="369">
        <f t="shared" si="31"/>
        <v>0.97977114834491219</v>
      </c>
      <c r="AJ44" s="56"/>
      <c r="AK44" s="200">
        <f>SUM(AK45:AK57)</f>
        <v>0</v>
      </c>
      <c r="AL44" s="440">
        <f>SUM(AL45:AL57)</f>
        <v>8658.3672999999999</v>
      </c>
      <c r="AM44" s="327"/>
      <c r="AN44" s="74"/>
      <c r="AP44" s="199">
        <f>SUM(AP45:AP57)</f>
        <v>13732.08135</v>
      </c>
      <c r="AQ44" s="200">
        <f>SUM(AQ45:AQ57)</f>
        <v>841.28594999999996</v>
      </c>
    </row>
    <row r="45" spans="1:43" x14ac:dyDescent="0.2">
      <c r="A45" s="137"/>
      <c r="B45" s="29">
        <v>3314</v>
      </c>
      <c r="C45" s="29">
        <v>504</v>
      </c>
      <c r="D45" s="211" t="s">
        <v>119</v>
      </c>
      <c r="E45" s="46">
        <f>205+1205+1000</f>
        <v>2410</v>
      </c>
      <c r="F45" s="16"/>
      <c r="G45" s="57">
        <f t="shared" ref="G45:G57" si="49">E45+F45</f>
        <v>2410</v>
      </c>
      <c r="H45" s="190">
        <v>-1000</v>
      </c>
      <c r="I45" s="191"/>
      <c r="J45" s="46">
        <f>E45+H45</f>
        <v>1410</v>
      </c>
      <c r="K45" s="16"/>
      <c r="L45" s="57">
        <f>SUM(J45:K45)</f>
        <v>1410</v>
      </c>
      <c r="M45" s="46">
        <f>212.10329+90.806</f>
        <v>302.90929</v>
      </c>
      <c r="N45" s="16"/>
      <c r="O45" s="57">
        <f t="shared" ref="O45:O57" si="50">M45+N45</f>
        <v>302.90929</v>
      </c>
      <c r="P45" s="57">
        <f t="shared" si="47"/>
        <v>21.482928368794326</v>
      </c>
      <c r="Q45" s="46">
        <f>532.02104+88.905</f>
        <v>620.92603999999994</v>
      </c>
      <c r="R45" s="16"/>
      <c r="S45" s="57">
        <f t="shared" ref="S45:S57" si="51">Q45+R45</f>
        <v>620.92603999999994</v>
      </c>
      <c r="T45" s="57">
        <f t="shared" si="5"/>
        <v>44.037307801418436</v>
      </c>
      <c r="U45" s="46">
        <f>855.63368+89.257</f>
        <v>944.89067999999997</v>
      </c>
      <c r="V45" s="16"/>
      <c r="W45" s="57">
        <f t="shared" ref="W45:W57" si="52">U45+V45</f>
        <v>944.89067999999997</v>
      </c>
      <c r="X45" s="57">
        <f t="shared" si="6"/>
        <v>67.013523404255309</v>
      </c>
      <c r="Y45" s="46">
        <v>1392.6273900000001</v>
      </c>
      <c r="Z45" s="16"/>
      <c r="AA45" s="57">
        <f t="shared" ref="AA45:AA57" si="53">Y45+Z45</f>
        <v>1392.6273900000001</v>
      </c>
      <c r="AB45" s="57">
        <f t="shared" si="7"/>
        <v>98.767900000000012</v>
      </c>
      <c r="AC45" s="403">
        <f t="shared" ref="AC45:AC57" si="54">L45-AA45</f>
        <v>17.372609999999895</v>
      </c>
      <c r="AD45" s="46">
        <f>1218+1297</f>
        <v>2515</v>
      </c>
      <c r="AE45" s="16"/>
      <c r="AF45" s="57">
        <f t="shared" ref="AF45:AF57" si="55">AD45+AE45</f>
        <v>2515</v>
      </c>
      <c r="AG45" s="57">
        <f t="shared" si="46"/>
        <v>104.35684647302905</v>
      </c>
      <c r="AH45" s="46">
        <f>1218+1000+1250</f>
        <v>3468</v>
      </c>
      <c r="AI45" s="366">
        <f t="shared" si="31"/>
        <v>1.4390041493775934</v>
      </c>
      <c r="AJ45" s="57"/>
      <c r="AK45" s="191"/>
      <c r="AL45" s="437">
        <f>L45-AK45</f>
        <v>1410</v>
      </c>
      <c r="AM45" s="62" t="s">
        <v>285</v>
      </c>
      <c r="AN45" s="57" t="s">
        <v>131</v>
      </c>
      <c r="AP45" s="192">
        <f t="shared" ref="AP45:AP57" si="56">J45</f>
        <v>1410</v>
      </c>
      <c r="AQ45" s="191">
        <f t="shared" ref="AQ45:AQ57" si="57">K45</f>
        <v>0</v>
      </c>
    </row>
    <row r="46" spans="1:43" x14ac:dyDescent="0.2">
      <c r="A46" s="137"/>
      <c r="B46" s="29">
        <v>3315</v>
      </c>
      <c r="C46" s="29">
        <v>505</v>
      </c>
      <c r="D46" s="211" t="s">
        <v>270</v>
      </c>
      <c r="E46" s="46">
        <v>1200</v>
      </c>
      <c r="F46" s="16"/>
      <c r="G46" s="57">
        <f t="shared" si="49"/>
        <v>1200</v>
      </c>
      <c r="H46" s="190"/>
      <c r="I46" s="191"/>
      <c r="J46" s="46">
        <f>E46+H46</f>
        <v>1200</v>
      </c>
      <c r="K46" s="16"/>
      <c r="L46" s="57">
        <f>SUM(J46:K46)</f>
        <v>1200</v>
      </c>
      <c r="M46" s="46"/>
      <c r="N46" s="16"/>
      <c r="O46" s="57">
        <f t="shared" si="50"/>
        <v>0</v>
      </c>
      <c r="P46" s="57">
        <f t="shared" si="47"/>
        <v>0</v>
      </c>
      <c r="Q46" s="46">
        <v>0</v>
      </c>
      <c r="R46" s="16"/>
      <c r="S46" s="57">
        <f t="shared" si="51"/>
        <v>0</v>
      </c>
      <c r="T46" s="57">
        <f t="shared" si="5"/>
        <v>0</v>
      </c>
      <c r="U46" s="46">
        <v>1200</v>
      </c>
      <c r="V46" s="16"/>
      <c r="W46" s="57">
        <f t="shared" si="52"/>
        <v>1200</v>
      </c>
      <c r="X46" s="57">
        <f t="shared" si="6"/>
        <v>100</v>
      </c>
      <c r="Y46" s="46">
        <v>1200</v>
      </c>
      <c r="Z46" s="16"/>
      <c r="AA46" s="57">
        <f t="shared" si="53"/>
        <v>1200</v>
      </c>
      <c r="AB46" s="57">
        <f t="shared" si="7"/>
        <v>100</v>
      </c>
      <c r="AC46" s="403">
        <f t="shared" si="54"/>
        <v>0</v>
      </c>
      <c r="AD46" s="46">
        <v>1200</v>
      </c>
      <c r="AE46" s="16"/>
      <c r="AF46" s="57">
        <f t="shared" si="55"/>
        <v>1200</v>
      </c>
      <c r="AG46" s="57">
        <f t="shared" si="46"/>
        <v>100</v>
      </c>
      <c r="AH46" s="16">
        <v>1200</v>
      </c>
      <c r="AI46" s="366">
        <f t="shared" si="31"/>
        <v>1</v>
      </c>
      <c r="AJ46" s="57"/>
      <c r="AK46" s="191"/>
      <c r="AL46" s="437">
        <f>L46-AK46</f>
        <v>1200</v>
      </c>
      <c r="AM46" s="325" t="s">
        <v>206</v>
      </c>
      <c r="AN46" s="311" t="s">
        <v>70</v>
      </c>
      <c r="AP46" s="192">
        <f t="shared" si="56"/>
        <v>1200</v>
      </c>
      <c r="AQ46" s="191">
        <f t="shared" si="57"/>
        <v>0</v>
      </c>
    </row>
    <row r="47" spans="1:43" ht="12.75" customHeight="1" x14ac:dyDescent="0.2">
      <c r="A47" s="137"/>
      <c r="B47" s="29">
        <v>3322.3326000000002</v>
      </c>
      <c r="C47" s="29" t="s">
        <v>264</v>
      </c>
      <c r="D47" s="211" t="s">
        <v>146</v>
      </c>
      <c r="E47" s="46">
        <f>508+300</f>
        <v>808</v>
      </c>
      <c r="F47" s="16"/>
      <c r="G47" s="57">
        <f t="shared" si="49"/>
        <v>808</v>
      </c>
      <c r="H47" s="190"/>
      <c r="I47" s="191"/>
      <c r="J47" s="46">
        <f>E47+H47</f>
        <v>808</v>
      </c>
      <c r="K47" s="16"/>
      <c r="L47" s="57">
        <f>SUM(J47:K47)</f>
        <v>808</v>
      </c>
      <c r="M47" s="46"/>
      <c r="N47" s="16"/>
      <c r="O47" s="57">
        <f t="shared" si="50"/>
        <v>0</v>
      </c>
      <c r="P47" s="57">
        <f t="shared" si="47"/>
        <v>0</v>
      </c>
      <c r="Q47" s="46">
        <v>258.03899999999999</v>
      </c>
      <c r="R47" s="16"/>
      <c r="S47" s="57">
        <f t="shared" si="51"/>
        <v>258.03899999999999</v>
      </c>
      <c r="T47" s="57">
        <f t="shared" si="5"/>
        <v>31.935519801980195</v>
      </c>
      <c r="U47" s="46">
        <v>262.274</v>
      </c>
      <c r="V47" s="16"/>
      <c r="W47" s="57">
        <f t="shared" si="52"/>
        <v>262.274</v>
      </c>
      <c r="X47" s="57">
        <f t="shared" si="6"/>
        <v>32.459653465346534</v>
      </c>
      <c r="Y47" s="46">
        <v>567.11400000000003</v>
      </c>
      <c r="Z47" s="16"/>
      <c r="AA47" s="57">
        <f t="shared" si="53"/>
        <v>567.11400000000003</v>
      </c>
      <c r="AB47" s="57">
        <f t="shared" si="7"/>
        <v>70.187376237623766</v>
      </c>
      <c r="AC47" s="403">
        <f t="shared" si="54"/>
        <v>240.88599999999997</v>
      </c>
      <c r="AD47" s="46">
        <v>2200</v>
      </c>
      <c r="AE47" s="16"/>
      <c r="AF47" s="57">
        <f t="shared" si="55"/>
        <v>2200</v>
      </c>
      <c r="AG47" s="57">
        <f t="shared" si="46"/>
        <v>272.2772277227723</v>
      </c>
      <c r="AH47" s="16">
        <v>2200</v>
      </c>
      <c r="AI47" s="366">
        <f t="shared" si="31"/>
        <v>2.722772277227723</v>
      </c>
      <c r="AJ47" s="57"/>
      <c r="AK47" s="191"/>
      <c r="AL47" s="437">
        <f>L47-AK47</f>
        <v>808</v>
      </c>
      <c r="AM47" s="328" t="s">
        <v>396</v>
      </c>
      <c r="AN47" s="313" t="s">
        <v>120</v>
      </c>
      <c r="AP47" s="192">
        <f t="shared" si="56"/>
        <v>808</v>
      </c>
      <c r="AQ47" s="191">
        <f t="shared" si="57"/>
        <v>0</v>
      </c>
    </row>
    <row r="48" spans="1:43" ht="12.75" customHeight="1" x14ac:dyDescent="0.2">
      <c r="A48" s="137"/>
      <c r="B48" s="29">
        <v>3322.3326000000002</v>
      </c>
      <c r="C48" s="29">
        <v>102</v>
      </c>
      <c r="D48" s="211" t="s">
        <v>336</v>
      </c>
      <c r="E48" s="46">
        <v>4000</v>
      </c>
      <c r="F48" s="16">
        <v>4400</v>
      </c>
      <c r="G48" s="57">
        <f t="shared" si="49"/>
        <v>8400</v>
      </c>
      <c r="H48" s="190">
        <f>-1000+975-500+1081</f>
        <v>556</v>
      </c>
      <c r="I48" s="191">
        <f>-400-2500-1081</f>
        <v>-3981</v>
      </c>
      <c r="J48" s="46">
        <f>E48+H48</f>
        <v>4556</v>
      </c>
      <c r="K48" s="29">
        <f>F48+I48</f>
        <v>419</v>
      </c>
      <c r="L48" s="57">
        <f>SUM(J48:K48)</f>
        <v>4975</v>
      </c>
      <c r="M48" s="46">
        <v>182.06736000000001</v>
      </c>
      <c r="N48" s="16"/>
      <c r="O48" s="57">
        <f t="shared" si="50"/>
        <v>182.06736000000001</v>
      </c>
      <c r="P48" s="57">
        <f t="shared" si="47"/>
        <v>3.6596454271356786</v>
      </c>
      <c r="Q48" s="46">
        <f>1492.32886-R48</f>
        <v>182.06736000000001</v>
      </c>
      <c r="R48" s="16">
        <f>1260.2615+50</f>
        <v>1310.2615000000001</v>
      </c>
      <c r="S48" s="57">
        <f t="shared" si="51"/>
        <v>1492.3288600000001</v>
      </c>
      <c r="T48" s="57">
        <f t="shared" si="5"/>
        <v>29.996559999999999</v>
      </c>
      <c r="U48" s="46">
        <f>1.361+280.70636+258.0293</f>
        <v>540.09665999999993</v>
      </c>
      <c r="V48" s="16">
        <f>1260.2615+69.474</f>
        <v>1329.7355</v>
      </c>
      <c r="W48" s="57">
        <f t="shared" si="52"/>
        <v>1869.8321599999999</v>
      </c>
      <c r="X48" s="57">
        <f t="shared" si="6"/>
        <v>37.584566030150754</v>
      </c>
      <c r="Y48" s="46">
        <f>1.361+280.70636+4272.02438</f>
        <v>4554.0917399999998</v>
      </c>
      <c r="Z48" s="16">
        <f>93.538+254.076</f>
        <v>347.61399999999998</v>
      </c>
      <c r="AA48" s="57">
        <f t="shared" si="53"/>
        <v>4901.7057399999994</v>
      </c>
      <c r="AB48" s="57">
        <f t="shared" si="7"/>
        <v>98.526748542713563</v>
      </c>
      <c r="AC48" s="403">
        <f t="shared" si="54"/>
        <v>73.294260000000577</v>
      </c>
      <c r="AD48" s="46"/>
      <c r="AE48" s="16">
        <v>5800</v>
      </c>
      <c r="AF48" s="57">
        <f t="shared" si="55"/>
        <v>5800</v>
      </c>
      <c r="AG48" s="57">
        <f t="shared" si="46"/>
        <v>69.047619047619051</v>
      </c>
      <c r="AH48" s="16">
        <v>5800</v>
      </c>
      <c r="AI48" s="366">
        <f t="shared" si="31"/>
        <v>0.69047619047619047</v>
      </c>
      <c r="AJ48" s="57"/>
      <c r="AK48" s="191"/>
      <c r="AL48" s="437"/>
      <c r="AM48" s="328" t="s">
        <v>396</v>
      </c>
      <c r="AN48" s="313" t="s">
        <v>120</v>
      </c>
      <c r="AP48" s="192">
        <f t="shared" si="56"/>
        <v>4556</v>
      </c>
      <c r="AQ48" s="191">
        <f t="shared" si="57"/>
        <v>419</v>
      </c>
    </row>
    <row r="49" spans="1:198" ht="12.75" customHeight="1" x14ac:dyDescent="0.2">
      <c r="A49" s="137"/>
      <c r="B49" s="29">
        <v>3322</v>
      </c>
      <c r="C49" s="29">
        <v>111</v>
      </c>
      <c r="D49" s="211" t="s">
        <v>375</v>
      </c>
      <c r="E49" s="46">
        <v>1100</v>
      </c>
      <c r="F49" s="16"/>
      <c r="G49" s="57">
        <f t="shared" si="49"/>
        <v>1100</v>
      </c>
      <c r="H49" s="190">
        <v>-900</v>
      </c>
      <c r="I49" s="191"/>
      <c r="J49" s="46">
        <f t="shared" ref="J49:K54" si="58">E49+H49</f>
        <v>200</v>
      </c>
      <c r="K49" s="16"/>
      <c r="L49" s="57">
        <f t="shared" ref="L49:L54" si="59">SUM(J49:K49)</f>
        <v>200</v>
      </c>
      <c r="M49" s="46"/>
      <c r="N49" s="16"/>
      <c r="O49" s="57">
        <f t="shared" si="50"/>
        <v>0</v>
      </c>
      <c r="P49" s="57"/>
      <c r="Q49" s="46">
        <v>0</v>
      </c>
      <c r="R49" s="16"/>
      <c r="S49" s="57">
        <f t="shared" si="51"/>
        <v>0</v>
      </c>
      <c r="T49" s="57"/>
      <c r="U49" s="46">
        <v>13.85</v>
      </c>
      <c r="V49" s="16"/>
      <c r="W49" s="57">
        <f t="shared" si="52"/>
        <v>13.85</v>
      </c>
      <c r="X49" s="57">
        <f t="shared" si="6"/>
        <v>6.9249999999999989</v>
      </c>
      <c r="Y49" s="46">
        <v>28.37</v>
      </c>
      <c r="Z49" s="16"/>
      <c r="AA49" s="57">
        <f t="shared" si="53"/>
        <v>28.37</v>
      </c>
      <c r="AB49" s="57">
        <f t="shared" si="7"/>
        <v>14.185</v>
      </c>
      <c r="AC49" s="403">
        <f t="shared" si="54"/>
        <v>171.63</v>
      </c>
      <c r="AD49" s="46">
        <v>1200</v>
      </c>
      <c r="AE49" s="16"/>
      <c r="AF49" s="57">
        <f t="shared" si="55"/>
        <v>1200</v>
      </c>
      <c r="AG49" s="57">
        <f t="shared" si="46"/>
        <v>109.09090909090908</v>
      </c>
      <c r="AH49" s="16">
        <v>1200</v>
      </c>
      <c r="AI49" s="366">
        <f t="shared" si="31"/>
        <v>1.0909090909090908</v>
      </c>
      <c r="AJ49" s="57" t="s">
        <v>452</v>
      </c>
      <c r="AK49" s="191"/>
      <c r="AL49" s="437"/>
      <c r="AM49" s="328" t="s">
        <v>396</v>
      </c>
      <c r="AN49" s="313" t="s">
        <v>120</v>
      </c>
      <c r="AP49" s="192">
        <f t="shared" si="56"/>
        <v>200</v>
      </c>
      <c r="AQ49" s="191">
        <f t="shared" si="57"/>
        <v>0</v>
      </c>
    </row>
    <row r="50" spans="1:198" x14ac:dyDescent="0.2">
      <c r="A50" s="137"/>
      <c r="B50" s="29">
        <v>3326</v>
      </c>
      <c r="C50" s="29">
        <v>103</v>
      </c>
      <c r="D50" s="211" t="s">
        <v>247</v>
      </c>
      <c r="E50" s="46">
        <v>100</v>
      </c>
      <c r="F50" s="16"/>
      <c r="G50" s="57">
        <f t="shared" si="49"/>
        <v>100</v>
      </c>
      <c r="H50" s="190"/>
      <c r="I50" s="191"/>
      <c r="J50" s="46">
        <f t="shared" si="58"/>
        <v>100</v>
      </c>
      <c r="K50" s="16"/>
      <c r="L50" s="57">
        <f t="shared" si="59"/>
        <v>100</v>
      </c>
      <c r="M50" s="46">
        <v>0.26600000000000001</v>
      </c>
      <c r="N50" s="16"/>
      <c r="O50" s="57">
        <f t="shared" si="50"/>
        <v>0.26600000000000001</v>
      </c>
      <c r="P50" s="57">
        <f t="shared" si="47"/>
        <v>0.26600000000000001</v>
      </c>
      <c r="Q50" s="46">
        <v>0.26600000000000001</v>
      </c>
      <c r="R50" s="16"/>
      <c r="S50" s="57">
        <f t="shared" si="51"/>
        <v>0.26600000000000001</v>
      </c>
      <c r="T50" s="57">
        <f t="shared" si="5"/>
        <v>0.26600000000000001</v>
      </c>
      <c r="U50" s="46">
        <v>0.46600000000000003</v>
      </c>
      <c r="V50" s="16"/>
      <c r="W50" s="57">
        <f t="shared" si="52"/>
        <v>0.46600000000000003</v>
      </c>
      <c r="X50" s="57">
        <f t="shared" si="6"/>
        <v>0.46600000000000003</v>
      </c>
      <c r="Y50" s="46">
        <v>6.173</v>
      </c>
      <c r="Z50" s="16"/>
      <c r="AA50" s="57">
        <f t="shared" si="53"/>
        <v>6.173</v>
      </c>
      <c r="AB50" s="57">
        <f t="shared" si="7"/>
        <v>6.173</v>
      </c>
      <c r="AC50" s="403">
        <f t="shared" si="54"/>
        <v>93.826999999999998</v>
      </c>
      <c r="AD50" s="46">
        <v>100</v>
      </c>
      <c r="AE50" s="16"/>
      <c r="AF50" s="57">
        <f t="shared" si="55"/>
        <v>100</v>
      </c>
      <c r="AG50" s="57">
        <f t="shared" si="46"/>
        <v>100</v>
      </c>
      <c r="AH50" s="16">
        <v>100</v>
      </c>
      <c r="AI50" s="366">
        <f t="shared" ref="AI50:AI58" si="60">AH50/G50</f>
        <v>1</v>
      </c>
      <c r="AJ50" s="57"/>
      <c r="AK50" s="191"/>
      <c r="AL50" s="437">
        <f>L50-AK50</f>
        <v>100</v>
      </c>
      <c r="AM50" s="328" t="s">
        <v>396</v>
      </c>
      <c r="AN50" s="313" t="s">
        <v>120</v>
      </c>
      <c r="AP50" s="192">
        <f t="shared" si="56"/>
        <v>100</v>
      </c>
      <c r="AQ50" s="191">
        <f t="shared" si="57"/>
        <v>0</v>
      </c>
    </row>
    <row r="51" spans="1:198" x14ac:dyDescent="0.2">
      <c r="A51" s="137"/>
      <c r="B51" s="29">
        <v>3349</v>
      </c>
      <c r="C51" s="29">
        <v>42</v>
      </c>
      <c r="D51" s="211" t="s">
        <v>73</v>
      </c>
      <c r="E51" s="46">
        <f>371+185</f>
        <v>556</v>
      </c>
      <c r="F51" s="16"/>
      <c r="G51" s="57">
        <f t="shared" si="49"/>
        <v>556</v>
      </c>
      <c r="H51" s="190">
        <v>-217.72</v>
      </c>
      <c r="I51" s="191"/>
      <c r="J51" s="46">
        <f t="shared" si="58"/>
        <v>338.28</v>
      </c>
      <c r="K51" s="16"/>
      <c r="L51" s="57">
        <f t="shared" si="59"/>
        <v>338.28</v>
      </c>
      <c r="M51" s="46">
        <f>81.36+0.7</f>
        <v>82.06</v>
      </c>
      <c r="N51" s="16"/>
      <c r="O51" s="57">
        <f t="shared" si="50"/>
        <v>82.06</v>
      </c>
      <c r="P51" s="57">
        <f t="shared" si="47"/>
        <v>24.258011115052621</v>
      </c>
      <c r="Q51" s="46">
        <f>170.134+0.7</f>
        <v>170.83399999999997</v>
      </c>
      <c r="R51" s="16"/>
      <c r="S51" s="57">
        <f t="shared" si="51"/>
        <v>170.83399999999997</v>
      </c>
      <c r="T51" s="57">
        <f t="shared" si="5"/>
        <v>50.500768594064084</v>
      </c>
      <c r="U51" s="46">
        <f>240.7282+0.7</f>
        <v>241.42819999999998</v>
      </c>
      <c r="V51" s="16"/>
      <c r="W51" s="57">
        <f t="shared" si="52"/>
        <v>241.42819999999998</v>
      </c>
      <c r="X51" s="57">
        <f t="shared" si="6"/>
        <v>71.369339009104877</v>
      </c>
      <c r="Y51" s="46">
        <v>323.26819999999998</v>
      </c>
      <c r="Z51" s="16"/>
      <c r="AA51" s="57">
        <f t="shared" si="53"/>
        <v>323.26819999999998</v>
      </c>
      <c r="AB51" s="57">
        <f t="shared" si="7"/>
        <v>95.562315241811518</v>
      </c>
      <c r="AC51" s="403">
        <f t="shared" si="54"/>
        <v>15.011799999999994</v>
      </c>
      <c r="AD51" s="46">
        <f>359+20</f>
        <v>379</v>
      </c>
      <c r="AE51" s="16"/>
      <c r="AF51" s="57">
        <f t="shared" si="55"/>
        <v>379</v>
      </c>
      <c r="AG51" s="57">
        <f t="shared" si="46"/>
        <v>68.165467625899282</v>
      </c>
      <c r="AH51" s="16">
        <v>359</v>
      </c>
      <c r="AI51" s="366">
        <f>AH51/L51</f>
        <v>1.0612510346458557</v>
      </c>
      <c r="AJ51" s="57"/>
      <c r="AK51" s="191"/>
      <c r="AL51" s="437">
        <f>L51-AK51</f>
        <v>338.28</v>
      </c>
      <c r="AM51" s="422" t="s">
        <v>162</v>
      </c>
      <c r="AN51" s="421" t="s">
        <v>213</v>
      </c>
      <c r="AP51" s="192">
        <f t="shared" si="56"/>
        <v>338.28</v>
      </c>
      <c r="AQ51" s="191">
        <f t="shared" si="57"/>
        <v>0</v>
      </c>
      <c r="GP51" s="113">
        <f>SUM(Q51:GO51)</f>
        <v>3566.2917415055254</v>
      </c>
    </row>
    <row r="52" spans="1:198" x14ac:dyDescent="0.2">
      <c r="A52" s="137"/>
      <c r="B52" s="29">
        <v>3392</v>
      </c>
      <c r="C52" s="29">
        <v>312</v>
      </c>
      <c r="D52" s="211" t="s">
        <v>269</v>
      </c>
      <c r="E52" s="46">
        <v>3528</v>
      </c>
      <c r="F52" s="16"/>
      <c r="G52" s="57">
        <f t="shared" si="49"/>
        <v>3528</v>
      </c>
      <c r="H52" s="196">
        <f>30.53604+22.26531+15</f>
        <v>67.801349999999999</v>
      </c>
      <c r="I52" s="469">
        <f>22.28595+400</f>
        <v>422.28595000000001</v>
      </c>
      <c r="J52" s="46">
        <f t="shared" si="58"/>
        <v>3595.8013500000002</v>
      </c>
      <c r="K52" s="497">
        <f t="shared" si="58"/>
        <v>422.28595000000001</v>
      </c>
      <c r="L52" s="57">
        <f t="shared" si="59"/>
        <v>4018.0873000000001</v>
      </c>
      <c r="M52" s="46">
        <f>882+30.53604</f>
        <v>912.53603999999996</v>
      </c>
      <c r="N52" s="16">
        <v>22.28595</v>
      </c>
      <c r="O52" s="57">
        <f t="shared" si="50"/>
        <v>934.82198999999991</v>
      </c>
      <c r="P52" s="57">
        <f t="shared" si="47"/>
        <v>23.26534791815001</v>
      </c>
      <c r="Q52" s="46">
        <f>1764+30.53604</f>
        <v>1794.53604</v>
      </c>
      <c r="R52" s="16">
        <v>22.28595</v>
      </c>
      <c r="S52" s="57">
        <f t="shared" si="51"/>
        <v>1816.8219899999999</v>
      </c>
      <c r="T52" s="57">
        <f t="shared" si="5"/>
        <v>45.216090501567749</v>
      </c>
      <c r="U52" s="46">
        <f>2646+52.80135</f>
        <v>2698.8013500000002</v>
      </c>
      <c r="V52" s="16">
        <f>175.32077+22.28595</f>
        <v>197.60672</v>
      </c>
      <c r="W52" s="57">
        <f t="shared" si="52"/>
        <v>2896.4080700000004</v>
      </c>
      <c r="X52" s="57">
        <f t="shared" si="6"/>
        <v>72.084249389006558</v>
      </c>
      <c r="Y52" s="46">
        <f>3528+15+52.80135</f>
        <v>3595.8013500000002</v>
      </c>
      <c r="Z52" s="16">
        <f>393.68377+22.28595</f>
        <v>415.96972</v>
      </c>
      <c r="AA52" s="57">
        <f t="shared" si="53"/>
        <v>4011.7710700000002</v>
      </c>
      <c r="AB52" s="57">
        <f t="shared" si="7"/>
        <v>99.842805058018527</v>
      </c>
      <c r="AC52" s="403">
        <f t="shared" si="54"/>
        <v>6.316229999999905</v>
      </c>
      <c r="AD52" s="46">
        <v>3553</v>
      </c>
      <c r="AE52" s="16"/>
      <c r="AF52" s="57">
        <f t="shared" si="55"/>
        <v>3553</v>
      </c>
      <c r="AG52" s="57">
        <f t="shared" si="46"/>
        <v>100.70861678004535</v>
      </c>
      <c r="AH52" s="16">
        <v>3812</v>
      </c>
      <c r="AI52" s="366">
        <f t="shared" si="60"/>
        <v>1.0804988662131518</v>
      </c>
      <c r="AJ52" s="57" t="s">
        <v>301</v>
      </c>
      <c r="AK52" s="191"/>
      <c r="AL52" s="437">
        <f>L52-AK52</f>
        <v>4018.0873000000001</v>
      </c>
      <c r="AM52" s="325" t="s">
        <v>206</v>
      </c>
      <c r="AN52" s="311" t="s">
        <v>70</v>
      </c>
      <c r="AP52" s="192">
        <f t="shared" si="56"/>
        <v>3595.8013500000002</v>
      </c>
      <c r="AQ52" s="469">
        <f t="shared" si="57"/>
        <v>422.28595000000001</v>
      </c>
    </row>
    <row r="53" spans="1:198" x14ac:dyDescent="0.2">
      <c r="A53" s="137"/>
      <c r="B53" s="29">
        <v>3392</v>
      </c>
      <c r="C53" s="29" t="s">
        <v>263</v>
      </c>
      <c r="D53" s="211" t="s">
        <v>262</v>
      </c>
      <c r="E53" s="46">
        <v>634</v>
      </c>
      <c r="F53" s="16"/>
      <c r="G53" s="57">
        <f t="shared" si="49"/>
        <v>634</v>
      </c>
      <c r="H53" s="192"/>
      <c r="I53" s="193"/>
      <c r="J53" s="46">
        <f t="shared" si="58"/>
        <v>634</v>
      </c>
      <c r="K53" s="16"/>
      <c r="L53" s="57">
        <f t="shared" si="59"/>
        <v>634</v>
      </c>
      <c r="M53" s="46"/>
      <c r="N53" s="16"/>
      <c r="O53" s="57">
        <f t="shared" si="50"/>
        <v>0</v>
      </c>
      <c r="P53" s="57">
        <f t="shared" si="47"/>
        <v>0</v>
      </c>
      <c r="Q53" s="46"/>
      <c r="R53" s="16"/>
      <c r="S53" s="57">
        <f t="shared" si="51"/>
        <v>0</v>
      </c>
      <c r="T53" s="57">
        <f t="shared" si="5"/>
        <v>0</v>
      </c>
      <c r="U53" s="46">
        <v>633.755</v>
      </c>
      <c r="V53" s="16"/>
      <c r="W53" s="57">
        <f t="shared" si="52"/>
        <v>633.755</v>
      </c>
      <c r="X53" s="57">
        <f t="shared" si="6"/>
        <v>99.961356466876978</v>
      </c>
      <c r="Y53" s="46">
        <v>648.60299999999995</v>
      </c>
      <c r="Z53" s="16"/>
      <c r="AA53" s="57">
        <f t="shared" si="53"/>
        <v>648.60299999999995</v>
      </c>
      <c r="AB53" s="57">
        <f t="shared" si="7"/>
        <v>102.30331230283912</v>
      </c>
      <c r="AC53" s="403">
        <f t="shared" si="54"/>
        <v>-14.602999999999952</v>
      </c>
      <c r="AD53" s="46">
        <f>355+302</f>
        <v>657</v>
      </c>
      <c r="AE53" s="16"/>
      <c r="AF53" s="57">
        <f t="shared" si="55"/>
        <v>657</v>
      </c>
      <c r="AG53" s="57">
        <f>AF53/$G53*100</f>
        <v>103.62776025236593</v>
      </c>
      <c r="AH53" s="16">
        <f>355+302</f>
        <v>657</v>
      </c>
      <c r="AI53" s="366">
        <f t="shared" si="60"/>
        <v>1.0362776025236593</v>
      </c>
      <c r="AJ53" s="57"/>
      <c r="AK53" s="193"/>
      <c r="AL53" s="437">
        <f>L53-AK53</f>
        <v>634</v>
      </c>
      <c r="AM53" s="325" t="s">
        <v>206</v>
      </c>
      <c r="AN53" s="311" t="s">
        <v>70</v>
      </c>
      <c r="AP53" s="192">
        <f t="shared" si="56"/>
        <v>634</v>
      </c>
      <c r="AQ53" s="191">
        <f t="shared" si="57"/>
        <v>0</v>
      </c>
    </row>
    <row r="54" spans="1:198" x14ac:dyDescent="0.2">
      <c r="A54" s="137"/>
      <c r="B54" s="29">
        <v>3392</v>
      </c>
      <c r="C54" s="29">
        <v>325</v>
      </c>
      <c r="D54" s="211" t="s">
        <v>378</v>
      </c>
      <c r="E54" s="46">
        <v>550</v>
      </c>
      <c r="F54" s="16"/>
      <c r="G54" s="57">
        <f t="shared" si="49"/>
        <v>550</v>
      </c>
      <c r="H54" s="192">
        <v>50</v>
      </c>
      <c r="I54" s="193"/>
      <c r="J54" s="46">
        <f t="shared" si="58"/>
        <v>600</v>
      </c>
      <c r="K54" s="16"/>
      <c r="L54" s="57">
        <f t="shared" si="59"/>
        <v>600</v>
      </c>
      <c r="M54" s="46"/>
      <c r="N54" s="16"/>
      <c r="O54" s="57">
        <f t="shared" si="50"/>
        <v>0</v>
      </c>
      <c r="P54" s="57"/>
      <c r="Q54" s="46"/>
      <c r="R54" s="16"/>
      <c r="S54" s="57">
        <f t="shared" si="51"/>
        <v>0</v>
      </c>
      <c r="T54" s="57"/>
      <c r="U54" s="46">
        <v>8</v>
      </c>
      <c r="V54" s="16"/>
      <c r="W54" s="57">
        <f t="shared" si="52"/>
        <v>8</v>
      </c>
      <c r="X54" s="57">
        <f t="shared" si="6"/>
        <v>1.3333333333333335</v>
      </c>
      <c r="Y54" s="46">
        <v>597.76430000000005</v>
      </c>
      <c r="Z54" s="16"/>
      <c r="AA54" s="57">
        <f t="shared" si="53"/>
        <v>597.76430000000005</v>
      </c>
      <c r="AB54" s="57">
        <f t="shared" si="7"/>
        <v>99.627383333333341</v>
      </c>
      <c r="AC54" s="403">
        <f t="shared" si="54"/>
        <v>2.2356999999999516</v>
      </c>
      <c r="AD54" s="46"/>
      <c r="AE54" s="16"/>
      <c r="AF54" s="57">
        <f t="shared" si="55"/>
        <v>0</v>
      </c>
      <c r="AG54" s="57"/>
      <c r="AH54" s="16"/>
      <c r="AI54" s="366"/>
      <c r="AJ54" s="57"/>
      <c r="AK54" s="193"/>
      <c r="AL54" s="437"/>
      <c r="AM54" s="326" t="s">
        <v>164</v>
      </c>
      <c r="AN54" s="313" t="s">
        <v>324</v>
      </c>
      <c r="AP54" s="192">
        <f t="shared" si="56"/>
        <v>600</v>
      </c>
      <c r="AQ54" s="191">
        <f t="shared" si="57"/>
        <v>0</v>
      </c>
    </row>
    <row r="55" spans="1:198" x14ac:dyDescent="0.2">
      <c r="A55" s="137"/>
      <c r="B55" s="29">
        <v>3319</v>
      </c>
      <c r="C55" s="29">
        <v>106</v>
      </c>
      <c r="D55" s="211" t="s">
        <v>566</v>
      </c>
      <c r="E55" s="46">
        <v>140</v>
      </c>
      <c r="F55" s="16"/>
      <c r="G55" s="57">
        <f t="shared" si="49"/>
        <v>140</v>
      </c>
      <c r="H55" s="192"/>
      <c r="I55" s="193"/>
      <c r="J55" s="46">
        <f>E55+H55</f>
        <v>140</v>
      </c>
      <c r="K55" s="16"/>
      <c r="L55" s="57">
        <f>SUM(J55:K55)</f>
        <v>140</v>
      </c>
      <c r="M55" s="46"/>
      <c r="N55" s="16"/>
      <c r="O55" s="57">
        <f t="shared" si="50"/>
        <v>0</v>
      </c>
      <c r="P55" s="57"/>
      <c r="Q55" s="46"/>
      <c r="R55" s="16"/>
      <c r="S55" s="57">
        <f t="shared" si="51"/>
        <v>0</v>
      </c>
      <c r="T55" s="57">
        <f t="shared" si="5"/>
        <v>0</v>
      </c>
      <c r="U55" s="46">
        <v>140</v>
      </c>
      <c r="V55" s="16"/>
      <c r="W55" s="57">
        <f t="shared" si="52"/>
        <v>140</v>
      </c>
      <c r="X55" s="57">
        <f t="shared" si="6"/>
        <v>100</v>
      </c>
      <c r="Y55" s="46">
        <v>140</v>
      </c>
      <c r="Z55" s="16"/>
      <c r="AA55" s="57">
        <f t="shared" si="53"/>
        <v>140</v>
      </c>
      <c r="AB55" s="57">
        <f t="shared" si="7"/>
        <v>100</v>
      </c>
      <c r="AC55" s="403">
        <f t="shared" si="54"/>
        <v>0</v>
      </c>
      <c r="AD55" s="46">
        <f>60+53</f>
        <v>113</v>
      </c>
      <c r="AE55" s="16"/>
      <c r="AF55" s="57">
        <f t="shared" si="55"/>
        <v>113</v>
      </c>
      <c r="AG55" s="57"/>
      <c r="AH55" s="510">
        <v>60</v>
      </c>
      <c r="AI55" s="366"/>
      <c r="AJ55" s="57"/>
      <c r="AK55" s="193"/>
      <c r="AL55" s="437"/>
      <c r="AM55" s="325" t="s">
        <v>206</v>
      </c>
      <c r="AN55" s="311" t="s">
        <v>70</v>
      </c>
      <c r="AP55" s="192">
        <f t="shared" si="56"/>
        <v>140</v>
      </c>
      <c r="AQ55" s="191">
        <f t="shared" si="57"/>
        <v>0</v>
      </c>
    </row>
    <row r="56" spans="1:198" x14ac:dyDescent="0.2">
      <c r="A56" s="137"/>
      <c r="B56" s="29">
        <v>3319</v>
      </c>
      <c r="C56" s="29"/>
      <c r="D56" s="211" t="s">
        <v>490</v>
      </c>
      <c r="E56" s="46"/>
      <c r="F56" s="16"/>
      <c r="G56" s="57"/>
      <c r="H56" s="192"/>
      <c r="I56" s="193"/>
      <c r="J56" s="46"/>
      <c r="K56" s="16"/>
      <c r="L56" s="57"/>
      <c r="M56" s="46"/>
      <c r="N56" s="16"/>
      <c r="O56" s="57"/>
      <c r="P56" s="57"/>
      <c r="Q56" s="46"/>
      <c r="R56" s="16"/>
      <c r="S56" s="57"/>
      <c r="T56" s="57"/>
      <c r="U56" s="46"/>
      <c r="V56" s="16"/>
      <c r="W56" s="57"/>
      <c r="X56" s="57"/>
      <c r="Y56" s="46"/>
      <c r="Z56" s="16"/>
      <c r="AA56" s="57"/>
      <c r="AB56" s="57" t="e">
        <f t="shared" si="7"/>
        <v>#DIV/0!</v>
      </c>
      <c r="AC56" s="403">
        <f t="shared" si="54"/>
        <v>0</v>
      </c>
      <c r="AD56" s="46">
        <v>280</v>
      </c>
      <c r="AE56" s="16"/>
      <c r="AF56" s="57">
        <f t="shared" si="55"/>
        <v>280</v>
      </c>
      <c r="AG56" s="57"/>
      <c r="AH56" s="510">
        <f>56+55+60</f>
        <v>171</v>
      </c>
      <c r="AI56" s="366"/>
      <c r="AJ56" s="57"/>
      <c r="AK56" s="193"/>
      <c r="AL56" s="437"/>
      <c r="AM56" s="325" t="s">
        <v>478</v>
      </c>
      <c r="AN56" s="311" t="s">
        <v>70</v>
      </c>
      <c r="AP56" s="192"/>
      <c r="AQ56" s="191"/>
    </row>
    <row r="57" spans="1:198" x14ac:dyDescent="0.2">
      <c r="A57" s="137"/>
      <c r="B57" s="29">
        <v>3399</v>
      </c>
      <c r="C57" s="29">
        <v>313</v>
      </c>
      <c r="D57" s="211" t="s">
        <v>103</v>
      </c>
      <c r="E57" s="46">
        <v>150</v>
      </c>
      <c r="F57" s="16"/>
      <c r="G57" s="57">
        <f t="shared" si="49"/>
        <v>150</v>
      </c>
      <c r="H57" s="190"/>
      <c r="I57" s="191"/>
      <c r="J57" s="46">
        <f>E57+H57</f>
        <v>150</v>
      </c>
      <c r="K57" s="16"/>
      <c r="L57" s="57">
        <f>SUM(J57:K57)</f>
        <v>150</v>
      </c>
      <c r="M57" s="46">
        <v>5.9290000000000003</v>
      </c>
      <c r="N57" s="16"/>
      <c r="O57" s="57">
        <f t="shared" si="50"/>
        <v>5.9290000000000003</v>
      </c>
      <c r="P57" s="57">
        <f t="shared" ref="P57:P66" si="61">O57/$L57*100</f>
        <v>3.952666666666667</v>
      </c>
      <c r="Q57" s="46">
        <f>28.17538+1.7</f>
        <v>29.87538</v>
      </c>
      <c r="R57" s="16"/>
      <c r="S57" s="57">
        <f t="shared" si="51"/>
        <v>29.87538</v>
      </c>
      <c r="T57" s="57">
        <f t="shared" si="5"/>
        <v>19.916919999999998</v>
      </c>
      <c r="U57" s="46">
        <v>39.25038</v>
      </c>
      <c r="V57" s="16"/>
      <c r="W57" s="57">
        <f t="shared" si="52"/>
        <v>39.25038</v>
      </c>
      <c r="X57" s="57">
        <f t="shared" si="6"/>
        <v>26.166919999999998</v>
      </c>
      <c r="Y57" s="46">
        <v>100.59038</v>
      </c>
      <c r="Z57" s="16"/>
      <c r="AA57" s="57">
        <f t="shared" si="53"/>
        <v>100.59038</v>
      </c>
      <c r="AB57" s="57">
        <f t="shared" si="7"/>
        <v>67.060253333333335</v>
      </c>
      <c r="AC57" s="403">
        <f t="shared" si="54"/>
        <v>49.409620000000004</v>
      </c>
      <c r="AD57" s="46">
        <v>153</v>
      </c>
      <c r="AE57" s="16"/>
      <c r="AF57" s="57">
        <f t="shared" si="55"/>
        <v>153</v>
      </c>
      <c r="AG57" s="57">
        <f t="shared" ref="AG57:AG66" si="62">AF57/$G57*100</f>
        <v>102</v>
      </c>
      <c r="AH57" s="16">
        <v>153</v>
      </c>
      <c r="AI57" s="366">
        <f t="shared" si="60"/>
        <v>1.02</v>
      </c>
      <c r="AJ57" s="57" t="s">
        <v>302</v>
      </c>
      <c r="AK57" s="191"/>
      <c r="AL57" s="437">
        <f>L57-AK57</f>
        <v>150</v>
      </c>
      <c r="AM57" s="422" t="s">
        <v>284</v>
      </c>
      <c r="AN57" s="432"/>
      <c r="AP57" s="192">
        <f t="shared" si="56"/>
        <v>150</v>
      </c>
      <c r="AQ57" s="191">
        <f t="shared" si="57"/>
        <v>0</v>
      </c>
    </row>
    <row r="58" spans="1:198" x14ac:dyDescent="0.2">
      <c r="A58" s="138">
        <v>34</v>
      </c>
      <c r="B58" s="24">
        <v>3400</v>
      </c>
      <c r="C58" s="24"/>
      <c r="D58" s="427" t="s">
        <v>74</v>
      </c>
      <c r="E58" s="58">
        <f t="shared" ref="E58:O58" si="63">SUM(E59:E66)</f>
        <v>5110</v>
      </c>
      <c r="F58" s="59">
        <f t="shared" si="63"/>
        <v>22274</v>
      </c>
      <c r="G58" s="60">
        <f t="shared" si="63"/>
        <v>27384</v>
      </c>
      <c r="H58" s="194">
        <f t="shared" si="63"/>
        <v>306</v>
      </c>
      <c r="I58" s="195">
        <f t="shared" si="63"/>
        <v>-5023.91</v>
      </c>
      <c r="J58" s="58">
        <f t="shared" si="63"/>
        <v>5416</v>
      </c>
      <c r="K58" s="59">
        <f t="shared" si="63"/>
        <v>17250.09</v>
      </c>
      <c r="L58" s="60">
        <f t="shared" si="63"/>
        <v>22666.09</v>
      </c>
      <c r="M58" s="58">
        <f t="shared" si="63"/>
        <v>1337.0730000000001</v>
      </c>
      <c r="N58" s="59">
        <f t="shared" si="63"/>
        <v>1677.2865400000001</v>
      </c>
      <c r="O58" s="60">
        <f t="shared" si="63"/>
        <v>3014.3595399999999</v>
      </c>
      <c r="P58" s="60">
        <f t="shared" si="61"/>
        <v>13.29898337119459</v>
      </c>
      <c r="Q58" s="58">
        <f>SUM(Q59:Q66)</f>
        <v>3277.2565599999998</v>
      </c>
      <c r="R58" s="59">
        <f>SUM(R59:R66)</f>
        <v>7090.6859199999999</v>
      </c>
      <c r="S58" s="60">
        <f>SUM(S59:S66)</f>
        <v>10367.942479999998</v>
      </c>
      <c r="T58" s="60">
        <f t="shared" si="5"/>
        <v>45.742086438375559</v>
      </c>
      <c r="U58" s="58">
        <f>SUM(U59:U66)</f>
        <v>4428.2405600000002</v>
      </c>
      <c r="V58" s="59">
        <f>SUM(V59:V66)</f>
        <v>13621.22516</v>
      </c>
      <c r="W58" s="60">
        <f>SUM(W59:W66)</f>
        <v>18049.46572</v>
      </c>
      <c r="X58" s="60">
        <f t="shared" si="6"/>
        <v>79.632021755847617</v>
      </c>
      <c r="Y58" s="58">
        <f>SUM(Y59:Y66)</f>
        <v>5401.6755600000006</v>
      </c>
      <c r="Z58" s="59">
        <f>SUM(Z59:Z66)</f>
        <v>17233.768360000002</v>
      </c>
      <c r="AA58" s="60">
        <f>SUM(AA59:AA66)</f>
        <v>22635.443920000002</v>
      </c>
      <c r="AB58" s="60">
        <f t="shared" si="7"/>
        <v>99.864793266063984</v>
      </c>
      <c r="AC58" s="404">
        <f>SUM(AC59:AC66)</f>
        <v>30.646080000000836</v>
      </c>
      <c r="AD58" s="58">
        <f>SUM(AD59:AD66)</f>
        <v>5062</v>
      </c>
      <c r="AE58" s="59">
        <f>SUM(AE59:AE66)</f>
        <v>7320</v>
      </c>
      <c r="AF58" s="60">
        <f>SUM(AF59:AF66)</f>
        <v>12382</v>
      </c>
      <c r="AG58" s="60">
        <f t="shared" si="62"/>
        <v>45.216184633362552</v>
      </c>
      <c r="AH58" s="59">
        <f>SUM(AH59:AH66)</f>
        <v>32590</v>
      </c>
      <c r="AI58" s="367">
        <f t="shared" si="60"/>
        <v>1.1901110137306457</v>
      </c>
      <c r="AJ58" s="60"/>
      <c r="AK58" s="195">
        <f>SUM(AK59:AK66)</f>
        <v>0</v>
      </c>
      <c r="AL58" s="438">
        <f>SUM(AL59:AL66)</f>
        <v>11954</v>
      </c>
      <c r="AM58" s="327"/>
      <c r="AN58" s="74"/>
      <c r="AP58" s="194">
        <f>SUM(AP59:AP66)</f>
        <v>5416</v>
      </c>
      <c r="AQ58" s="195">
        <f>SUM(AQ59:AQ66)</f>
        <v>17250.09</v>
      </c>
    </row>
    <row r="59" spans="1:198" ht="13.5" customHeight="1" x14ac:dyDescent="0.2">
      <c r="A59" s="137"/>
      <c r="B59" s="29">
        <v>3412</v>
      </c>
      <c r="C59" s="29">
        <v>506</v>
      </c>
      <c r="D59" s="211" t="s">
        <v>392</v>
      </c>
      <c r="E59" s="46">
        <v>3450</v>
      </c>
      <c r="F59" s="16"/>
      <c r="G59" s="57">
        <f t="shared" ref="G59:G66" si="64">E59+F59</f>
        <v>3450</v>
      </c>
      <c r="H59" s="192"/>
      <c r="I59" s="191"/>
      <c r="J59" s="46">
        <f t="shared" ref="J59:K63" si="65">E59+H59</f>
        <v>3450</v>
      </c>
      <c r="K59" s="16">
        <f t="shared" si="65"/>
        <v>0</v>
      </c>
      <c r="L59" s="57">
        <f t="shared" ref="L59:L66" si="66">SUM(J59:K59)</f>
        <v>3450</v>
      </c>
      <c r="M59" s="46">
        <v>1293</v>
      </c>
      <c r="N59" s="16"/>
      <c r="O59" s="57">
        <f t="shared" ref="O59:O66" si="67">M59+N59</f>
        <v>1293</v>
      </c>
      <c r="P59" s="57">
        <f t="shared" si="61"/>
        <v>37.478260869565219</v>
      </c>
      <c r="Q59" s="46">
        <f>432+1293</f>
        <v>1725</v>
      </c>
      <c r="R59" s="16"/>
      <c r="S59" s="57">
        <f t="shared" ref="S59:S66" si="68">Q59+R59</f>
        <v>1725</v>
      </c>
      <c r="T59" s="57">
        <f t="shared" si="5"/>
        <v>50</v>
      </c>
      <c r="U59" s="46">
        <f>431.5+2156</f>
        <v>2587.5</v>
      </c>
      <c r="V59" s="16"/>
      <c r="W59" s="57">
        <f t="shared" ref="W59:W68" si="69">U59+V59</f>
        <v>2587.5</v>
      </c>
      <c r="X59" s="57">
        <f t="shared" si="6"/>
        <v>75</v>
      </c>
      <c r="Y59" s="46">
        <v>3450</v>
      </c>
      <c r="Z59" s="16"/>
      <c r="AA59" s="57">
        <f t="shared" ref="AA59:AA66" si="70">Y59+Z59</f>
        <v>3450</v>
      </c>
      <c r="AB59" s="57">
        <f t="shared" si="7"/>
        <v>100</v>
      </c>
      <c r="AC59" s="403">
        <f t="shared" ref="AC59:AC66" si="71">L59-AA59</f>
        <v>0</v>
      </c>
      <c r="AD59" s="46">
        <v>3704</v>
      </c>
      <c r="AE59" s="16"/>
      <c r="AF59" s="57">
        <f t="shared" ref="AF59:AF66" si="72">AD59+AE59</f>
        <v>3704</v>
      </c>
      <c r="AG59" s="57">
        <f t="shared" si="62"/>
        <v>107.36231884057972</v>
      </c>
      <c r="AH59" s="16">
        <v>2985</v>
      </c>
      <c r="AI59" s="366"/>
      <c r="AJ59" s="57" t="s">
        <v>394</v>
      </c>
      <c r="AK59" s="191"/>
      <c r="AL59" s="437"/>
      <c r="AM59" s="325" t="s">
        <v>206</v>
      </c>
      <c r="AN59" s="311" t="s">
        <v>70</v>
      </c>
      <c r="AO59" s="98"/>
      <c r="AP59" s="192">
        <f t="shared" ref="AP59:AP66" si="73">J59</f>
        <v>3450</v>
      </c>
      <c r="AQ59" s="191">
        <f t="shared" ref="AQ59:AQ66" si="74">K59</f>
        <v>0</v>
      </c>
    </row>
    <row r="60" spans="1:198" ht="13.5" customHeight="1" x14ac:dyDescent="0.2">
      <c r="A60" s="137"/>
      <c r="B60" s="29">
        <v>3412</v>
      </c>
      <c r="C60" s="29">
        <v>506</v>
      </c>
      <c r="D60" s="211" t="s">
        <v>433</v>
      </c>
      <c r="E60" s="46"/>
      <c r="F60" s="16">
        <v>2800</v>
      </c>
      <c r="G60" s="57">
        <f t="shared" si="64"/>
        <v>2800</v>
      </c>
      <c r="H60" s="192"/>
      <c r="I60" s="191">
        <v>962.09</v>
      </c>
      <c r="J60" s="46">
        <f t="shared" si="65"/>
        <v>0</v>
      </c>
      <c r="K60" s="16">
        <f t="shared" si="65"/>
        <v>3762.09</v>
      </c>
      <c r="L60" s="57">
        <f t="shared" si="66"/>
        <v>3762.09</v>
      </c>
      <c r="M60" s="46"/>
      <c r="N60" s="16"/>
      <c r="O60" s="57">
        <f t="shared" si="67"/>
        <v>0</v>
      </c>
      <c r="P60" s="57">
        <f t="shared" si="61"/>
        <v>0</v>
      </c>
      <c r="Q60" s="46"/>
      <c r="R60" s="16">
        <v>2800</v>
      </c>
      <c r="S60" s="57">
        <f t="shared" si="68"/>
        <v>2800</v>
      </c>
      <c r="T60" s="57">
        <f t="shared" si="5"/>
        <v>74.426714937707487</v>
      </c>
      <c r="U60" s="46"/>
      <c r="V60" s="16">
        <v>3762.09</v>
      </c>
      <c r="W60" s="57">
        <f t="shared" si="69"/>
        <v>3762.09</v>
      </c>
      <c r="X60" s="57">
        <f t="shared" si="6"/>
        <v>100</v>
      </c>
      <c r="Y60" s="46"/>
      <c r="Z60" s="16">
        <f>7062.09-Z61</f>
        <v>3762.09</v>
      </c>
      <c r="AA60" s="57">
        <f t="shared" si="70"/>
        <v>3762.09</v>
      </c>
      <c r="AB60" s="57">
        <f t="shared" si="7"/>
        <v>100</v>
      </c>
      <c r="AC60" s="403">
        <f t="shared" si="71"/>
        <v>0</v>
      </c>
      <c r="AD60" s="46">
        <v>0</v>
      </c>
      <c r="AE60" s="16"/>
      <c r="AF60" s="57">
        <f t="shared" si="72"/>
        <v>0</v>
      </c>
      <c r="AG60" s="57">
        <f t="shared" si="62"/>
        <v>0</v>
      </c>
      <c r="AH60" s="16">
        <v>0</v>
      </c>
      <c r="AI60" s="366"/>
      <c r="AJ60" s="57" t="s">
        <v>451</v>
      </c>
      <c r="AK60" s="191"/>
      <c r="AL60" s="437"/>
      <c r="AM60" s="325" t="s">
        <v>206</v>
      </c>
      <c r="AN60" s="311" t="s">
        <v>70</v>
      </c>
      <c r="AO60" s="98"/>
      <c r="AP60" s="192">
        <f t="shared" si="73"/>
        <v>0</v>
      </c>
      <c r="AQ60" s="469">
        <f t="shared" si="74"/>
        <v>3762.09</v>
      </c>
    </row>
    <row r="61" spans="1:198" ht="13.5" customHeight="1" x14ac:dyDescent="0.2">
      <c r="A61" s="137"/>
      <c r="B61" s="29">
        <v>3412</v>
      </c>
      <c r="C61" s="29">
        <v>506</v>
      </c>
      <c r="D61" s="211" t="s">
        <v>421</v>
      </c>
      <c r="E61" s="46"/>
      <c r="F61" s="16">
        <f>400+413+100+2148+5348+591</f>
        <v>9000</v>
      </c>
      <c r="G61" s="57">
        <f t="shared" si="64"/>
        <v>9000</v>
      </c>
      <c r="H61" s="192"/>
      <c r="I61" s="191">
        <v>-5700</v>
      </c>
      <c r="J61" s="46">
        <f t="shared" si="65"/>
        <v>0</v>
      </c>
      <c r="K61" s="16">
        <f t="shared" si="65"/>
        <v>3300</v>
      </c>
      <c r="L61" s="57">
        <f t="shared" si="66"/>
        <v>3300</v>
      </c>
      <c r="M61" s="46"/>
      <c r="N61" s="16"/>
      <c r="O61" s="57">
        <f t="shared" si="67"/>
        <v>0</v>
      </c>
      <c r="P61" s="57">
        <f t="shared" si="61"/>
        <v>0</v>
      </c>
      <c r="Q61" s="46"/>
      <c r="R61" s="16"/>
      <c r="S61" s="57">
        <f t="shared" si="68"/>
        <v>0</v>
      </c>
      <c r="T61" s="57">
        <f t="shared" si="5"/>
        <v>0</v>
      </c>
      <c r="U61" s="46"/>
      <c r="V61" s="16">
        <f>4605.847-V60</f>
        <v>843.75699999999961</v>
      </c>
      <c r="W61" s="57">
        <f t="shared" si="69"/>
        <v>843.75699999999961</v>
      </c>
      <c r="X61" s="57">
        <f t="shared" si="6"/>
        <v>25.568393939393928</v>
      </c>
      <c r="Y61" s="46"/>
      <c r="Z61" s="16">
        <v>3300</v>
      </c>
      <c r="AA61" s="57">
        <f t="shared" si="70"/>
        <v>3300</v>
      </c>
      <c r="AB61" s="57">
        <f t="shared" si="7"/>
        <v>100</v>
      </c>
      <c r="AC61" s="403">
        <f t="shared" si="71"/>
        <v>0</v>
      </c>
      <c r="AD61" s="46"/>
      <c r="AE61" s="16">
        <f>6800+200</f>
        <v>7000</v>
      </c>
      <c r="AF61" s="57">
        <f t="shared" si="72"/>
        <v>7000</v>
      </c>
      <c r="AG61" s="57">
        <f t="shared" si="62"/>
        <v>77.777777777777786</v>
      </c>
      <c r="AH61" s="16">
        <v>27750</v>
      </c>
      <c r="AI61" s="366"/>
      <c r="AJ61" s="57" t="s">
        <v>476</v>
      </c>
      <c r="AK61" s="191"/>
      <c r="AL61" s="437"/>
      <c r="AM61" s="325" t="s">
        <v>206</v>
      </c>
      <c r="AN61" s="311" t="s">
        <v>70</v>
      </c>
      <c r="AO61" s="98"/>
      <c r="AP61" s="192">
        <f t="shared" si="73"/>
        <v>0</v>
      </c>
      <c r="AQ61" s="505">
        <v>3300</v>
      </c>
    </row>
    <row r="62" spans="1:198" ht="13.5" customHeight="1" x14ac:dyDescent="0.2">
      <c r="A62" s="137"/>
      <c r="B62" s="29">
        <v>3412</v>
      </c>
      <c r="C62" s="29">
        <v>216</v>
      </c>
      <c r="D62" s="211" t="s">
        <v>300</v>
      </c>
      <c r="E62" s="46"/>
      <c r="F62" s="16">
        <v>10474</v>
      </c>
      <c r="G62" s="57">
        <f t="shared" si="64"/>
        <v>10474</v>
      </c>
      <c r="H62" s="192">
        <v>286</v>
      </c>
      <c r="I62" s="191">
        <v>-286</v>
      </c>
      <c r="J62" s="46">
        <f t="shared" si="65"/>
        <v>286</v>
      </c>
      <c r="K62" s="16">
        <f t="shared" si="65"/>
        <v>10188</v>
      </c>
      <c r="L62" s="57">
        <f t="shared" si="66"/>
        <v>10474</v>
      </c>
      <c r="M62" s="46"/>
      <c r="N62" s="16">
        <v>1677.2865400000001</v>
      </c>
      <c r="O62" s="57">
        <f t="shared" si="67"/>
        <v>1677.2865400000001</v>
      </c>
      <c r="P62" s="57">
        <f>O62/$L62*100</f>
        <v>16.013810769524536</v>
      </c>
      <c r="Q62" s="46">
        <f>4585.94248-R62-Q63</f>
        <v>218.17155999999983</v>
      </c>
      <c r="R62" s="16">
        <v>4290.6859199999999</v>
      </c>
      <c r="S62" s="57">
        <f t="shared" si="68"/>
        <v>4508.8574799999997</v>
      </c>
      <c r="T62" s="57">
        <f>S62/$L62*100</f>
        <v>43.048095092610275</v>
      </c>
      <c r="U62" s="46">
        <f>2.571+36.13824+141.85732</f>
        <v>180.56655999999998</v>
      </c>
      <c r="V62" s="16">
        <f>9376.86772-U62-U63</f>
        <v>9015.3781600000002</v>
      </c>
      <c r="W62" s="57">
        <f t="shared" si="69"/>
        <v>9195.9447199999995</v>
      </c>
      <c r="X62" s="57">
        <f t="shared" si="6"/>
        <v>87.797830055375215</v>
      </c>
      <c r="Y62" s="46">
        <f>2.571+36.13824+232.60732</f>
        <v>271.31655999999998</v>
      </c>
      <c r="Z62" s="16">
        <v>10171.67836</v>
      </c>
      <c r="AA62" s="57">
        <f t="shared" si="70"/>
        <v>10442.994919999999</v>
      </c>
      <c r="AB62" s="57">
        <f t="shared" ref="AB62:AB68" si="75">AA62/$L62*100</f>
        <v>99.7039805232003</v>
      </c>
      <c r="AC62" s="403">
        <f t="shared" si="71"/>
        <v>31.005080000000817</v>
      </c>
      <c r="AD62" s="46"/>
      <c r="AE62" s="16"/>
      <c r="AF62" s="57">
        <f t="shared" si="72"/>
        <v>0</v>
      </c>
      <c r="AG62" s="57">
        <f t="shared" si="62"/>
        <v>0</v>
      </c>
      <c r="AH62" s="16">
        <v>0</v>
      </c>
      <c r="AI62" s="366">
        <f>AH62/G62</f>
        <v>0</v>
      </c>
      <c r="AJ62" s="57" t="s">
        <v>451</v>
      </c>
      <c r="AK62" s="191"/>
      <c r="AL62" s="437">
        <f>L62-AK62</f>
        <v>10474</v>
      </c>
      <c r="AM62" s="326" t="s">
        <v>324</v>
      </c>
      <c r="AN62" s="313" t="s">
        <v>120</v>
      </c>
      <c r="AO62" s="98" t="s">
        <v>332</v>
      </c>
      <c r="AP62" s="192">
        <f t="shared" si="73"/>
        <v>286</v>
      </c>
      <c r="AQ62" s="191">
        <f t="shared" si="74"/>
        <v>10188</v>
      </c>
    </row>
    <row r="63" spans="1:198" ht="13.5" customHeight="1" x14ac:dyDescent="0.2">
      <c r="A63" s="137"/>
      <c r="B63" s="29">
        <v>3412</v>
      </c>
      <c r="C63" s="29">
        <v>216</v>
      </c>
      <c r="D63" s="211" t="s">
        <v>400</v>
      </c>
      <c r="E63" s="46">
        <v>200</v>
      </c>
      <c r="F63" s="16"/>
      <c r="G63" s="57">
        <f t="shared" si="64"/>
        <v>200</v>
      </c>
      <c r="H63" s="192"/>
      <c r="I63" s="191"/>
      <c r="J63" s="46">
        <f t="shared" si="65"/>
        <v>200</v>
      </c>
      <c r="K63" s="16">
        <f t="shared" si="65"/>
        <v>0</v>
      </c>
      <c r="L63" s="57">
        <f t="shared" si="66"/>
        <v>200</v>
      </c>
      <c r="M63" s="46">
        <v>44.073</v>
      </c>
      <c r="N63" s="16"/>
      <c r="O63" s="57">
        <f t="shared" si="67"/>
        <v>44.073</v>
      </c>
      <c r="P63" s="57">
        <f t="shared" si="61"/>
        <v>22.0365</v>
      </c>
      <c r="Q63" s="46">
        <f>0.942+76.143</f>
        <v>77.084999999999994</v>
      </c>
      <c r="R63" s="16"/>
      <c r="S63" s="57">
        <f t="shared" si="68"/>
        <v>77.084999999999994</v>
      </c>
      <c r="T63" s="57">
        <f t="shared" si="5"/>
        <v>38.542499999999997</v>
      </c>
      <c r="U63" s="46">
        <f>157.506+22.175+1.242</f>
        <v>180.923</v>
      </c>
      <c r="V63" s="16"/>
      <c r="W63" s="57">
        <f t="shared" si="69"/>
        <v>180.923</v>
      </c>
      <c r="X63" s="57">
        <f t="shared" si="6"/>
        <v>90.461500000000001</v>
      </c>
      <c r="Y63" s="46">
        <f>1.542+177.391+22.175</f>
        <v>201.108</v>
      </c>
      <c r="Z63" s="16"/>
      <c r="AA63" s="57">
        <f t="shared" si="70"/>
        <v>201.108</v>
      </c>
      <c r="AB63" s="57">
        <f t="shared" si="75"/>
        <v>100.55400000000002</v>
      </c>
      <c r="AC63" s="403">
        <f t="shared" si="71"/>
        <v>-1.1080000000000041</v>
      </c>
      <c r="AD63" s="46">
        <f>185+73</f>
        <v>258</v>
      </c>
      <c r="AE63" s="16"/>
      <c r="AF63" s="57">
        <f t="shared" si="72"/>
        <v>258</v>
      </c>
      <c r="AG63" s="57">
        <f t="shared" si="62"/>
        <v>129</v>
      </c>
      <c r="AH63" s="16">
        <v>185</v>
      </c>
      <c r="AI63" s="366"/>
      <c r="AJ63" s="57"/>
      <c r="AK63" s="191"/>
      <c r="AL63" s="437"/>
      <c r="AM63" s="326" t="s">
        <v>341</v>
      </c>
      <c r="AN63" s="538" t="s">
        <v>68</v>
      </c>
      <c r="AO63" s="98"/>
      <c r="AP63" s="192">
        <f t="shared" si="73"/>
        <v>200</v>
      </c>
      <c r="AQ63" s="191">
        <f t="shared" si="74"/>
        <v>0</v>
      </c>
    </row>
    <row r="64" spans="1:198" ht="13.5" customHeight="1" x14ac:dyDescent="0.2">
      <c r="A64" s="137"/>
      <c r="B64" s="29">
        <v>3419</v>
      </c>
      <c r="C64" s="29">
        <v>105</v>
      </c>
      <c r="D64" s="211" t="s">
        <v>568</v>
      </c>
      <c r="E64" s="46">
        <f>45+415</f>
        <v>460</v>
      </c>
      <c r="F64" s="16"/>
      <c r="G64" s="57">
        <f t="shared" si="64"/>
        <v>460</v>
      </c>
      <c r="H64" s="196">
        <v>20</v>
      </c>
      <c r="I64" s="191"/>
      <c r="J64" s="46">
        <f>E64+H64</f>
        <v>480</v>
      </c>
      <c r="K64" s="16"/>
      <c r="L64" s="57">
        <f t="shared" si="66"/>
        <v>480</v>
      </c>
      <c r="M64" s="46"/>
      <c r="N64" s="16"/>
      <c r="O64" s="57">
        <f t="shared" si="67"/>
        <v>0</v>
      </c>
      <c r="P64" s="57">
        <f t="shared" si="61"/>
        <v>0</v>
      </c>
      <c r="Q64" s="46">
        <f>237+20</f>
        <v>257</v>
      </c>
      <c r="R64" s="16"/>
      <c r="S64" s="57">
        <f t="shared" si="68"/>
        <v>257</v>
      </c>
      <c r="T64" s="57">
        <f t="shared" si="5"/>
        <v>53.541666666666664</v>
      </c>
      <c r="U64" s="46">
        <v>479.25099999999998</v>
      </c>
      <c r="V64" s="16"/>
      <c r="W64" s="57">
        <f t="shared" si="69"/>
        <v>479.25099999999998</v>
      </c>
      <c r="X64" s="57">
        <f>W64/$L64*100</f>
        <v>99.843958333333333</v>
      </c>
      <c r="Y64" s="46">
        <v>479.25099999999998</v>
      </c>
      <c r="Z64" s="16"/>
      <c r="AA64" s="57">
        <f t="shared" si="70"/>
        <v>479.25099999999998</v>
      </c>
      <c r="AB64" s="57">
        <f t="shared" si="75"/>
        <v>99.843958333333333</v>
      </c>
      <c r="AC64" s="403">
        <f t="shared" si="71"/>
        <v>0.74900000000002365</v>
      </c>
      <c r="AD64" s="46">
        <f>50</f>
        <v>50</v>
      </c>
      <c r="AE64" s="16">
        <v>320</v>
      </c>
      <c r="AF64" s="57">
        <f t="shared" si="72"/>
        <v>370</v>
      </c>
      <c r="AG64" s="57">
        <f t="shared" si="62"/>
        <v>80.434782608695656</v>
      </c>
      <c r="AH64" s="16">
        <f>50+320</f>
        <v>370</v>
      </c>
      <c r="AI64" s="366">
        <f>AH64/G64</f>
        <v>0.80434782608695654</v>
      </c>
      <c r="AJ64" s="57" t="s">
        <v>496</v>
      </c>
      <c r="AK64" s="191"/>
      <c r="AL64" s="437">
        <f>L64-AK64</f>
        <v>480</v>
      </c>
      <c r="AM64" s="325"/>
      <c r="AN64" s="311" t="s">
        <v>70</v>
      </c>
      <c r="AP64" s="192">
        <f t="shared" si="73"/>
        <v>480</v>
      </c>
      <c r="AQ64" s="191">
        <f t="shared" si="74"/>
        <v>0</v>
      </c>
    </row>
    <row r="65" spans="1:43" ht="13.5" customHeight="1" x14ac:dyDescent="0.2">
      <c r="A65" s="137"/>
      <c r="B65" s="29">
        <v>3419</v>
      </c>
      <c r="C65" s="29"/>
      <c r="D65" s="211" t="s">
        <v>465</v>
      </c>
      <c r="E65" s="46"/>
      <c r="F65" s="16"/>
      <c r="G65" s="57"/>
      <c r="H65" s="196"/>
      <c r="I65" s="191"/>
      <c r="J65" s="46"/>
      <c r="K65" s="16"/>
      <c r="L65" s="57"/>
      <c r="M65" s="46"/>
      <c r="N65" s="16"/>
      <c r="O65" s="57"/>
      <c r="P65" s="57"/>
      <c r="Q65" s="46"/>
      <c r="R65" s="16"/>
      <c r="S65" s="57"/>
      <c r="T65" s="57"/>
      <c r="U65" s="46"/>
      <c r="V65" s="16"/>
      <c r="W65" s="57"/>
      <c r="X65" s="57"/>
      <c r="Y65" s="46"/>
      <c r="Z65" s="16"/>
      <c r="AA65" s="57"/>
      <c r="AB65" s="57"/>
      <c r="AC65" s="403">
        <f t="shared" si="71"/>
        <v>0</v>
      </c>
      <c r="AD65" s="46">
        <v>100</v>
      </c>
      <c r="AE65" s="16"/>
      <c r="AF65" s="57">
        <f t="shared" si="72"/>
        <v>100</v>
      </c>
      <c r="AG65" s="57"/>
      <c r="AH65" s="46">
        <v>100</v>
      </c>
      <c r="AI65" s="366"/>
      <c r="AJ65" s="57"/>
      <c r="AK65" s="191"/>
      <c r="AL65" s="437"/>
      <c r="AM65" s="325"/>
      <c r="AN65" s="311" t="s">
        <v>70</v>
      </c>
      <c r="AP65" s="192"/>
      <c r="AQ65" s="191"/>
    </row>
    <row r="66" spans="1:43" ht="12.75" customHeight="1" x14ac:dyDescent="0.2">
      <c r="A66" s="137"/>
      <c r="B66" s="29">
        <v>3421</v>
      </c>
      <c r="C66" s="29">
        <v>105</v>
      </c>
      <c r="D66" s="211" t="s">
        <v>458</v>
      </c>
      <c r="E66" s="46">
        <v>1000</v>
      </c>
      <c r="F66" s="16"/>
      <c r="G66" s="57">
        <f t="shared" si="64"/>
        <v>1000</v>
      </c>
      <c r="H66" s="192"/>
      <c r="I66" s="191"/>
      <c r="J66" s="46">
        <f>E66+H66</f>
        <v>1000</v>
      </c>
      <c r="K66" s="16"/>
      <c r="L66" s="57">
        <f t="shared" si="66"/>
        <v>1000</v>
      </c>
      <c r="M66" s="46"/>
      <c r="N66" s="16"/>
      <c r="O66" s="57">
        <f t="shared" si="67"/>
        <v>0</v>
      </c>
      <c r="P66" s="57">
        <f t="shared" si="61"/>
        <v>0</v>
      </c>
      <c r="Q66" s="46">
        <v>1000</v>
      </c>
      <c r="R66" s="16"/>
      <c r="S66" s="57">
        <f t="shared" si="68"/>
        <v>1000</v>
      </c>
      <c r="T66" s="57">
        <f>S66/$L66*100</f>
        <v>100</v>
      </c>
      <c r="U66" s="46">
        <v>1000</v>
      </c>
      <c r="V66" s="16"/>
      <c r="W66" s="57">
        <f t="shared" si="69"/>
        <v>1000</v>
      </c>
      <c r="X66" s="57">
        <f>W66/$L66*100</f>
        <v>100</v>
      </c>
      <c r="Y66" s="46">
        <v>1000</v>
      </c>
      <c r="Z66" s="16"/>
      <c r="AA66" s="57">
        <f t="shared" si="70"/>
        <v>1000</v>
      </c>
      <c r="AB66" s="57">
        <f t="shared" si="75"/>
        <v>100</v>
      </c>
      <c r="AC66" s="403">
        <f t="shared" si="71"/>
        <v>0</v>
      </c>
      <c r="AD66" s="46">
        <f>1200-250</f>
        <v>950</v>
      </c>
      <c r="AE66" s="16"/>
      <c r="AF66" s="57">
        <f t="shared" si="72"/>
        <v>950</v>
      </c>
      <c r="AG66" s="57">
        <f t="shared" si="62"/>
        <v>95</v>
      </c>
      <c r="AH66" s="16">
        <v>1200</v>
      </c>
      <c r="AI66" s="366">
        <f>AH66/G66</f>
        <v>1.2</v>
      </c>
      <c r="AJ66" s="57"/>
      <c r="AK66" s="191"/>
      <c r="AL66" s="437">
        <f>L66-AK66</f>
        <v>1000</v>
      </c>
      <c r="AM66" s="325" t="s">
        <v>478</v>
      </c>
      <c r="AN66" s="311" t="s">
        <v>70</v>
      </c>
      <c r="AP66" s="192">
        <f t="shared" si="73"/>
        <v>1000</v>
      </c>
      <c r="AQ66" s="191">
        <f t="shared" si="74"/>
        <v>0</v>
      </c>
    </row>
    <row r="67" spans="1:43" x14ac:dyDescent="0.2">
      <c r="A67" s="138">
        <v>35</v>
      </c>
      <c r="B67" s="24">
        <v>3500</v>
      </c>
      <c r="C67" s="24"/>
      <c r="D67" s="427" t="s">
        <v>117</v>
      </c>
      <c r="E67" s="58">
        <f t="shared" ref="E67:O67" si="76">SUM(E68:E68)</f>
        <v>0</v>
      </c>
      <c r="F67" s="59">
        <f t="shared" si="76"/>
        <v>0</v>
      </c>
      <c r="G67" s="60">
        <f t="shared" si="76"/>
        <v>0</v>
      </c>
      <c r="H67" s="194">
        <f t="shared" si="76"/>
        <v>0</v>
      </c>
      <c r="I67" s="195">
        <f t="shared" si="76"/>
        <v>0</v>
      </c>
      <c r="J67" s="58">
        <f t="shared" si="76"/>
        <v>0</v>
      </c>
      <c r="K67" s="59">
        <f t="shared" si="76"/>
        <v>0</v>
      </c>
      <c r="L67" s="60">
        <f t="shared" si="76"/>
        <v>0</v>
      </c>
      <c r="M67" s="58">
        <f t="shared" si="76"/>
        <v>0</v>
      </c>
      <c r="N67" s="59">
        <f t="shared" si="76"/>
        <v>0</v>
      </c>
      <c r="O67" s="60">
        <f t="shared" si="76"/>
        <v>0</v>
      </c>
      <c r="P67" s="60"/>
      <c r="Q67" s="58">
        <f>SUM(Q68:Q68)</f>
        <v>0</v>
      </c>
      <c r="R67" s="59">
        <f>SUM(R68:R68)</f>
        <v>0</v>
      </c>
      <c r="S67" s="60">
        <f>SUM(S68:S68)</f>
        <v>0</v>
      </c>
      <c r="T67" s="60"/>
      <c r="U67" s="58">
        <f>SUM(U68:U68)</f>
        <v>0</v>
      </c>
      <c r="V67" s="59">
        <f>SUM(V68:V68)</f>
        <v>0</v>
      </c>
      <c r="W67" s="60">
        <f>SUM(W68:W68)</f>
        <v>0</v>
      </c>
      <c r="X67" s="60"/>
      <c r="Y67" s="58">
        <f>SUM(Y68:Y68)</f>
        <v>0</v>
      </c>
      <c r="Z67" s="59">
        <f>SUM(Z68:Z68)</f>
        <v>0</v>
      </c>
      <c r="AA67" s="60">
        <f>SUM(AA68:AA68)</f>
        <v>0</v>
      </c>
      <c r="AB67" s="57" t="e">
        <f t="shared" si="75"/>
        <v>#DIV/0!</v>
      </c>
      <c r="AC67" s="404">
        <f>SUM(AC68:AC68)</f>
        <v>0</v>
      </c>
      <c r="AD67" s="58">
        <f>SUM(AD68:AD68)</f>
        <v>0</v>
      </c>
      <c r="AE67" s="59">
        <f>SUM(AE68:AE68)</f>
        <v>0</v>
      </c>
      <c r="AF67" s="60">
        <f>SUM(AF68:AF68)</f>
        <v>0</v>
      </c>
      <c r="AG67" s="60"/>
      <c r="AH67" s="59">
        <f>SUM(AH68:AH68)</f>
        <v>0</v>
      </c>
      <c r="AI67" s="367"/>
      <c r="AJ67" s="60"/>
      <c r="AK67" s="195">
        <f>SUM(AK68:AK68)</f>
        <v>0</v>
      </c>
      <c r="AL67" s="438" t="e">
        <f>SUM(#REF!)</f>
        <v>#REF!</v>
      </c>
      <c r="AM67" s="58"/>
      <c r="AN67" s="318"/>
      <c r="AP67" s="194">
        <f>SUM(AP68:AP68)</f>
        <v>0</v>
      </c>
      <c r="AQ67" s="195">
        <f>SUM(AQ68:AQ68)</f>
        <v>0</v>
      </c>
    </row>
    <row r="68" spans="1:43" x14ac:dyDescent="0.2">
      <c r="A68" s="90"/>
      <c r="B68" s="32">
        <v>3522</v>
      </c>
      <c r="C68" s="32">
        <v>233</v>
      </c>
      <c r="D68" s="391" t="s">
        <v>334</v>
      </c>
      <c r="E68" s="55"/>
      <c r="F68" s="18"/>
      <c r="G68" s="57">
        <f>E68+F68</f>
        <v>0</v>
      </c>
      <c r="H68" s="199"/>
      <c r="I68" s="390"/>
      <c r="J68" s="55"/>
      <c r="K68" s="16">
        <f>F68+I68</f>
        <v>0</v>
      </c>
      <c r="L68" s="57">
        <f>SUM(J68:K68)</f>
        <v>0</v>
      </c>
      <c r="M68" s="205"/>
      <c r="N68" s="16"/>
      <c r="O68" s="472">
        <f>M68+N68</f>
        <v>0</v>
      </c>
      <c r="P68" s="56"/>
      <c r="Q68" s="205"/>
      <c r="R68" s="16"/>
      <c r="S68" s="472">
        <f>Q68+R68</f>
        <v>0</v>
      </c>
      <c r="T68" s="56"/>
      <c r="U68" s="205"/>
      <c r="V68" s="16"/>
      <c r="W68" s="472">
        <f t="shared" si="69"/>
        <v>0</v>
      </c>
      <c r="X68" s="56"/>
      <c r="Y68" s="205"/>
      <c r="Z68" s="16"/>
      <c r="AA68" s="472">
        <f>Y68+Z68</f>
        <v>0</v>
      </c>
      <c r="AB68" s="57" t="e">
        <f t="shared" si="75"/>
        <v>#DIV/0!</v>
      </c>
      <c r="AC68" s="403">
        <f>L68-AA68</f>
        <v>0</v>
      </c>
      <c r="AD68" s="205"/>
      <c r="AE68" s="16"/>
      <c r="AF68" s="472">
        <f>AD68+AE68</f>
        <v>0</v>
      </c>
      <c r="AG68" s="56"/>
      <c r="AH68" s="16"/>
      <c r="AI68" s="366"/>
      <c r="AJ68" s="56"/>
      <c r="AK68" s="390"/>
      <c r="AL68" s="440"/>
      <c r="AM68" s="55"/>
      <c r="AN68" s="74"/>
      <c r="AP68" s="199"/>
      <c r="AQ68" s="390"/>
    </row>
    <row r="69" spans="1:43" x14ac:dyDescent="0.2">
      <c r="A69" s="138">
        <v>36</v>
      </c>
      <c r="B69" s="24">
        <v>3600</v>
      </c>
      <c r="C69" s="24"/>
      <c r="D69" s="427" t="s">
        <v>75</v>
      </c>
      <c r="E69" s="58">
        <f t="shared" ref="E69:O69" si="77">SUM(E70:E89)</f>
        <v>16812</v>
      </c>
      <c r="F69" s="59">
        <f t="shared" si="77"/>
        <v>5800</v>
      </c>
      <c r="G69" s="60">
        <f t="shared" si="77"/>
        <v>22612</v>
      </c>
      <c r="H69" s="194">
        <f t="shared" si="77"/>
        <v>678.41</v>
      </c>
      <c r="I69" s="195">
        <f t="shared" si="77"/>
        <v>-1356</v>
      </c>
      <c r="J69" s="58">
        <f t="shared" si="77"/>
        <v>17490.41</v>
      </c>
      <c r="K69" s="59">
        <f t="shared" si="77"/>
        <v>4444</v>
      </c>
      <c r="L69" s="60">
        <f t="shared" si="77"/>
        <v>21934.41</v>
      </c>
      <c r="M69" s="58">
        <f t="shared" si="77"/>
        <v>2803.2291100000002</v>
      </c>
      <c r="N69" s="59">
        <f t="shared" si="77"/>
        <v>0</v>
      </c>
      <c r="O69" s="60">
        <f t="shared" si="77"/>
        <v>2803.2291100000002</v>
      </c>
      <c r="P69" s="60">
        <f>O69/$L69*100</f>
        <v>12.780052483745861</v>
      </c>
      <c r="Q69" s="58">
        <f>SUM(Q70:Q89)</f>
        <v>8939.4718499999981</v>
      </c>
      <c r="R69" s="59">
        <f>SUM(R70:R89)</f>
        <v>253.46799999999999</v>
      </c>
      <c r="S69" s="60">
        <f>SUM(S70:S89)</f>
        <v>9192.9398499999988</v>
      </c>
      <c r="T69" s="60">
        <f>S69/$L69*100</f>
        <v>41.911042284702432</v>
      </c>
      <c r="U69" s="58">
        <f>SUM(U70:U89)</f>
        <v>11653.618600000002</v>
      </c>
      <c r="V69" s="59">
        <f>SUM(V70:V89)</f>
        <v>1341.9127000000001</v>
      </c>
      <c r="W69" s="60">
        <f>SUM(W70:W89)</f>
        <v>12995.531299999999</v>
      </c>
      <c r="X69" s="60">
        <f>W69/$L69*100</f>
        <v>59.24723436828252</v>
      </c>
      <c r="Y69" s="58">
        <f>SUM(Y70:Y89)</f>
        <v>15322.55776</v>
      </c>
      <c r="Z69" s="59">
        <f>SUM(Z70:Z89)</f>
        <v>1919.855</v>
      </c>
      <c r="AA69" s="60">
        <f>SUM(AA70:AA89)</f>
        <v>17242.412760000003</v>
      </c>
      <c r="AB69" s="60">
        <f>AA69/$L69*100</f>
        <v>78.608965365377969</v>
      </c>
      <c r="AC69" s="404">
        <f>SUM(AC70:AC89)</f>
        <v>4691.9972399999997</v>
      </c>
      <c r="AD69" s="58">
        <f>SUM(AD70:AD89)</f>
        <v>13427</v>
      </c>
      <c r="AE69" s="59">
        <f>SUM(AE70:AE89)</f>
        <v>6900</v>
      </c>
      <c r="AF69" s="60">
        <f>SUM(AF70:AF89)</f>
        <v>20327</v>
      </c>
      <c r="AG69" s="60">
        <f>AF69/$G69*100</f>
        <v>89.894746152485411</v>
      </c>
      <c r="AH69" s="59">
        <f>SUM(AH70:AH89)</f>
        <v>32832</v>
      </c>
      <c r="AI69" s="367">
        <f t="shared" ref="AI69:AI96" si="78">AH69/G69</f>
        <v>1.4519724040332567</v>
      </c>
      <c r="AJ69" s="60"/>
      <c r="AK69" s="195">
        <f>SUM(AK70:AK89)</f>
        <v>0</v>
      </c>
      <c r="AL69" s="438">
        <f>SUM(AL70:AL89)</f>
        <v>15994.86</v>
      </c>
      <c r="AM69" s="58"/>
      <c r="AN69" s="318"/>
      <c r="AP69" s="194">
        <f>SUM(AP70:AP89)</f>
        <v>17091.578853333333</v>
      </c>
      <c r="AQ69" s="195">
        <f>SUM(AQ70:AQ89)</f>
        <v>3000</v>
      </c>
    </row>
    <row r="70" spans="1:43" ht="12" customHeight="1" x14ac:dyDescent="0.2">
      <c r="A70" s="137"/>
      <c r="B70" s="29">
        <v>3612</v>
      </c>
      <c r="C70" s="29" t="s">
        <v>307</v>
      </c>
      <c r="D70" s="211" t="s">
        <v>127</v>
      </c>
      <c r="E70" s="46">
        <v>5598</v>
      </c>
      <c r="F70" s="16"/>
      <c r="G70" s="57">
        <f>E70+F70</f>
        <v>5598</v>
      </c>
      <c r="H70" s="196"/>
      <c r="I70" s="193"/>
      <c r="J70" s="46">
        <f t="shared" ref="J70:J89" si="79">E70+H70</f>
        <v>5598</v>
      </c>
      <c r="K70" s="16"/>
      <c r="L70" s="57">
        <f t="shared" ref="L70:L89" si="80">SUM(J70:K70)</f>
        <v>5598</v>
      </c>
      <c r="M70" s="499">
        <f>614.99257+158.38098+1246.13408</f>
        <v>2019.5076300000001</v>
      </c>
      <c r="N70" s="16"/>
      <c r="O70" s="57">
        <f>M70+N70</f>
        <v>2019.5076300000001</v>
      </c>
      <c r="P70" s="57">
        <f>O70/$L70*100</f>
        <v>36.075520364415866</v>
      </c>
      <c r="Q70" s="46">
        <v>2295.3114399999999</v>
      </c>
      <c r="R70" s="16"/>
      <c r="S70" s="57">
        <f>Q70+R70</f>
        <v>2295.3114399999999</v>
      </c>
      <c r="T70" s="57">
        <f>S70/$L70*100</f>
        <v>41.002347981421934</v>
      </c>
      <c r="U70" s="46">
        <v>3303.78422</v>
      </c>
      <c r="V70" s="16"/>
      <c r="W70" s="57">
        <f>U70+V70</f>
        <v>3303.78422</v>
      </c>
      <c r="X70" s="57">
        <f>W70/$L70*100</f>
        <v>59.017224365844946</v>
      </c>
      <c r="Y70" s="46">
        <v>5135.0865100000001</v>
      </c>
      <c r="Z70" s="16"/>
      <c r="AA70" s="57">
        <f>Y70+Z70</f>
        <v>5135.0865100000001</v>
      </c>
      <c r="AB70" s="57">
        <f>AA70/$L70*100</f>
        <v>91.730734369417661</v>
      </c>
      <c r="AC70" s="403">
        <f t="shared" ref="AC70:AC89" si="81">L70-AA70</f>
        <v>462.91348999999991</v>
      </c>
      <c r="AD70" s="46">
        <f>6665-1750</f>
        <v>4915</v>
      </c>
      <c r="AE70" s="16"/>
      <c r="AF70" s="57">
        <f>AD70+AE70</f>
        <v>4915</v>
      </c>
      <c r="AG70" s="57">
        <f>AF70/$G70*100</f>
        <v>87.799214005001787</v>
      </c>
      <c r="AH70" s="16">
        <v>6665</v>
      </c>
      <c r="AI70" s="366">
        <f t="shared" si="78"/>
        <v>1.1906037870668096</v>
      </c>
      <c r="AJ70" s="57" t="s">
        <v>474</v>
      </c>
      <c r="AK70" s="193"/>
      <c r="AL70" s="437">
        <f t="shared" ref="AL70:AL89" si="82">L70-AK70</f>
        <v>5598</v>
      </c>
      <c r="AM70" s="322" t="s">
        <v>397</v>
      </c>
      <c r="AN70" s="319" t="s">
        <v>306</v>
      </c>
      <c r="AP70" s="499">
        <f t="shared" ref="AP70:AP89" si="83">J70</f>
        <v>5598</v>
      </c>
      <c r="AQ70" s="191">
        <f t="shared" ref="AQ70:AQ89" si="84">K70</f>
        <v>0</v>
      </c>
    </row>
    <row r="71" spans="1:43" x14ac:dyDescent="0.2">
      <c r="A71" s="137"/>
      <c r="B71" s="29">
        <v>3612</v>
      </c>
      <c r="C71" s="29" t="s">
        <v>307</v>
      </c>
      <c r="D71" s="211" t="s">
        <v>128</v>
      </c>
      <c r="E71" s="46">
        <v>3578</v>
      </c>
      <c r="F71" s="16"/>
      <c r="G71" s="57">
        <f>E71+F71</f>
        <v>3578</v>
      </c>
      <c r="H71" s="190">
        <v>-568</v>
      </c>
      <c r="I71" s="191"/>
      <c r="J71" s="46">
        <f t="shared" si="79"/>
        <v>3010</v>
      </c>
      <c r="K71" s="16"/>
      <c r="L71" s="57">
        <f t="shared" si="80"/>
        <v>3010</v>
      </c>
      <c r="M71" s="46"/>
      <c r="N71" s="16"/>
      <c r="O71" s="57">
        <f>M71+N71</f>
        <v>0</v>
      </c>
      <c r="P71" s="57">
        <f>O71/$L71*100</f>
        <v>0</v>
      </c>
      <c r="Q71" s="46">
        <v>1657.2902799999999</v>
      </c>
      <c r="R71" s="16"/>
      <c r="S71" s="57">
        <f>Q71+R71</f>
        <v>1657.2902799999999</v>
      </c>
      <c r="T71" s="57">
        <f>S71/$L71*100</f>
        <v>55.059477740863784</v>
      </c>
      <c r="U71" s="46">
        <v>2255.0391399999999</v>
      </c>
      <c r="V71" s="16"/>
      <c r="W71" s="57">
        <f>U71+V71</f>
        <v>2255.0391399999999</v>
      </c>
      <c r="X71" s="57">
        <f>W71/$L71*100</f>
        <v>74.918243853820599</v>
      </c>
      <c r="Y71" s="46">
        <v>3060.3110999999999</v>
      </c>
      <c r="Z71" s="16"/>
      <c r="AA71" s="57">
        <f>Y71+Z71</f>
        <v>3060.3110999999999</v>
      </c>
      <c r="AB71" s="57">
        <f>AA71/$L71*100</f>
        <v>101.67146511627907</v>
      </c>
      <c r="AC71" s="403">
        <f t="shared" si="81"/>
        <v>-50.311099999999897</v>
      </c>
      <c r="AD71" s="46">
        <v>2050</v>
      </c>
      <c r="AE71" s="16"/>
      <c r="AF71" s="57">
        <f>AD71+AE71</f>
        <v>2050</v>
      </c>
      <c r="AG71" s="57">
        <f>AF71/$G71*100</f>
        <v>57.2945779765232</v>
      </c>
      <c r="AH71" s="16">
        <v>2050</v>
      </c>
      <c r="AI71" s="366">
        <f t="shared" si="78"/>
        <v>0.57294577976523198</v>
      </c>
      <c r="AJ71" s="57" t="s">
        <v>317</v>
      </c>
      <c r="AK71" s="191"/>
      <c r="AL71" s="437">
        <f t="shared" si="82"/>
        <v>3010</v>
      </c>
      <c r="AM71" s="322" t="s">
        <v>397</v>
      </c>
      <c r="AN71" s="319" t="s">
        <v>306</v>
      </c>
      <c r="AP71" s="504">
        <f>U71/3*4</f>
        <v>3006.7188533333333</v>
      </c>
      <c r="AQ71" s="191">
        <f t="shared" si="84"/>
        <v>0</v>
      </c>
    </row>
    <row r="72" spans="1:43" x14ac:dyDescent="0.2">
      <c r="A72" s="137"/>
      <c r="B72" s="29">
        <v>3612</v>
      </c>
      <c r="C72" s="29">
        <v>218</v>
      </c>
      <c r="D72" s="211" t="s">
        <v>353</v>
      </c>
      <c r="E72" s="46">
        <v>350</v>
      </c>
      <c r="F72" s="16"/>
      <c r="G72" s="57">
        <f>E72+F72</f>
        <v>350</v>
      </c>
      <c r="H72" s="190">
        <v>-150</v>
      </c>
      <c r="I72" s="191"/>
      <c r="J72" s="46">
        <f t="shared" si="79"/>
        <v>200</v>
      </c>
      <c r="K72" s="16"/>
      <c r="L72" s="57">
        <f t="shared" si="80"/>
        <v>200</v>
      </c>
      <c r="M72" s="46"/>
      <c r="N72" s="16"/>
      <c r="O72" s="57">
        <f>M72+N72</f>
        <v>0</v>
      </c>
      <c r="P72" s="57">
        <f>O72/$L72*100</f>
        <v>0</v>
      </c>
      <c r="Q72" s="46"/>
      <c r="R72" s="16"/>
      <c r="S72" s="57">
        <f>Q72+R72</f>
        <v>0</v>
      </c>
      <c r="T72" s="57">
        <f>S72/$L72*100</f>
        <v>0</v>
      </c>
      <c r="U72" s="46">
        <v>0</v>
      </c>
      <c r="V72" s="16"/>
      <c r="W72" s="57">
        <f>U72+V72</f>
        <v>0</v>
      </c>
      <c r="X72" s="57">
        <f>W72/$L72*100</f>
        <v>0</v>
      </c>
      <c r="Y72" s="46">
        <v>0</v>
      </c>
      <c r="Z72" s="16"/>
      <c r="AA72" s="57">
        <f>Y72+Z72</f>
        <v>0</v>
      </c>
      <c r="AB72" s="57">
        <f>AA72/$L72*100</f>
        <v>0</v>
      </c>
      <c r="AC72" s="403">
        <f t="shared" si="81"/>
        <v>200</v>
      </c>
      <c r="AD72" s="46">
        <v>350</v>
      </c>
      <c r="AE72" s="16"/>
      <c r="AF72" s="57">
        <f>AD72+AE72</f>
        <v>350</v>
      </c>
      <c r="AG72" s="57">
        <f t="shared" ref="AG72:AG78" si="85">AF72/$G72*100</f>
        <v>100</v>
      </c>
      <c r="AH72" s="16">
        <v>350</v>
      </c>
      <c r="AI72" s="366">
        <f t="shared" si="78"/>
        <v>1</v>
      </c>
      <c r="AJ72" s="57" t="s">
        <v>385</v>
      </c>
      <c r="AK72" s="191"/>
      <c r="AL72" s="437">
        <f t="shared" si="82"/>
        <v>200</v>
      </c>
      <c r="AM72" s="326" t="s">
        <v>324</v>
      </c>
      <c r="AN72" s="313" t="s">
        <v>120</v>
      </c>
      <c r="AP72" s="504">
        <v>0</v>
      </c>
      <c r="AQ72" s="191">
        <f t="shared" si="84"/>
        <v>0</v>
      </c>
    </row>
    <row r="73" spans="1:43" x14ac:dyDescent="0.2">
      <c r="A73" s="137"/>
      <c r="B73" s="29">
        <v>3612</v>
      </c>
      <c r="C73" s="29">
        <v>326</v>
      </c>
      <c r="D73" s="211" t="s">
        <v>479</v>
      </c>
      <c r="E73" s="46"/>
      <c r="F73" s="16">
        <v>2000</v>
      </c>
      <c r="G73" s="57">
        <f t="shared" ref="G73:G89" si="86">E73+F73</f>
        <v>2000</v>
      </c>
      <c r="H73" s="190"/>
      <c r="I73" s="191"/>
      <c r="J73" s="46">
        <f t="shared" si="79"/>
        <v>0</v>
      </c>
      <c r="K73" s="16">
        <f>F73+I73</f>
        <v>2000</v>
      </c>
      <c r="L73" s="57">
        <f t="shared" si="80"/>
        <v>2000</v>
      </c>
      <c r="M73" s="46"/>
      <c r="N73" s="16"/>
      <c r="O73" s="57">
        <f t="shared" ref="O73:O89" si="87">M73+N73</f>
        <v>0</v>
      </c>
      <c r="P73" s="57">
        <f t="shared" ref="P73:P89" si="88">O73/$L73*100</f>
        <v>0</v>
      </c>
      <c r="Q73" s="46"/>
      <c r="R73" s="16">
        <v>242.96799999999999</v>
      </c>
      <c r="S73" s="57">
        <f t="shared" ref="S73:S89" si="89">Q73+R73</f>
        <v>242.96799999999999</v>
      </c>
      <c r="T73" s="57">
        <f t="shared" ref="T73:T80" si="90">S73/$L73*100</f>
        <v>12.148399999999999</v>
      </c>
      <c r="U73" s="46"/>
      <c r="V73" s="16">
        <v>242.96799999999999</v>
      </c>
      <c r="W73" s="57">
        <f t="shared" ref="W73:W89" si="91">U73+V73</f>
        <v>242.96799999999999</v>
      </c>
      <c r="X73" s="57">
        <f t="shared" ref="X73:X94" si="92">W73/$L73*100</f>
        <v>12.148399999999999</v>
      </c>
      <c r="Y73" s="46"/>
      <c r="Z73" s="16">
        <v>242.96799999999999</v>
      </c>
      <c r="AA73" s="57">
        <f t="shared" ref="AA73:AA89" si="93">Y73+Z73</f>
        <v>242.96799999999999</v>
      </c>
      <c r="AB73" s="57">
        <f t="shared" ref="AB73:AB92" si="94">AA73/$L73*100</f>
        <v>12.148399999999999</v>
      </c>
      <c r="AC73" s="403">
        <f t="shared" si="81"/>
        <v>1757.0319999999999</v>
      </c>
      <c r="AD73" s="46"/>
      <c r="AE73" s="16">
        <v>4600</v>
      </c>
      <c r="AF73" s="57">
        <f t="shared" ref="AF73:AF89" si="95">AD73+AE73</f>
        <v>4600</v>
      </c>
      <c r="AG73" s="57">
        <f t="shared" si="85"/>
        <v>229.99999999999997</v>
      </c>
      <c r="AH73" s="16">
        <v>12000</v>
      </c>
      <c r="AI73" s="366">
        <f t="shared" si="78"/>
        <v>6</v>
      </c>
      <c r="AJ73" s="57"/>
      <c r="AK73" s="191"/>
      <c r="AL73" s="437">
        <f t="shared" si="82"/>
        <v>2000</v>
      </c>
      <c r="AM73" s="326" t="s">
        <v>324</v>
      </c>
      <c r="AN73" s="313" t="s">
        <v>120</v>
      </c>
      <c r="AP73" s="192">
        <f t="shared" si="83"/>
        <v>0</v>
      </c>
      <c r="AQ73" s="505">
        <v>1000</v>
      </c>
    </row>
    <row r="74" spans="1:43" x14ac:dyDescent="0.2">
      <c r="A74" s="137"/>
      <c r="B74" s="29">
        <v>3612</v>
      </c>
      <c r="C74" s="29"/>
      <c r="D74" s="211" t="s">
        <v>459</v>
      </c>
      <c r="E74" s="46"/>
      <c r="F74" s="16"/>
      <c r="G74" s="57"/>
      <c r="H74" s="190"/>
      <c r="I74" s="191"/>
      <c r="J74" s="46"/>
      <c r="K74" s="16"/>
      <c r="L74" s="57"/>
      <c r="M74" s="46"/>
      <c r="N74" s="16"/>
      <c r="O74" s="57"/>
      <c r="P74" s="57"/>
      <c r="Q74" s="46"/>
      <c r="R74" s="16"/>
      <c r="S74" s="57"/>
      <c r="T74" s="57"/>
      <c r="U74" s="46"/>
      <c r="V74" s="16"/>
      <c r="W74" s="57"/>
      <c r="X74" s="57"/>
      <c r="Y74" s="46"/>
      <c r="Z74" s="16"/>
      <c r="AA74" s="57"/>
      <c r="AB74" s="57" t="e">
        <f t="shared" si="94"/>
        <v>#DIV/0!</v>
      </c>
      <c r="AC74" s="403">
        <f t="shared" si="81"/>
        <v>0</v>
      </c>
      <c r="AD74" s="46"/>
      <c r="AE74" s="16">
        <v>200</v>
      </c>
      <c r="AF74" s="57">
        <f t="shared" si="95"/>
        <v>200</v>
      </c>
      <c r="AG74" s="57"/>
      <c r="AH74" s="16">
        <v>200</v>
      </c>
      <c r="AI74" s="366"/>
      <c r="AJ74" s="57" t="s">
        <v>460</v>
      </c>
      <c r="AK74" s="191"/>
      <c r="AL74" s="437"/>
      <c r="AM74" s="326" t="s">
        <v>324</v>
      </c>
      <c r="AN74" s="313" t="s">
        <v>120</v>
      </c>
      <c r="AP74" s="192"/>
      <c r="AQ74" s="191"/>
    </row>
    <row r="75" spans="1:43" x14ac:dyDescent="0.2">
      <c r="A75" s="137"/>
      <c r="B75" s="29">
        <v>3613</v>
      </c>
      <c r="C75" s="29">
        <v>316</v>
      </c>
      <c r="D75" s="211" t="s">
        <v>366</v>
      </c>
      <c r="E75" s="46">
        <v>422</v>
      </c>
      <c r="F75" s="16">
        <f>1500+2000</f>
        <v>3500</v>
      </c>
      <c r="G75" s="57">
        <f t="shared" si="86"/>
        <v>3922</v>
      </c>
      <c r="H75" s="190">
        <v>301</v>
      </c>
      <c r="I75" s="191">
        <f>-1055-301</f>
        <v>-1356</v>
      </c>
      <c r="J75" s="46">
        <f>E75+H75</f>
        <v>723</v>
      </c>
      <c r="K75" s="16">
        <f>F75+I75</f>
        <v>2144</v>
      </c>
      <c r="L75" s="57">
        <f>SUM(J75:K75)</f>
        <v>2867</v>
      </c>
      <c r="M75" s="46">
        <v>105.49426</v>
      </c>
      <c r="N75" s="16"/>
      <c r="O75" s="57">
        <f t="shared" si="87"/>
        <v>105.49426</v>
      </c>
      <c r="P75" s="57">
        <f t="shared" si="88"/>
        <v>3.6796044645971393</v>
      </c>
      <c r="Q75" s="46">
        <f>264.62526-R75</f>
        <v>254.12526000000003</v>
      </c>
      <c r="R75" s="16">
        <v>10.5</v>
      </c>
      <c r="S75" s="57">
        <f t="shared" si="89"/>
        <v>264.62526000000003</v>
      </c>
      <c r="T75" s="57">
        <f t="shared" si="90"/>
        <v>9.2300404604115815</v>
      </c>
      <c r="U75" s="46">
        <f>102.501+111.0552+116.80781+50.67625</f>
        <v>381.04025999999999</v>
      </c>
      <c r="V75" s="16">
        <f>10.5+1088.4447</f>
        <v>1098.9447</v>
      </c>
      <c r="W75" s="57">
        <f t="shared" si="91"/>
        <v>1479.98496</v>
      </c>
      <c r="X75" s="57">
        <f t="shared" si="92"/>
        <v>51.621379839553541</v>
      </c>
      <c r="Y75" s="46">
        <f>127.371+134.0552+37.38681+50.67625+47.9436</f>
        <v>397.43285999999995</v>
      </c>
      <c r="Z75" s="16">
        <f>80.5+1339.408</f>
        <v>1419.9079999999999</v>
      </c>
      <c r="AA75" s="57">
        <f t="shared" si="93"/>
        <v>1817.3408599999998</v>
      </c>
      <c r="AB75" s="57">
        <f t="shared" si="94"/>
        <v>63.388240669689566</v>
      </c>
      <c r="AC75" s="403">
        <f t="shared" si="81"/>
        <v>1049.6591400000002</v>
      </c>
      <c r="AD75" s="46">
        <f>583+51</f>
        <v>634</v>
      </c>
      <c r="AE75" s="16"/>
      <c r="AF75" s="57">
        <f t="shared" si="95"/>
        <v>634</v>
      </c>
      <c r="AG75" s="57"/>
      <c r="AH75" s="16">
        <v>4134</v>
      </c>
      <c r="AI75" s="366">
        <f t="shared" si="78"/>
        <v>1.0540540540540539</v>
      </c>
      <c r="AJ75" s="57"/>
      <c r="AK75" s="191"/>
      <c r="AL75" s="437"/>
      <c r="AM75" s="326" t="s">
        <v>335</v>
      </c>
      <c r="AN75" s="313" t="s">
        <v>68</v>
      </c>
      <c r="AP75" s="192">
        <f t="shared" si="83"/>
        <v>723</v>
      </c>
      <c r="AQ75" s="191">
        <v>1700</v>
      </c>
    </row>
    <row r="76" spans="1:43" x14ac:dyDescent="0.2">
      <c r="A76" s="137"/>
      <c r="B76" s="29">
        <v>3613</v>
      </c>
      <c r="C76" s="29">
        <v>317</v>
      </c>
      <c r="D76" s="211" t="s">
        <v>208</v>
      </c>
      <c r="E76" s="46">
        <v>150</v>
      </c>
      <c r="F76" s="16"/>
      <c r="G76" s="57">
        <f t="shared" si="86"/>
        <v>150</v>
      </c>
      <c r="H76" s="190"/>
      <c r="I76" s="193"/>
      <c r="J76" s="46">
        <f>E76+H76</f>
        <v>150</v>
      </c>
      <c r="K76" s="16"/>
      <c r="L76" s="57">
        <f>SUM(J76:K76)</f>
        <v>150</v>
      </c>
      <c r="M76" s="46">
        <v>1.5</v>
      </c>
      <c r="N76" s="16"/>
      <c r="O76" s="57">
        <f t="shared" si="87"/>
        <v>1.5</v>
      </c>
      <c r="P76" s="57">
        <f t="shared" si="88"/>
        <v>1</v>
      </c>
      <c r="Q76" s="46">
        <v>3.5569999999999999</v>
      </c>
      <c r="R76" s="16"/>
      <c r="S76" s="57">
        <f t="shared" si="89"/>
        <v>3.5569999999999999</v>
      </c>
      <c r="T76" s="57">
        <f t="shared" si="90"/>
        <v>2.3713333333333333</v>
      </c>
      <c r="U76" s="46">
        <v>23.135000000000002</v>
      </c>
      <c r="V76" s="16"/>
      <c r="W76" s="57">
        <f t="shared" si="91"/>
        <v>23.135000000000002</v>
      </c>
      <c r="X76" s="57">
        <f t="shared" si="92"/>
        <v>15.423333333333334</v>
      </c>
      <c r="Y76" s="46">
        <v>40.552</v>
      </c>
      <c r="Z76" s="16"/>
      <c r="AA76" s="57">
        <f t="shared" si="93"/>
        <v>40.552</v>
      </c>
      <c r="AB76" s="57">
        <f t="shared" si="94"/>
        <v>27.034666666666666</v>
      </c>
      <c r="AC76" s="403">
        <f t="shared" si="81"/>
        <v>109.44800000000001</v>
      </c>
      <c r="AD76" s="46">
        <v>104</v>
      </c>
      <c r="AE76" s="16"/>
      <c r="AF76" s="57">
        <f t="shared" si="95"/>
        <v>104</v>
      </c>
      <c r="AG76" s="57" t="s">
        <v>493</v>
      </c>
      <c r="AH76" s="16">
        <v>104</v>
      </c>
      <c r="AI76" s="366">
        <f t="shared" si="78"/>
        <v>0.69333333333333336</v>
      </c>
      <c r="AJ76" s="57"/>
      <c r="AK76" s="193"/>
      <c r="AL76" s="437">
        <f t="shared" si="82"/>
        <v>150</v>
      </c>
      <c r="AM76" s="328" t="s">
        <v>335</v>
      </c>
      <c r="AN76" s="313" t="s">
        <v>68</v>
      </c>
      <c r="AP76" s="192">
        <f t="shared" si="83"/>
        <v>150</v>
      </c>
      <c r="AQ76" s="191">
        <f t="shared" si="84"/>
        <v>0</v>
      </c>
    </row>
    <row r="77" spans="1:43" x14ac:dyDescent="0.2">
      <c r="A77" s="137"/>
      <c r="B77" s="29">
        <v>3613</v>
      </c>
      <c r="C77" s="29">
        <v>703</v>
      </c>
      <c r="D77" s="211" t="s">
        <v>129</v>
      </c>
      <c r="E77" s="46">
        <v>300</v>
      </c>
      <c r="F77" s="16"/>
      <c r="G77" s="57">
        <f t="shared" si="86"/>
        <v>300</v>
      </c>
      <c r="H77" s="190"/>
      <c r="I77" s="191"/>
      <c r="J77" s="46">
        <f>E77+H77</f>
        <v>300</v>
      </c>
      <c r="K77" s="16"/>
      <c r="L77" s="57">
        <f>SUM(J77:K77)</f>
        <v>300</v>
      </c>
      <c r="M77" s="499">
        <v>90.348259999999996</v>
      </c>
      <c r="N77" s="16"/>
      <c r="O77" s="57">
        <f t="shared" si="87"/>
        <v>90.348259999999996</v>
      </c>
      <c r="P77" s="57">
        <f t="shared" si="88"/>
        <v>30.116086666666664</v>
      </c>
      <c r="Q77" s="46">
        <v>75.372510000000005</v>
      </c>
      <c r="R77" s="16"/>
      <c r="S77" s="57">
        <f t="shared" si="89"/>
        <v>75.372510000000005</v>
      </c>
      <c r="T77" s="57">
        <f t="shared" si="90"/>
        <v>25.124169999999999</v>
      </c>
      <c r="U77" s="46">
        <v>90.721010000000007</v>
      </c>
      <c r="V77" s="16"/>
      <c r="W77" s="57">
        <f t="shared" si="91"/>
        <v>90.721010000000007</v>
      </c>
      <c r="X77" s="57">
        <f t="shared" si="92"/>
        <v>30.240336666666668</v>
      </c>
      <c r="Y77" s="46">
        <v>255.64410000000001</v>
      </c>
      <c r="Z77" s="16"/>
      <c r="AA77" s="57">
        <f t="shared" si="93"/>
        <v>255.64410000000001</v>
      </c>
      <c r="AB77" s="57">
        <f t="shared" si="94"/>
        <v>85.214699999999993</v>
      </c>
      <c r="AC77" s="403">
        <f t="shared" si="81"/>
        <v>44.355899999999991</v>
      </c>
      <c r="AD77" s="46">
        <v>350</v>
      </c>
      <c r="AE77" s="16"/>
      <c r="AF77" s="57">
        <f t="shared" si="95"/>
        <v>350</v>
      </c>
      <c r="AG77" s="57">
        <f t="shared" si="85"/>
        <v>116.66666666666667</v>
      </c>
      <c r="AH77" s="16">
        <v>350</v>
      </c>
      <c r="AI77" s="366">
        <f t="shared" si="78"/>
        <v>1.1666666666666667</v>
      </c>
      <c r="AJ77" s="57" t="s">
        <v>574</v>
      </c>
      <c r="AK77" s="191"/>
      <c r="AL77" s="437">
        <f t="shared" si="82"/>
        <v>300</v>
      </c>
      <c r="AM77" s="322" t="s">
        <v>397</v>
      </c>
      <c r="AN77" s="319" t="s">
        <v>306</v>
      </c>
      <c r="AP77" s="192">
        <f t="shared" si="83"/>
        <v>300</v>
      </c>
      <c r="AQ77" s="191">
        <f t="shared" si="84"/>
        <v>0</v>
      </c>
    </row>
    <row r="78" spans="1:43" x14ac:dyDescent="0.2">
      <c r="A78" s="137"/>
      <c r="B78" s="29">
        <v>3613</v>
      </c>
      <c r="C78" s="29">
        <v>703</v>
      </c>
      <c r="D78" s="211" t="s">
        <v>130</v>
      </c>
      <c r="E78" s="46">
        <v>331</v>
      </c>
      <c r="F78" s="16"/>
      <c r="G78" s="57">
        <f t="shared" si="86"/>
        <v>331</v>
      </c>
      <c r="H78" s="190"/>
      <c r="I78" s="191"/>
      <c r="J78" s="46">
        <f>E78+H78</f>
        <v>331</v>
      </c>
      <c r="K78" s="16"/>
      <c r="L78" s="57">
        <f>SUM(J78:K78)</f>
        <v>331</v>
      </c>
      <c r="M78" s="46"/>
      <c r="N78" s="16"/>
      <c r="O78" s="57">
        <f t="shared" si="87"/>
        <v>0</v>
      </c>
      <c r="P78" s="57">
        <f t="shared" si="88"/>
        <v>0</v>
      </c>
      <c r="Q78" s="46">
        <v>100.42005</v>
      </c>
      <c r="R78" s="16"/>
      <c r="S78" s="57">
        <f t="shared" si="89"/>
        <v>100.42005</v>
      </c>
      <c r="T78" s="57">
        <f t="shared" si="90"/>
        <v>30.338383685800608</v>
      </c>
      <c r="U78" s="46">
        <v>181.56505000000001</v>
      </c>
      <c r="V78" s="16"/>
      <c r="W78" s="57">
        <f t="shared" si="91"/>
        <v>181.56505000000001</v>
      </c>
      <c r="X78" s="57">
        <f t="shared" si="92"/>
        <v>54.85348942598187</v>
      </c>
      <c r="Y78" s="46">
        <v>202.20304999999999</v>
      </c>
      <c r="Z78" s="16"/>
      <c r="AA78" s="57">
        <f t="shared" si="93"/>
        <v>202.20304999999999</v>
      </c>
      <c r="AB78" s="57">
        <f t="shared" si="94"/>
        <v>61.088534743202416</v>
      </c>
      <c r="AC78" s="403">
        <f t="shared" si="81"/>
        <v>128.79695000000001</v>
      </c>
      <c r="AD78" s="46">
        <v>300</v>
      </c>
      <c r="AE78" s="16"/>
      <c r="AF78" s="57">
        <f t="shared" si="95"/>
        <v>300</v>
      </c>
      <c r="AG78" s="57">
        <f t="shared" si="85"/>
        <v>90.634441087613297</v>
      </c>
      <c r="AH78" s="16">
        <v>300</v>
      </c>
      <c r="AI78" s="366">
        <f t="shared" si="78"/>
        <v>0.90634441087613293</v>
      </c>
      <c r="AJ78" s="57"/>
      <c r="AK78" s="191"/>
      <c r="AL78" s="437">
        <f t="shared" si="82"/>
        <v>331</v>
      </c>
      <c r="AM78" s="322" t="s">
        <v>397</v>
      </c>
      <c r="AN78" s="319" t="s">
        <v>306</v>
      </c>
      <c r="AO78" s="117" t="s">
        <v>437</v>
      </c>
      <c r="AP78" s="192">
        <f t="shared" si="83"/>
        <v>331</v>
      </c>
      <c r="AQ78" s="191">
        <f t="shared" si="84"/>
        <v>0</v>
      </c>
    </row>
    <row r="79" spans="1:43" x14ac:dyDescent="0.2">
      <c r="A79" s="137"/>
      <c r="B79" s="29">
        <v>3613</v>
      </c>
      <c r="C79" s="29">
        <v>305</v>
      </c>
      <c r="D79" s="429" t="s">
        <v>388</v>
      </c>
      <c r="E79" s="46">
        <f>2797-646</f>
        <v>2151</v>
      </c>
      <c r="F79" s="16"/>
      <c r="G79" s="57">
        <f t="shared" si="86"/>
        <v>2151</v>
      </c>
      <c r="H79" s="190">
        <f>-1616.3+2537.85</f>
        <v>921.55</v>
      </c>
      <c r="I79" s="191"/>
      <c r="J79" s="46">
        <f>E79+H79</f>
        <v>3072.55</v>
      </c>
      <c r="K79" s="16"/>
      <c r="L79" s="57">
        <f>SUM(J79:K79)</f>
        <v>3072.55</v>
      </c>
      <c r="M79" s="46"/>
      <c r="N79" s="16"/>
      <c r="O79" s="57">
        <f t="shared" si="87"/>
        <v>0</v>
      </c>
      <c r="P79" s="57">
        <f t="shared" si="88"/>
        <v>0</v>
      </c>
      <c r="Q79" s="46">
        <v>2616.6660000000002</v>
      </c>
      <c r="R79" s="16"/>
      <c r="S79" s="57">
        <f t="shared" si="89"/>
        <v>2616.6660000000002</v>
      </c>
      <c r="T79" s="57">
        <f t="shared" si="90"/>
        <v>85.162682462449752</v>
      </c>
      <c r="U79" s="46">
        <v>2729.6689999999999</v>
      </c>
      <c r="V79" s="16"/>
      <c r="W79" s="57">
        <f t="shared" si="91"/>
        <v>2729.6689999999999</v>
      </c>
      <c r="X79" s="57">
        <f t="shared" si="92"/>
        <v>88.840507070674192</v>
      </c>
      <c r="Y79" s="46">
        <v>2840.5479999999998</v>
      </c>
      <c r="Z79" s="16"/>
      <c r="AA79" s="57">
        <f t="shared" si="93"/>
        <v>2840.5479999999998</v>
      </c>
      <c r="AB79" s="57">
        <f t="shared" si="94"/>
        <v>92.449203430375405</v>
      </c>
      <c r="AC79" s="403">
        <f t="shared" si="81"/>
        <v>232.00200000000041</v>
      </c>
      <c r="AD79" s="46">
        <f>277+146</f>
        <v>423</v>
      </c>
      <c r="AE79" s="16"/>
      <c r="AF79" s="57">
        <f t="shared" si="95"/>
        <v>423</v>
      </c>
      <c r="AG79" s="57"/>
      <c r="AH79" s="46">
        <f>277+146</f>
        <v>423</v>
      </c>
      <c r="AI79" s="366"/>
      <c r="AJ79" s="57" t="s">
        <v>391</v>
      </c>
      <c r="AK79" s="191"/>
      <c r="AL79" s="437"/>
      <c r="AM79" s="326" t="s">
        <v>341</v>
      </c>
      <c r="AN79" s="313" t="s">
        <v>120</v>
      </c>
      <c r="AO79" s="117">
        <v>151</v>
      </c>
      <c r="AP79" s="192">
        <v>2877</v>
      </c>
      <c r="AQ79" s="191">
        <f t="shared" si="84"/>
        <v>0</v>
      </c>
    </row>
    <row r="80" spans="1:43" x14ac:dyDescent="0.2">
      <c r="A80" s="137"/>
      <c r="B80" s="29">
        <v>3631</v>
      </c>
      <c r="C80" s="29">
        <v>107</v>
      </c>
      <c r="D80" s="211" t="s">
        <v>77</v>
      </c>
      <c r="E80" s="46">
        <v>1620</v>
      </c>
      <c r="F80" s="16"/>
      <c r="G80" s="57">
        <f t="shared" si="86"/>
        <v>1620</v>
      </c>
      <c r="H80" s="190"/>
      <c r="I80" s="191"/>
      <c r="J80" s="46">
        <f t="shared" si="79"/>
        <v>1620</v>
      </c>
      <c r="K80" s="16"/>
      <c r="L80" s="57">
        <f t="shared" si="80"/>
        <v>1620</v>
      </c>
      <c r="M80" s="46">
        <v>322.67700000000002</v>
      </c>
      <c r="N80" s="16"/>
      <c r="O80" s="57">
        <f t="shared" si="87"/>
        <v>322.67700000000002</v>
      </c>
      <c r="P80" s="57">
        <f t="shared" si="88"/>
        <v>19.918333333333337</v>
      </c>
      <c r="Q80" s="46">
        <v>645.35400000000004</v>
      </c>
      <c r="R80" s="16"/>
      <c r="S80" s="57">
        <f t="shared" si="89"/>
        <v>645.35400000000004</v>
      </c>
      <c r="T80" s="57">
        <f t="shared" si="90"/>
        <v>39.836666666666673</v>
      </c>
      <c r="U80" s="46">
        <v>968.03099999999995</v>
      </c>
      <c r="V80" s="16"/>
      <c r="W80" s="57">
        <f t="shared" si="91"/>
        <v>968.03099999999995</v>
      </c>
      <c r="X80" s="57">
        <f t="shared" si="92"/>
        <v>59.754999999999988</v>
      </c>
      <c r="Y80" s="46">
        <v>1290.7080000000001</v>
      </c>
      <c r="Z80" s="16"/>
      <c r="AA80" s="57">
        <f t="shared" si="93"/>
        <v>1290.7080000000001</v>
      </c>
      <c r="AB80" s="57">
        <f t="shared" si="94"/>
        <v>79.673333333333346</v>
      </c>
      <c r="AC80" s="403">
        <f t="shared" si="81"/>
        <v>329.29199999999992</v>
      </c>
      <c r="AD80" s="46">
        <v>1640</v>
      </c>
      <c r="AE80" s="16">
        <v>250</v>
      </c>
      <c r="AF80" s="57">
        <f t="shared" si="95"/>
        <v>1890</v>
      </c>
      <c r="AG80" s="57">
        <f t="shared" ref="AG80:AG89" si="96">AF80/$G80*100</f>
        <v>116.66666666666667</v>
      </c>
      <c r="AH80" s="16">
        <v>1640</v>
      </c>
      <c r="AI80" s="366">
        <f t="shared" si="78"/>
        <v>1.0123456790123457</v>
      </c>
      <c r="AJ80" s="57"/>
      <c r="AK80" s="191"/>
      <c r="AL80" s="437">
        <f t="shared" si="82"/>
        <v>1620</v>
      </c>
      <c r="AM80" s="326" t="s">
        <v>204</v>
      </c>
      <c r="AN80" s="313" t="s">
        <v>120</v>
      </c>
      <c r="AP80" s="192">
        <f t="shared" si="83"/>
        <v>1620</v>
      </c>
      <c r="AQ80" s="191">
        <f t="shared" si="84"/>
        <v>0</v>
      </c>
    </row>
    <row r="81" spans="1:43" x14ac:dyDescent="0.2">
      <c r="A81" s="137"/>
      <c r="B81" s="29">
        <v>3632</v>
      </c>
      <c r="C81" s="29">
        <v>238</v>
      </c>
      <c r="D81" s="211" t="s">
        <v>38</v>
      </c>
      <c r="E81" s="46">
        <v>360</v>
      </c>
      <c r="F81" s="16">
        <v>300</v>
      </c>
      <c r="G81" s="57">
        <f t="shared" si="86"/>
        <v>660</v>
      </c>
      <c r="H81" s="190"/>
      <c r="I81" s="191"/>
      <c r="J81" s="46">
        <f t="shared" si="79"/>
        <v>360</v>
      </c>
      <c r="K81" s="16">
        <f>F81+I81</f>
        <v>300</v>
      </c>
      <c r="L81" s="57">
        <f t="shared" si="80"/>
        <v>660</v>
      </c>
      <c r="M81" s="46">
        <v>77.5</v>
      </c>
      <c r="N81" s="16"/>
      <c r="O81" s="57">
        <f t="shared" si="87"/>
        <v>77.5</v>
      </c>
      <c r="P81" s="57">
        <f t="shared" si="88"/>
        <v>11.742424242424242</v>
      </c>
      <c r="Q81" s="46">
        <v>169.232</v>
      </c>
      <c r="R81" s="16"/>
      <c r="S81" s="57">
        <f t="shared" si="89"/>
        <v>169.232</v>
      </c>
      <c r="T81" s="57">
        <f t="shared" ref="T81:T100" si="97">S81/$L81*100</f>
        <v>25.641212121212121</v>
      </c>
      <c r="U81" s="46">
        <v>261.005</v>
      </c>
      <c r="V81" s="16"/>
      <c r="W81" s="57">
        <f t="shared" si="91"/>
        <v>261.005</v>
      </c>
      <c r="X81" s="57">
        <f t="shared" si="92"/>
        <v>39.546212121212122</v>
      </c>
      <c r="Y81" s="46">
        <f>601.698-Z81</f>
        <v>344.71899999999999</v>
      </c>
      <c r="Z81" s="16">
        <v>256.97899999999998</v>
      </c>
      <c r="AA81" s="57">
        <f t="shared" si="93"/>
        <v>601.69799999999998</v>
      </c>
      <c r="AB81" s="57">
        <f t="shared" si="94"/>
        <v>91.166363636363627</v>
      </c>
      <c r="AC81" s="403">
        <f t="shared" si="81"/>
        <v>58.302000000000021</v>
      </c>
      <c r="AD81" s="46">
        <v>360</v>
      </c>
      <c r="AE81" s="16">
        <v>50</v>
      </c>
      <c r="AF81" s="57">
        <f t="shared" si="95"/>
        <v>410</v>
      </c>
      <c r="AG81" s="57">
        <f t="shared" si="96"/>
        <v>62.121212121212125</v>
      </c>
      <c r="AH81" s="16">
        <v>415</v>
      </c>
      <c r="AI81" s="366">
        <f t="shared" si="78"/>
        <v>0.62878787878787878</v>
      </c>
      <c r="AJ81" s="57"/>
      <c r="AK81" s="191"/>
      <c r="AL81" s="437">
        <f t="shared" si="82"/>
        <v>660</v>
      </c>
      <c r="AM81" s="328" t="s">
        <v>335</v>
      </c>
      <c r="AN81" s="313" t="s">
        <v>68</v>
      </c>
      <c r="AP81" s="192">
        <f t="shared" si="83"/>
        <v>360</v>
      </c>
      <c r="AQ81" s="191">
        <f t="shared" si="84"/>
        <v>300</v>
      </c>
    </row>
    <row r="82" spans="1:43" x14ac:dyDescent="0.2">
      <c r="A82" s="137"/>
      <c r="B82" s="29">
        <v>3635</v>
      </c>
      <c r="C82" s="29">
        <v>248</v>
      </c>
      <c r="D82" s="211" t="s">
        <v>211</v>
      </c>
      <c r="E82" s="46">
        <v>100</v>
      </c>
      <c r="F82" s="16"/>
      <c r="G82" s="57">
        <f t="shared" si="86"/>
        <v>100</v>
      </c>
      <c r="H82" s="190">
        <v>-50</v>
      </c>
      <c r="I82" s="191"/>
      <c r="J82" s="46">
        <f t="shared" si="79"/>
        <v>50</v>
      </c>
      <c r="K82" s="16"/>
      <c r="L82" s="57">
        <f t="shared" si="80"/>
        <v>50</v>
      </c>
      <c r="M82" s="46"/>
      <c r="N82" s="16"/>
      <c r="O82" s="57">
        <f t="shared" si="87"/>
        <v>0</v>
      </c>
      <c r="P82" s="57">
        <f t="shared" si="88"/>
        <v>0</v>
      </c>
      <c r="Q82" s="46"/>
      <c r="R82" s="16"/>
      <c r="S82" s="57">
        <f t="shared" si="89"/>
        <v>0</v>
      </c>
      <c r="T82" s="57">
        <f t="shared" si="97"/>
        <v>0</v>
      </c>
      <c r="U82" s="46">
        <v>0</v>
      </c>
      <c r="V82" s="16"/>
      <c r="W82" s="57">
        <f t="shared" si="91"/>
        <v>0</v>
      </c>
      <c r="X82" s="57">
        <f t="shared" si="92"/>
        <v>0</v>
      </c>
      <c r="Y82" s="46">
        <v>9.24</v>
      </c>
      <c r="Z82" s="16"/>
      <c r="AA82" s="57">
        <f t="shared" si="93"/>
        <v>9.24</v>
      </c>
      <c r="AB82" s="57">
        <f t="shared" si="94"/>
        <v>18.48</v>
      </c>
      <c r="AC82" s="403">
        <f t="shared" si="81"/>
        <v>40.76</v>
      </c>
      <c r="AD82" s="46">
        <v>50</v>
      </c>
      <c r="AE82" s="16"/>
      <c r="AF82" s="57">
        <f t="shared" si="95"/>
        <v>50</v>
      </c>
      <c r="AG82" s="57">
        <f t="shared" si="96"/>
        <v>50</v>
      </c>
      <c r="AH82" s="16">
        <v>100</v>
      </c>
      <c r="AI82" s="366">
        <f t="shared" si="78"/>
        <v>1</v>
      </c>
      <c r="AJ82" s="57"/>
      <c r="AK82" s="191"/>
      <c r="AL82" s="437">
        <f t="shared" si="82"/>
        <v>50</v>
      </c>
      <c r="AM82" s="329" t="s">
        <v>210</v>
      </c>
      <c r="AN82" s="320" t="s">
        <v>209</v>
      </c>
      <c r="AP82" s="192">
        <f t="shared" si="83"/>
        <v>50</v>
      </c>
      <c r="AQ82" s="191">
        <f t="shared" si="84"/>
        <v>0</v>
      </c>
    </row>
    <row r="83" spans="1:43" x14ac:dyDescent="0.2">
      <c r="A83" s="137"/>
      <c r="B83" s="29">
        <v>3636</v>
      </c>
      <c r="C83" s="29">
        <v>249</v>
      </c>
      <c r="D83" s="211" t="s">
        <v>267</v>
      </c>
      <c r="E83" s="46">
        <v>141</v>
      </c>
      <c r="F83" s="16"/>
      <c r="G83" s="57">
        <f t="shared" si="86"/>
        <v>141</v>
      </c>
      <c r="H83" s="196">
        <f>1.507+47.1177+20+5.2353</f>
        <v>73.859999999999985</v>
      </c>
      <c r="I83" s="191"/>
      <c r="J83" s="46">
        <f t="shared" si="79"/>
        <v>214.85999999999999</v>
      </c>
      <c r="K83" s="16"/>
      <c r="L83" s="57">
        <f t="shared" si="80"/>
        <v>214.85999999999999</v>
      </c>
      <c r="M83" s="46">
        <v>3.15</v>
      </c>
      <c r="N83" s="16"/>
      <c r="O83" s="57">
        <f t="shared" si="87"/>
        <v>3.15</v>
      </c>
      <c r="P83" s="57">
        <f t="shared" si="88"/>
        <v>1.4660709299078469</v>
      </c>
      <c r="Q83" s="46">
        <v>59.591999999999999</v>
      </c>
      <c r="R83" s="16"/>
      <c r="S83" s="57">
        <f t="shared" si="89"/>
        <v>59.591999999999999</v>
      </c>
      <c r="T83" s="57">
        <f t="shared" si="97"/>
        <v>27.735269477799502</v>
      </c>
      <c r="U83" s="46">
        <v>83.349000000000004</v>
      </c>
      <c r="V83" s="16"/>
      <c r="W83" s="57">
        <f t="shared" si="91"/>
        <v>83.349000000000004</v>
      </c>
      <c r="X83" s="57">
        <f t="shared" si="92"/>
        <v>38.792236805361632</v>
      </c>
      <c r="Y83" s="46">
        <v>162.179</v>
      </c>
      <c r="Z83" s="16"/>
      <c r="AA83" s="57">
        <f>Y83+Z83</f>
        <v>162.179</v>
      </c>
      <c r="AB83" s="57">
        <f t="shared" si="94"/>
        <v>75.481243600484035</v>
      </c>
      <c r="AC83" s="403">
        <f t="shared" si="81"/>
        <v>52.680999999999983</v>
      </c>
      <c r="AD83" s="46">
        <v>141</v>
      </c>
      <c r="AE83" s="16"/>
      <c r="AF83" s="57">
        <f t="shared" si="95"/>
        <v>141</v>
      </c>
      <c r="AG83" s="57">
        <f t="shared" si="96"/>
        <v>100</v>
      </c>
      <c r="AH83" s="16">
        <v>141</v>
      </c>
      <c r="AI83" s="366">
        <f t="shared" si="78"/>
        <v>1</v>
      </c>
      <c r="AJ83" s="16"/>
      <c r="AK83" s="191"/>
      <c r="AL83" s="437">
        <f t="shared" si="82"/>
        <v>214.85999999999999</v>
      </c>
      <c r="AM83" s="326" t="s">
        <v>324</v>
      </c>
      <c r="AN83" s="313" t="s">
        <v>120</v>
      </c>
      <c r="AP83" s="192">
        <f t="shared" si="83"/>
        <v>214.85999999999999</v>
      </c>
      <c r="AQ83" s="191">
        <f t="shared" si="84"/>
        <v>0</v>
      </c>
    </row>
    <row r="84" spans="1:43" x14ac:dyDescent="0.2">
      <c r="A84" s="137"/>
      <c r="B84" s="29">
        <v>3639</v>
      </c>
      <c r="C84" s="29">
        <v>108</v>
      </c>
      <c r="D84" s="211" t="s">
        <v>96</v>
      </c>
      <c r="E84" s="46">
        <v>500</v>
      </c>
      <c r="F84" s="16"/>
      <c r="G84" s="57">
        <f t="shared" si="86"/>
        <v>500</v>
      </c>
      <c r="H84" s="192">
        <v>150</v>
      </c>
      <c r="I84" s="191"/>
      <c r="J84" s="46">
        <f t="shared" si="79"/>
        <v>650</v>
      </c>
      <c r="K84" s="16"/>
      <c r="L84" s="57">
        <f t="shared" si="80"/>
        <v>650</v>
      </c>
      <c r="M84" s="46">
        <v>15.801909999999999</v>
      </c>
      <c r="N84" s="16"/>
      <c r="O84" s="57">
        <f t="shared" si="87"/>
        <v>15.801909999999999</v>
      </c>
      <c r="P84" s="57">
        <f t="shared" si="88"/>
        <v>2.4310630769230768</v>
      </c>
      <c r="Q84" s="46">
        <v>627.24267999999995</v>
      </c>
      <c r="R84" s="16"/>
      <c r="S84" s="57">
        <f t="shared" si="89"/>
        <v>627.24267999999995</v>
      </c>
      <c r="T84" s="57">
        <f t="shared" si="97"/>
        <v>96.498873846153842</v>
      </c>
      <c r="U84" s="46">
        <v>638.73767999999995</v>
      </c>
      <c r="V84" s="16"/>
      <c r="W84" s="57">
        <f t="shared" si="91"/>
        <v>638.73767999999995</v>
      </c>
      <c r="X84" s="57">
        <f t="shared" si="92"/>
        <v>98.267335384615379</v>
      </c>
      <c r="Y84" s="46">
        <v>651.63167999999996</v>
      </c>
      <c r="Z84" s="16"/>
      <c r="AA84" s="57">
        <f t="shared" si="93"/>
        <v>651.63167999999996</v>
      </c>
      <c r="AB84" s="57">
        <f t="shared" si="94"/>
        <v>100.25102769230769</v>
      </c>
      <c r="AC84" s="403">
        <f t="shared" si="81"/>
        <v>-1.6316799999999603</v>
      </c>
      <c r="AD84" s="46">
        <v>900</v>
      </c>
      <c r="AE84" s="16"/>
      <c r="AF84" s="57">
        <f t="shared" si="95"/>
        <v>900</v>
      </c>
      <c r="AG84" s="57">
        <f t="shared" si="96"/>
        <v>180</v>
      </c>
      <c r="AH84" s="16">
        <v>950</v>
      </c>
      <c r="AI84" s="366">
        <f t="shared" si="78"/>
        <v>1.9</v>
      </c>
      <c r="AJ84" s="57"/>
      <c r="AK84" s="191"/>
      <c r="AL84" s="437">
        <f t="shared" si="82"/>
        <v>650</v>
      </c>
      <c r="AM84" s="326" t="s">
        <v>164</v>
      </c>
      <c r="AN84" s="313" t="s">
        <v>68</v>
      </c>
      <c r="AP84" s="192">
        <f t="shared" si="83"/>
        <v>650</v>
      </c>
      <c r="AQ84" s="191">
        <f t="shared" si="84"/>
        <v>0</v>
      </c>
    </row>
    <row r="85" spans="1:43" x14ac:dyDescent="0.2">
      <c r="A85" s="137"/>
      <c r="B85" s="29">
        <v>3639</v>
      </c>
      <c r="C85" s="29">
        <v>239</v>
      </c>
      <c r="D85" s="211" t="s">
        <v>193</v>
      </c>
      <c r="E85" s="46">
        <v>561</v>
      </c>
      <c r="F85" s="16"/>
      <c r="G85" s="57">
        <f t="shared" si="86"/>
        <v>561</v>
      </c>
      <c r="H85" s="190"/>
      <c r="I85" s="191"/>
      <c r="J85" s="46">
        <f t="shared" si="79"/>
        <v>561</v>
      </c>
      <c r="K85" s="16"/>
      <c r="L85" s="57">
        <f t="shared" si="80"/>
        <v>561</v>
      </c>
      <c r="M85" s="46">
        <v>43.634050000000002</v>
      </c>
      <c r="N85" s="16"/>
      <c r="O85" s="57">
        <f t="shared" si="87"/>
        <v>43.634050000000002</v>
      </c>
      <c r="P85" s="57">
        <f t="shared" si="88"/>
        <v>7.7779055258467027</v>
      </c>
      <c r="Q85" s="46">
        <v>167.46862999999999</v>
      </c>
      <c r="R85" s="16"/>
      <c r="S85" s="57">
        <f t="shared" si="89"/>
        <v>167.46862999999999</v>
      </c>
      <c r="T85" s="57">
        <f t="shared" si="97"/>
        <v>29.851805704099821</v>
      </c>
      <c r="U85" s="46">
        <v>324.51553999999999</v>
      </c>
      <c r="V85" s="16"/>
      <c r="W85" s="57">
        <f t="shared" si="91"/>
        <v>324.51553999999999</v>
      </c>
      <c r="X85" s="57">
        <f t="shared" si="92"/>
        <v>57.845907308377896</v>
      </c>
      <c r="Y85" s="46">
        <v>394.38806</v>
      </c>
      <c r="Z85" s="16"/>
      <c r="AA85" s="57">
        <f t="shared" si="93"/>
        <v>394.38806</v>
      </c>
      <c r="AB85" s="57">
        <f t="shared" si="94"/>
        <v>70.300901960784316</v>
      </c>
      <c r="AC85" s="403">
        <f t="shared" si="81"/>
        <v>166.61194</v>
      </c>
      <c r="AD85" s="46">
        <v>562</v>
      </c>
      <c r="AE85" s="16"/>
      <c r="AF85" s="57">
        <f t="shared" si="95"/>
        <v>562</v>
      </c>
      <c r="AG85" s="57">
        <f t="shared" si="96"/>
        <v>100.17825311942958</v>
      </c>
      <c r="AH85" s="16">
        <v>562</v>
      </c>
      <c r="AI85" s="366">
        <f t="shared" si="78"/>
        <v>1.0017825311942958</v>
      </c>
      <c r="AJ85" s="57"/>
      <c r="AK85" s="191"/>
      <c r="AL85" s="437">
        <f t="shared" si="82"/>
        <v>561</v>
      </c>
      <c r="AM85" s="326" t="s">
        <v>204</v>
      </c>
      <c r="AN85" s="313" t="s">
        <v>120</v>
      </c>
      <c r="AP85" s="192">
        <f t="shared" si="83"/>
        <v>561</v>
      </c>
      <c r="AQ85" s="191">
        <f t="shared" si="84"/>
        <v>0</v>
      </c>
    </row>
    <row r="86" spans="1:43" x14ac:dyDescent="0.2">
      <c r="A86" s="137"/>
      <c r="B86" s="29"/>
      <c r="C86" s="29"/>
      <c r="D86" s="211" t="s">
        <v>462</v>
      </c>
      <c r="E86" s="46"/>
      <c r="F86" s="16"/>
      <c r="G86" s="57"/>
      <c r="H86" s="190"/>
      <c r="I86" s="191"/>
      <c r="J86" s="46"/>
      <c r="K86" s="16"/>
      <c r="L86" s="57"/>
      <c r="M86" s="46"/>
      <c r="N86" s="16"/>
      <c r="O86" s="57"/>
      <c r="P86" s="57"/>
      <c r="Q86" s="46"/>
      <c r="R86" s="16"/>
      <c r="S86" s="57"/>
      <c r="T86" s="57"/>
      <c r="U86" s="46"/>
      <c r="V86" s="16"/>
      <c r="W86" s="57"/>
      <c r="X86" s="57"/>
      <c r="Y86" s="46"/>
      <c r="Z86" s="16"/>
      <c r="AA86" s="57"/>
      <c r="AB86" s="57"/>
      <c r="AC86" s="403">
        <f t="shared" si="81"/>
        <v>0</v>
      </c>
      <c r="AD86" s="46"/>
      <c r="AE86" s="16">
        <v>1800</v>
      </c>
      <c r="AF86" s="57">
        <f t="shared" si="95"/>
        <v>1800</v>
      </c>
      <c r="AG86" s="57"/>
      <c r="AH86" s="16">
        <v>1800</v>
      </c>
      <c r="AI86" s="366"/>
      <c r="AJ86" s="57"/>
      <c r="AK86" s="191"/>
      <c r="AL86" s="437"/>
      <c r="AM86" s="326" t="s">
        <v>204</v>
      </c>
      <c r="AN86" s="313" t="s">
        <v>324</v>
      </c>
      <c r="AP86" s="192"/>
      <c r="AQ86" s="191"/>
    </row>
    <row r="87" spans="1:43" x14ac:dyDescent="0.2">
      <c r="A87" s="137"/>
      <c r="B87" s="29">
        <v>3639</v>
      </c>
      <c r="C87" s="29">
        <v>243</v>
      </c>
      <c r="D87" s="211" t="s">
        <v>159</v>
      </c>
      <c r="E87" s="46">
        <f>62+271</f>
        <v>333</v>
      </c>
      <c r="F87" s="16"/>
      <c r="G87" s="57">
        <f t="shared" si="86"/>
        <v>333</v>
      </c>
      <c r="H87" s="190"/>
      <c r="I87" s="191"/>
      <c r="J87" s="46">
        <f t="shared" si="79"/>
        <v>333</v>
      </c>
      <c r="K87" s="16"/>
      <c r="L87" s="57">
        <f t="shared" si="80"/>
        <v>333</v>
      </c>
      <c r="M87" s="46">
        <f>42.933+25.682</f>
        <v>68.614999999999995</v>
      </c>
      <c r="N87" s="16"/>
      <c r="O87" s="57">
        <f t="shared" si="87"/>
        <v>68.614999999999995</v>
      </c>
      <c r="P87" s="57">
        <f t="shared" si="88"/>
        <v>20.605105105105103</v>
      </c>
      <c r="Q87" s="46">
        <f>128.274+23.815</f>
        <v>152.089</v>
      </c>
      <c r="R87" s="16"/>
      <c r="S87" s="57">
        <f t="shared" si="89"/>
        <v>152.089</v>
      </c>
      <c r="T87" s="57">
        <f t="shared" si="97"/>
        <v>45.672372372372372</v>
      </c>
      <c r="U87" s="46">
        <f>218.0547+18.471</f>
        <v>236.5257</v>
      </c>
      <c r="V87" s="16"/>
      <c r="W87" s="57">
        <f t="shared" si="91"/>
        <v>236.5257</v>
      </c>
      <c r="X87" s="57">
        <f t="shared" si="92"/>
        <v>71.028738738738738</v>
      </c>
      <c r="Y87" s="46">
        <v>307.07139999999998</v>
      </c>
      <c r="Z87" s="16"/>
      <c r="AA87" s="57">
        <f t="shared" si="93"/>
        <v>307.07139999999998</v>
      </c>
      <c r="AB87" s="57">
        <f t="shared" si="94"/>
        <v>92.213633633633634</v>
      </c>
      <c r="AC87" s="403">
        <f t="shared" si="81"/>
        <v>25.928600000000017</v>
      </c>
      <c r="AD87" s="46">
        <f>64+291</f>
        <v>355</v>
      </c>
      <c r="AE87" s="16"/>
      <c r="AF87" s="57">
        <f t="shared" si="95"/>
        <v>355</v>
      </c>
      <c r="AG87" s="57">
        <f t="shared" si="96"/>
        <v>106.60660660660662</v>
      </c>
      <c r="AH87" s="16">
        <f>64+291</f>
        <v>355</v>
      </c>
      <c r="AI87" s="366">
        <f t="shared" si="78"/>
        <v>1.0660660660660661</v>
      </c>
      <c r="AJ87" s="57"/>
      <c r="AK87" s="191"/>
      <c r="AL87" s="437">
        <f t="shared" si="82"/>
        <v>333</v>
      </c>
      <c r="AM87" s="328" t="s">
        <v>68</v>
      </c>
      <c r="AN87" s="313" t="s">
        <v>325</v>
      </c>
      <c r="AP87" s="192">
        <f t="shared" si="83"/>
        <v>333</v>
      </c>
      <c r="AQ87" s="191">
        <f t="shared" si="84"/>
        <v>0</v>
      </c>
    </row>
    <row r="88" spans="1:43" x14ac:dyDescent="0.2">
      <c r="A88" s="137"/>
      <c r="B88" s="29">
        <v>3639</v>
      </c>
      <c r="C88" s="29">
        <v>319</v>
      </c>
      <c r="D88" s="211" t="s">
        <v>278</v>
      </c>
      <c r="E88" s="46">
        <v>227</v>
      </c>
      <c r="F88" s="16"/>
      <c r="G88" s="57">
        <f t="shared" si="86"/>
        <v>227</v>
      </c>
      <c r="H88" s="192"/>
      <c r="I88" s="191"/>
      <c r="J88" s="46">
        <f t="shared" si="79"/>
        <v>227</v>
      </c>
      <c r="K88" s="16"/>
      <c r="L88" s="57">
        <f t="shared" si="80"/>
        <v>227</v>
      </c>
      <c r="M88" s="46">
        <v>56.7</v>
      </c>
      <c r="N88" s="16"/>
      <c r="O88" s="57">
        <f t="shared" si="87"/>
        <v>56.7</v>
      </c>
      <c r="P88" s="57">
        <f t="shared" si="88"/>
        <v>24.977973568281939</v>
      </c>
      <c r="Q88" s="46">
        <v>113.4</v>
      </c>
      <c r="R88" s="16"/>
      <c r="S88" s="57">
        <f t="shared" si="89"/>
        <v>113.4</v>
      </c>
      <c r="T88" s="57">
        <f t="shared" si="97"/>
        <v>49.955947136563879</v>
      </c>
      <c r="U88" s="46">
        <v>170.1</v>
      </c>
      <c r="V88" s="16"/>
      <c r="W88" s="57">
        <f t="shared" si="91"/>
        <v>170.1</v>
      </c>
      <c r="X88" s="57">
        <f t="shared" si="92"/>
        <v>74.933920704845818</v>
      </c>
      <c r="Y88" s="46">
        <v>226.8</v>
      </c>
      <c r="Z88" s="16"/>
      <c r="AA88" s="57">
        <f t="shared" si="93"/>
        <v>226.8</v>
      </c>
      <c r="AB88" s="57">
        <f t="shared" si="94"/>
        <v>99.911894273127757</v>
      </c>
      <c r="AC88" s="403">
        <f t="shared" si="81"/>
        <v>0.19999999999998863</v>
      </c>
      <c r="AD88" s="46">
        <v>227</v>
      </c>
      <c r="AE88" s="16"/>
      <c r="AF88" s="57">
        <f t="shared" si="95"/>
        <v>227</v>
      </c>
      <c r="AG88" s="57">
        <f t="shared" si="96"/>
        <v>100</v>
      </c>
      <c r="AH88" s="16">
        <v>227</v>
      </c>
      <c r="AI88" s="366">
        <f t="shared" si="78"/>
        <v>1</v>
      </c>
      <c r="AJ88" s="57" t="s">
        <v>323</v>
      </c>
      <c r="AK88" s="191"/>
      <c r="AL88" s="437">
        <f t="shared" si="82"/>
        <v>227</v>
      </c>
      <c r="AM88" s="328" t="s">
        <v>335</v>
      </c>
      <c r="AN88" s="313" t="s">
        <v>68</v>
      </c>
      <c r="AP88" s="192">
        <f t="shared" si="83"/>
        <v>227</v>
      </c>
      <c r="AQ88" s="191">
        <f t="shared" si="84"/>
        <v>0</v>
      </c>
    </row>
    <row r="89" spans="1:43" x14ac:dyDescent="0.2">
      <c r="A89" s="139"/>
      <c r="B89" s="35">
        <v>3639</v>
      </c>
      <c r="C89" s="35">
        <v>319.20999999999998</v>
      </c>
      <c r="D89" s="428" t="s">
        <v>276</v>
      </c>
      <c r="E89" s="46">
        <f>21+69</f>
        <v>90</v>
      </c>
      <c r="F89" s="16"/>
      <c r="G89" s="57">
        <f t="shared" si="86"/>
        <v>90</v>
      </c>
      <c r="H89" s="415"/>
      <c r="I89" s="198"/>
      <c r="J89" s="61">
        <f t="shared" si="79"/>
        <v>90</v>
      </c>
      <c r="K89" s="64"/>
      <c r="L89" s="63">
        <f t="shared" si="80"/>
        <v>90</v>
      </c>
      <c r="M89" s="46">
        <f>-1.699</f>
        <v>-1.6990000000000001</v>
      </c>
      <c r="N89" s="16"/>
      <c r="O89" s="57">
        <f t="shared" si="87"/>
        <v>-1.6990000000000001</v>
      </c>
      <c r="P89" s="63">
        <f t="shared" si="88"/>
        <v>-1.8877777777777778</v>
      </c>
      <c r="Q89" s="46">
        <f>2.351</f>
        <v>2.351</v>
      </c>
      <c r="R89" s="16"/>
      <c r="S89" s="57">
        <f t="shared" si="89"/>
        <v>2.351</v>
      </c>
      <c r="T89" s="63">
        <f t="shared" si="97"/>
        <v>2.612222222222222</v>
      </c>
      <c r="U89" s="46">
        <v>6.4009999999999998</v>
      </c>
      <c r="V89" s="16"/>
      <c r="W89" s="57">
        <f t="shared" si="91"/>
        <v>6.4009999999999998</v>
      </c>
      <c r="X89" s="63">
        <f t="shared" si="92"/>
        <v>7.1122222222222229</v>
      </c>
      <c r="Y89" s="46">
        <f>4.043</f>
        <v>4.0430000000000001</v>
      </c>
      <c r="Z89" s="16"/>
      <c r="AA89" s="57">
        <f t="shared" si="93"/>
        <v>4.0430000000000001</v>
      </c>
      <c r="AB89" s="63">
        <f t="shared" si="94"/>
        <v>4.4922222222222228</v>
      </c>
      <c r="AC89" s="403">
        <f t="shared" si="81"/>
        <v>85.956999999999994</v>
      </c>
      <c r="AD89" s="69">
        <f>18+48</f>
        <v>66</v>
      </c>
      <c r="AE89" s="16"/>
      <c r="AF89" s="57">
        <f t="shared" si="95"/>
        <v>66</v>
      </c>
      <c r="AG89" s="63">
        <f t="shared" si="96"/>
        <v>73.333333333333329</v>
      </c>
      <c r="AH89" s="16">
        <v>66</v>
      </c>
      <c r="AI89" s="368">
        <f t="shared" si="78"/>
        <v>0.73333333333333328</v>
      </c>
      <c r="AJ89" s="63"/>
      <c r="AK89" s="198"/>
      <c r="AL89" s="437">
        <f t="shared" si="82"/>
        <v>90</v>
      </c>
      <c r="AM89" s="431" t="s">
        <v>335</v>
      </c>
      <c r="AN89" s="315" t="s">
        <v>68</v>
      </c>
      <c r="AP89" s="192">
        <f t="shared" si="83"/>
        <v>90</v>
      </c>
      <c r="AQ89" s="191">
        <f t="shared" si="84"/>
        <v>0</v>
      </c>
    </row>
    <row r="90" spans="1:43" x14ac:dyDescent="0.2">
      <c r="A90" s="138">
        <v>37</v>
      </c>
      <c r="B90" s="24"/>
      <c r="C90" s="24"/>
      <c r="D90" s="427" t="s">
        <v>118</v>
      </c>
      <c r="E90" s="58">
        <f t="shared" ref="E90:O90" si="98">SUM(E91:E100)</f>
        <v>13484</v>
      </c>
      <c r="F90" s="59">
        <f t="shared" si="98"/>
        <v>1155</v>
      </c>
      <c r="G90" s="60">
        <f t="shared" si="98"/>
        <v>14639</v>
      </c>
      <c r="H90" s="194">
        <f t="shared" si="98"/>
        <v>-492.06133</v>
      </c>
      <c r="I90" s="195">
        <f t="shared" si="98"/>
        <v>-695</v>
      </c>
      <c r="J90" s="58">
        <f t="shared" si="98"/>
        <v>12991.93867</v>
      </c>
      <c r="K90" s="59">
        <f t="shared" si="98"/>
        <v>460</v>
      </c>
      <c r="L90" s="60">
        <f t="shared" si="98"/>
        <v>13451.93867</v>
      </c>
      <c r="M90" s="58">
        <f t="shared" si="98"/>
        <v>2435.70649</v>
      </c>
      <c r="N90" s="59">
        <f t="shared" si="98"/>
        <v>0</v>
      </c>
      <c r="O90" s="60">
        <f t="shared" si="98"/>
        <v>2435.70649</v>
      </c>
      <c r="P90" s="60">
        <f t="shared" ref="P90:P126" si="99">O90/$L90*100</f>
        <v>18.10673204622929</v>
      </c>
      <c r="Q90" s="58">
        <f>SUM(Q91:Q100)</f>
        <v>5834.7923899999987</v>
      </c>
      <c r="R90" s="59">
        <f>SUM(R91:R100)</f>
        <v>223.791</v>
      </c>
      <c r="S90" s="60">
        <f>SUM(S91:S100)</f>
        <v>6058.5833899999989</v>
      </c>
      <c r="T90" s="60">
        <f t="shared" si="97"/>
        <v>45.038737825289232</v>
      </c>
      <c r="U90" s="58">
        <f>SUM(U91:U100)</f>
        <v>8785.4806300000018</v>
      </c>
      <c r="V90" s="59">
        <f>SUM(V91:V100)</f>
        <v>284.17</v>
      </c>
      <c r="W90" s="60">
        <f>SUM(W91:W100)</f>
        <v>9069.6506300000001</v>
      </c>
      <c r="X90" s="60">
        <f t="shared" si="92"/>
        <v>67.422628458950598</v>
      </c>
      <c r="Y90" s="58">
        <f>SUM(Y91:Y100)</f>
        <v>11877.325219999999</v>
      </c>
      <c r="Z90" s="59">
        <f>SUM(Z91:Z100)</f>
        <v>284.17</v>
      </c>
      <c r="AA90" s="60">
        <f>SUM(AA91:AA100)</f>
        <v>12161.495219999997</v>
      </c>
      <c r="AB90" s="60">
        <f t="shared" si="94"/>
        <v>90.40700763171111</v>
      </c>
      <c r="AC90" s="404">
        <f>SUM(AC91:AC100)</f>
        <v>1290.4434499999995</v>
      </c>
      <c r="AD90" s="58">
        <f>SUM(AD91:AD100)</f>
        <v>12528</v>
      </c>
      <c r="AE90" s="59">
        <f>SUM(AE91:AE100)</f>
        <v>0</v>
      </c>
      <c r="AF90" s="60">
        <f>SUM(AF91:AF100)</f>
        <v>12528</v>
      </c>
      <c r="AG90" s="60">
        <f>AF90/$G90*100</f>
        <v>85.579616093995497</v>
      </c>
      <c r="AH90" s="59">
        <f>SUM(AH91:AH100)</f>
        <v>15028</v>
      </c>
      <c r="AI90" s="367">
        <f t="shared" si="78"/>
        <v>1.0265728533369767</v>
      </c>
      <c r="AJ90" s="60"/>
      <c r="AK90" s="195">
        <f>SUM(AK91:AK100)</f>
        <v>0</v>
      </c>
      <c r="AL90" s="438">
        <f>SUM(AL91:AL100)</f>
        <v>12490</v>
      </c>
      <c r="AM90" s="55"/>
      <c r="AN90" s="74"/>
      <c r="AP90" s="194">
        <f>SUM(AP91:AP100)</f>
        <v>12093</v>
      </c>
      <c r="AQ90" s="195">
        <f>SUM(AQ91:AQ100)</f>
        <v>960</v>
      </c>
    </row>
    <row r="91" spans="1:43" x14ac:dyDescent="0.2">
      <c r="A91" s="137"/>
      <c r="B91" s="29">
        <v>3722</v>
      </c>
      <c r="C91" s="29">
        <v>240</v>
      </c>
      <c r="D91" s="211" t="s">
        <v>78</v>
      </c>
      <c r="E91" s="46">
        <v>5973</v>
      </c>
      <c r="F91" s="16"/>
      <c r="G91" s="57">
        <f t="shared" ref="G91:G100" si="100">E91+F91</f>
        <v>5973</v>
      </c>
      <c r="H91" s="190">
        <v>170</v>
      </c>
      <c r="I91" s="191"/>
      <c r="J91" s="46">
        <f t="shared" ref="J91:J100" si="101">E91+H91</f>
        <v>6143</v>
      </c>
      <c r="K91" s="16"/>
      <c r="L91" s="57">
        <f t="shared" ref="L91:L100" si="102">SUM(J91:K91)</f>
        <v>6143</v>
      </c>
      <c r="M91" s="46">
        <v>1307.17058</v>
      </c>
      <c r="N91" s="16"/>
      <c r="O91" s="57">
        <f t="shared" ref="O91:O100" si="103">M91+N91</f>
        <v>1307.17058</v>
      </c>
      <c r="P91" s="57">
        <f t="shared" si="99"/>
        <v>21.279026208692819</v>
      </c>
      <c r="Q91" s="46">
        <v>2835.1081600000002</v>
      </c>
      <c r="R91" s="16"/>
      <c r="S91" s="57">
        <f t="shared" ref="S91:S100" si="104">Q91+R91</f>
        <v>2835.1081600000002</v>
      </c>
      <c r="T91" s="57">
        <f t="shared" si="97"/>
        <v>46.151850236041028</v>
      </c>
      <c r="U91" s="46">
        <v>4448.2503200000001</v>
      </c>
      <c r="V91" s="16"/>
      <c r="W91" s="57">
        <f t="shared" ref="W91:W100" si="105">U91+V91</f>
        <v>4448.2503200000001</v>
      </c>
      <c r="X91" s="57">
        <f t="shared" si="92"/>
        <v>72.411693309457931</v>
      </c>
      <c r="Y91" s="46">
        <v>6100.5228800000004</v>
      </c>
      <c r="Z91" s="16"/>
      <c r="AA91" s="57">
        <f t="shared" ref="AA91:AA100" si="106">Y91+Z91</f>
        <v>6100.5228800000004</v>
      </c>
      <c r="AB91" s="57">
        <f t="shared" si="94"/>
        <v>99.30852808074232</v>
      </c>
      <c r="AC91" s="403">
        <f t="shared" ref="AC91:AC100" si="107">L91-AA91</f>
        <v>42.477119999999559</v>
      </c>
      <c r="AD91" s="46">
        <v>6634</v>
      </c>
      <c r="AE91" s="16"/>
      <c r="AF91" s="57">
        <f t="shared" ref="AF91:AF100" si="108">AD91+AE91</f>
        <v>6634</v>
      </c>
      <c r="AG91" s="57">
        <f>AF91/$G91*100</f>
        <v>111.06646576259836</v>
      </c>
      <c r="AH91" s="16">
        <v>6634</v>
      </c>
      <c r="AI91" s="366">
        <f t="shared" si="78"/>
        <v>1.1106646576259835</v>
      </c>
      <c r="AJ91" s="57"/>
      <c r="AK91" s="191"/>
      <c r="AL91" s="437">
        <f t="shared" ref="AL91:AL100" si="109">L91-AK91</f>
        <v>6143</v>
      </c>
      <c r="AM91" s="326" t="s">
        <v>341</v>
      </c>
      <c r="AN91" s="313" t="s">
        <v>204</v>
      </c>
      <c r="AP91" s="192">
        <f>J91</f>
        <v>6143</v>
      </c>
      <c r="AQ91" s="191">
        <f t="shared" ref="AQ91:AQ100" si="110">K91</f>
        <v>0</v>
      </c>
    </row>
    <row r="92" spans="1:43" x14ac:dyDescent="0.2">
      <c r="A92" s="137"/>
      <c r="B92" s="29">
        <v>3722</v>
      </c>
      <c r="C92" s="29">
        <v>5110</v>
      </c>
      <c r="D92" s="211" t="s">
        <v>290</v>
      </c>
      <c r="E92" s="46">
        <f>300+607</f>
        <v>907</v>
      </c>
      <c r="F92" s="16"/>
      <c r="G92" s="57">
        <f t="shared" si="100"/>
        <v>907</v>
      </c>
      <c r="H92" s="196"/>
      <c r="I92" s="191"/>
      <c r="J92" s="46">
        <f t="shared" si="101"/>
        <v>907</v>
      </c>
      <c r="K92" s="16"/>
      <c r="L92" s="57">
        <f t="shared" si="102"/>
        <v>907</v>
      </c>
      <c r="M92" s="46">
        <v>606.65</v>
      </c>
      <c r="N92" s="16"/>
      <c r="O92" s="57">
        <f t="shared" si="103"/>
        <v>606.65</v>
      </c>
      <c r="P92" s="57">
        <f t="shared" si="99"/>
        <v>66.885336273428891</v>
      </c>
      <c r="Q92" s="46">
        <v>606.65</v>
      </c>
      <c r="R92" s="16"/>
      <c r="S92" s="57">
        <f t="shared" si="104"/>
        <v>606.65</v>
      </c>
      <c r="T92" s="57">
        <f t="shared" si="97"/>
        <v>66.885336273428891</v>
      </c>
      <c r="U92" s="46">
        <v>874.59657000000004</v>
      </c>
      <c r="V92" s="16"/>
      <c r="W92" s="57">
        <f t="shared" si="105"/>
        <v>874.59657000000004</v>
      </c>
      <c r="X92" s="57">
        <f t="shared" si="92"/>
        <v>96.427405733186333</v>
      </c>
      <c r="Y92" s="46">
        <v>874.59657000000004</v>
      </c>
      <c r="Z92" s="16"/>
      <c r="AA92" s="57">
        <f t="shared" si="106"/>
        <v>874.59657000000004</v>
      </c>
      <c r="AB92" s="57">
        <f t="shared" si="94"/>
        <v>96.427405733186333</v>
      </c>
      <c r="AC92" s="403">
        <f t="shared" si="107"/>
        <v>32.403429999999958</v>
      </c>
      <c r="AD92" s="46">
        <v>759</v>
      </c>
      <c r="AE92" s="16"/>
      <c r="AF92" s="57">
        <f t="shared" si="108"/>
        <v>759</v>
      </c>
      <c r="AG92" s="57">
        <f>AF92/$G92*100</f>
        <v>83.682469680264603</v>
      </c>
      <c r="AH92" s="16">
        <v>400</v>
      </c>
      <c r="AI92" s="366">
        <f t="shared" si="78"/>
        <v>0.44101433296582138</v>
      </c>
      <c r="AJ92" s="57"/>
      <c r="AK92" s="191"/>
      <c r="AL92" s="437">
        <f t="shared" si="109"/>
        <v>907</v>
      </c>
      <c r="AM92" s="326" t="s">
        <v>341</v>
      </c>
      <c r="AN92" s="313" t="s">
        <v>204</v>
      </c>
      <c r="AP92" s="192">
        <f>J92</f>
        <v>907</v>
      </c>
      <c r="AQ92" s="191">
        <f t="shared" si="110"/>
        <v>0</v>
      </c>
    </row>
    <row r="93" spans="1:43" x14ac:dyDescent="0.2">
      <c r="A93" s="137"/>
      <c r="B93" s="29">
        <v>3722</v>
      </c>
      <c r="C93" s="29">
        <v>250</v>
      </c>
      <c r="D93" s="429" t="s">
        <v>365</v>
      </c>
      <c r="E93" s="46">
        <v>45</v>
      </c>
      <c r="F93" s="16">
        <v>55</v>
      </c>
      <c r="G93" s="57">
        <f t="shared" si="100"/>
        <v>100</v>
      </c>
      <c r="H93" s="190">
        <f>-18.06133-5</f>
        <v>-23.061330000000002</v>
      </c>
      <c r="I93" s="191">
        <v>5</v>
      </c>
      <c r="J93" s="46">
        <f t="shared" si="101"/>
        <v>21.938669999999998</v>
      </c>
      <c r="K93" s="16">
        <f>F93+I93</f>
        <v>60</v>
      </c>
      <c r="L93" s="57">
        <f t="shared" si="102"/>
        <v>81.938670000000002</v>
      </c>
      <c r="M93" s="46">
        <v>22.736999999999998</v>
      </c>
      <c r="N93" s="16"/>
      <c r="O93" s="57">
        <f t="shared" si="103"/>
        <v>22.736999999999998</v>
      </c>
      <c r="P93" s="57">
        <f t="shared" si="99"/>
        <v>27.748802854622852</v>
      </c>
      <c r="Q93" s="46">
        <v>22.736999999999998</v>
      </c>
      <c r="R93" s="16"/>
      <c r="S93" s="57">
        <f t="shared" si="104"/>
        <v>22.736999999999998</v>
      </c>
      <c r="T93" s="57">
        <f t="shared" si="97"/>
        <v>27.748802854622852</v>
      </c>
      <c r="U93" s="46">
        <f>83.116-V93</f>
        <v>22.737000000000002</v>
      </c>
      <c r="V93" s="16">
        <f>60.379</f>
        <v>60.378999999999998</v>
      </c>
      <c r="W93" s="57">
        <f t="shared" si="105"/>
        <v>83.116</v>
      </c>
      <c r="X93" s="57">
        <f t="shared" si="92"/>
        <v>101.43684294607174</v>
      </c>
      <c r="Y93" s="46">
        <f>83.116-Z93</f>
        <v>22.737000000000002</v>
      </c>
      <c r="Z93" s="16">
        <v>60.378999999999998</v>
      </c>
      <c r="AA93" s="57">
        <f t="shared" si="106"/>
        <v>83.116</v>
      </c>
      <c r="AB93" s="57">
        <f>AA93/$L93*100</f>
        <v>101.43684294607174</v>
      </c>
      <c r="AC93" s="403">
        <f t="shared" si="107"/>
        <v>-1.1773299999999978</v>
      </c>
      <c r="AD93" s="46"/>
      <c r="AE93" s="16"/>
      <c r="AF93" s="57">
        <f t="shared" si="108"/>
        <v>0</v>
      </c>
      <c r="AG93" s="57"/>
      <c r="AH93" s="16"/>
      <c r="AI93" s="366"/>
      <c r="AJ93" s="414" t="s">
        <v>467</v>
      </c>
      <c r="AK93" s="191"/>
      <c r="AL93" s="437"/>
      <c r="AM93" s="326" t="s">
        <v>341</v>
      </c>
      <c r="AN93" s="313" t="s">
        <v>324</v>
      </c>
      <c r="AP93" s="504">
        <v>23</v>
      </c>
      <c r="AQ93" s="505">
        <v>60</v>
      </c>
    </row>
    <row r="94" spans="1:43" x14ac:dyDescent="0.2">
      <c r="A94" s="137"/>
      <c r="B94" s="29">
        <v>3722</v>
      </c>
      <c r="C94" s="29">
        <v>252</v>
      </c>
      <c r="D94" s="211" t="s">
        <v>383</v>
      </c>
      <c r="E94" s="46">
        <v>230</v>
      </c>
      <c r="F94" s="16"/>
      <c r="G94" s="57">
        <f t="shared" si="100"/>
        <v>230</v>
      </c>
      <c r="H94" s="190"/>
      <c r="I94" s="191"/>
      <c r="J94" s="46">
        <f>E94+H94</f>
        <v>230</v>
      </c>
      <c r="K94" s="16"/>
      <c r="L94" s="57">
        <f>SUM(J94:K94)</f>
        <v>230</v>
      </c>
      <c r="M94" s="46"/>
      <c r="N94" s="16"/>
      <c r="O94" s="57">
        <f t="shared" si="103"/>
        <v>0</v>
      </c>
      <c r="P94" s="57">
        <f t="shared" si="99"/>
        <v>0</v>
      </c>
      <c r="Q94" s="46"/>
      <c r="R94" s="16"/>
      <c r="S94" s="57">
        <f t="shared" si="104"/>
        <v>0</v>
      </c>
      <c r="T94" s="57">
        <f t="shared" si="97"/>
        <v>0</v>
      </c>
      <c r="U94" s="46">
        <v>267.88432</v>
      </c>
      <c r="V94" s="16"/>
      <c r="W94" s="57">
        <f t="shared" si="105"/>
        <v>267.88432</v>
      </c>
      <c r="X94" s="57">
        <f t="shared" si="92"/>
        <v>116.47144347826087</v>
      </c>
      <c r="Y94" s="46">
        <v>267.88432</v>
      </c>
      <c r="Z94" s="16"/>
      <c r="AA94" s="57">
        <f t="shared" si="106"/>
        <v>267.88432</v>
      </c>
      <c r="AB94" s="57">
        <f t="shared" ref="AB94:AB95" si="111">AA94/$L94*100</f>
        <v>116.47144347826087</v>
      </c>
      <c r="AC94" s="403">
        <f t="shared" si="107"/>
        <v>-37.884320000000002</v>
      </c>
      <c r="AD94" s="46"/>
      <c r="AE94" s="16"/>
      <c r="AF94" s="57">
        <f t="shared" si="108"/>
        <v>0</v>
      </c>
      <c r="AG94" s="57"/>
      <c r="AH94" s="16"/>
      <c r="AI94" s="366"/>
      <c r="AJ94" s="57" t="s">
        <v>451</v>
      </c>
      <c r="AK94" s="191"/>
      <c r="AL94" s="437"/>
      <c r="AM94" s="326" t="s">
        <v>341</v>
      </c>
      <c r="AN94" s="313" t="s">
        <v>324</v>
      </c>
      <c r="AP94" s="504">
        <v>268</v>
      </c>
      <c r="AQ94" s="191">
        <f t="shared" si="110"/>
        <v>0</v>
      </c>
    </row>
    <row r="95" spans="1:43" x14ac:dyDescent="0.2">
      <c r="A95" s="137"/>
      <c r="B95" s="29">
        <v>3745</v>
      </c>
      <c r="C95" s="29">
        <v>241</v>
      </c>
      <c r="D95" s="211" t="s">
        <v>79</v>
      </c>
      <c r="E95" s="46">
        <f>2026+1653</f>
        <v>3679</v>
      </c>
      <c r="F95" s="16"/>
      <c r="G95" s="57">
        <f t="shared" si="100"/>
        <v>3679</v>
      </c>
      <c r="H95" s="196">
        <v>-210</v>
      </c>
      <c r="I95" s="191"/>
      <c r="J95" s="46">
        <f>E95+H95</f>
        <v>3469</v>
      </c>
      <c r="K95" s="16"/>
      <c r="L95" s="57">
        <f>SUM(J95:K95)</f>
        <v>3469</v>
      </c>
      <c r="M95" s="46">
        <f>370.228+98.885</f>
        <v>469.113</v>
      </c>
      <c r="N95" s="16"/>
      <c r="O95" s="57">
        <f t="shared" si="103"/>
        <v>469.113</v>
      </c>
      <c r="P95" s="57">
        <f t="shared" si="99"/>
        <v>13.523003747477661</v>
      </c>
      <c r="Q95" s="46">
        <f>1120.23226+76.682</f>
        <v>1196.91426</v>
      </c>
      <c r="R95" s="16"/>
      <c r="S95" s="57">
        <f t="shared" si="104"/>
        <v>1196.91426</v>
      </c>
      <c r="T95" s="57">
        <f t="shared" si="97"/>
        <v>34.503149610838854</v>
      </c>
      <c r="U95" s="46">
        <f>1846.07992+86.978</f>
        <v>1933.05792</v>
      </c>
      <c r="V95" s="16"/>
      <c r="W95" s="57">
        <f t="shared" si="105"/>
        <v>1933.05792</v>
      </c>
      <c r="X95" s="57">
        <f>W95/$L95*100</f>
        <v>55.723779763620641</v>
      </c>
      <c r="Y95" s="46">
        <v>3173.4918400000001</v>
      </c>
      <c r="Z95" s="16"/>
      <c r="AA95" s="57">
        <f t="shared" si="106"/>
        <v>3173.4918400000001</v>
      </c>
      <c r="AB95" s="57">
        <f t="shared" si="111"/>
        <v>91.481459786682038</v>
      </c>
      <c r="AC95" s="403">
        <f t="shared" si="107"/>
        <v>295.50815999999986</v>
      </c>
      <c r="AD95" s="46">
        <f>2475+2220-350</f>
        <v>4345</v>
      </c>
      <c r="AE95" s="16"/>
      <c r="AF95" s="57">
        <f t="shared" si="108"/>
        <v>4345</v>
      </c>
      <c r="AG95" s="57">
        <f>AF95/$G95*100</f>
        <v>118.10274531122589</v>
      </c>
      <c r="AH95" s="16">
        <f>2475+2220</f>
        <v>4695</v>
      </c>
      <c r="AI95" s="366">
        <f t="shared" si="78"/>
        <v>1.2761620005436261</v>
      </c>
      <c r="AJ95" s="57"/>
      <c r="AK95" s="191"/>
      <c r="AL95" s="437">
        <f t="shared" si="109"/>
        <v>3469</v>
      </c>
      <c r="AM95" s="326" t="s">
        <v>295</v>
      </c>
      <c r="AN95" s="313" t="s">
        <v>204</v>
      </c>
      <c r="AP95" s="504">
        <f>J95-210</f>
        <v>3259</v>
      </c>
      <c r="AQ95" s="191">
        <f t="shared" si="110"/>
        <v>0</v>
      </c>
    </row>
    <row r="96" spans="1:43" x14ac:dyDescent="0.2">
      <c r="A96" s="137"/>
      <c r="B96" s="29">
        <v>3745</v>
      </c>
      <c r="C96" s="29">
        <v>242</v>
      </c>
      <c r="D96" s="211" t="s">
        <v>252</v>
      </c>
      <c r="E96" s="46">
        <v>460</v>
      </c>
      <c r="F96" s="16"/>
      <c r="G96" s="57">
        <f t="shared" si="100"/>
        <v>460</v>
      </c>
      <c r="H96" s="192"/>
      <c r="I96" s="191"/>
      <c r="J96" s="46">
        <f>E96+H96</f>
        <v>460</v>
      </c>
      <c r="K96" s="16"/>
      <c r="L96" s="57">
        <f>SUM(J96:K96)</f>
        <v>460</v>
      </c>
      <c r="M96" s="46">
        <v>30</v>
      </c>
      <c r="N96" s="16"/>
      <c r="O96" s="57">
        <f t="shared" si="103"/>
        <v>30</v>
      </c>
      <c r="P96" s="57">
        <f t="shared" si="99"/>
        <v>6.5217391304347823</v>
      </c>
      <c r="Q96" s="46">
        <v>323.262</v>
      </c>
      <c r="R96" s="16"/>
      <c r="S96" s="57">
        <f t="shared" si="104"/>
        <v>323.262</v>
      </c>
      <c r="T96" s="57">
        <f t="shared" si="97"/>
        <v>70.274347826086952</v>
      </c>
      <c r="U96" s="46">
        <v>380.54500000000002</v>
      </c>
      <c r="V96" s="16"/>
      <c r="W96" s="57">
        <f t="shared" si="105"/>
        <v>380.54500000000002</v>
      </c>
      <c r="X96" s="57">
        <f>W96/$L96*100</f>
        <v>82.727173913043487</v>
      </c>
      <c r="Y96" s="46">
        <v>445.59600999999998</v>
      </c>
      <c r="Z96" s="16"/>
      <c r="AA96" s="57">
        <f t="shared" si="106"/>
        <v>445.59600999999998</v>
      </c>
      <c r="AB96" s="57">
        <f>AA96/$L96*100</f>
        <v>96.868697826086944</v>
      </c>
      <c r="AC96" s="403">
        <f t="shared" si="107"/>
        <v>14.403990000000022</v>
      </c>
      <c r="AD96" s="46">
        <v>460</v>
      </c>
      <c r="AE96" s="16"/>
      <c r="AF96" s="57">
        <f t="shared" si="108"/>
        <v>460</v>
      </c>
      <c r="AG96" s="57">
        <f>AF96/$G96*100</f>
        <v>100</v>
      </c>
      <c r="AH96" s="16">
        <v>469</v>
      </c>
      <c r="AI96" s="366">
        <f t="shared" si="78"/>
        <v>1.0195652173913043</v>
      </c>
      <c r="AJ96" s="57"/>
      <c r="AK96" s="191"/>
      <c r="AL96" s="437">
        <f t="shared" si="109"/>
        <v>460</v>
      </c>
      <c r="AM96" s="326" t="s">
        <v>295</v>
      </c>
      <c r="AN96" s="313" t="s">
        <v>204</v>
      </c>
      <c r="AP96" s="192">
        <f>J96</f>
        <v>460</v>
      </c>
      <c r="AQ96" s="191">
        <f t="shared" si="110"/>
        <v>0</v>
      </c>
    </row>
    <row r="97" spans="1:43" x14ac:dyDescent="0.2">
      <c r="A97" s="137"/>
      <c r="B97" s="29">
        <v>3745</v>
      </c>
      <c r="C97" s="29">
        <v>244</v>
      </c>
      <c r="D97" s="429" t="s">
        <v>309</v>
      </c>
      <c r="E97" s="46">
        <v>40</v>
      </c>
      <c r="F97" s="16"/>
      <c r="G97" s="57">
        <f t="shared" si="100"/>
        <v>40</v>
      </c>
      <c r="H97" s="196"/>
      <c r="I97" s="191"/>
      <c r="J97" s="46">
        <f>E97+H97</f>
        <v>40</v>
      </c>
      <c r="K97" s="16"/>
      <c r="L97" s="57">
        <f>SUM(J97:K97)</f>
        <v>40</v>
      </c>
      <c r="M97" s="46"/>
      <c r="N97" s="16"/>
      <c r="O97" s="57">
        <f t="shared" si="103"/>
        <v>0</v>
      </c>
      <c r="P97" s="57">
        <f t="shared" si="99"/>
        <v>0</v>
      </c>
      <c r="Q97" s="46">
        <v>0</v>
      </c>
      <c r="R97" s="16"/>
      <c r="S97" s="57">
        <f t="shared" si="104"/>
        <v>0</v>
      </c>
      <c r="T97" s="57">
        <f t="shared" si="97"/>
        <v>0</v>
      </c>
      <c r="U97" s="46">
        <v>0</v>
      </c>
      <c r="V97" s="16"/>
      <c r="W97" s="57">
        <f t="shared" si="105"/>
        <v>0</v>
      </c>
      <c r="X97" s="57">
        <f>W97/$L97*100</f>
        <v>0</v>
      </c>
      <c r="Y97" s="46">
        <v>29.207830000000001</v>
      </c>
      <c r="Z97" s="16"/>
      <c r="AA97" s="57">
        <f t="shared" si="106"/>
        <v>29.207830000000001</v>
      </c>
      <c r="AB97" s="57">
        <f>AA97/$L97*100</f>
        <v>73.019575000000003</v>
      </c>
      <c r="AC97" s="403">
        <f t="shared" si="107"/>
        <v>10.792169999999999</v>
      </c>
      <c r="AD97" s="46"/>
      <c r="AE97" s="16"/>
      <c r="AF97" s="57">
        <f t="shared" si="108"/>
        <v>0</v>
      </c>
      <c r="AG97" s="57"/>
      <c r="AH97" s="16"/>
      <c r="AI97" s="366"/>
      <c r="AJ97" s="414" t="s">
        <v>310</v>
      </c>
      <c r="AK97" s="191"/>
      <c r="AL97" s="437">
        <f t="shared" si="109"/>
        <v>40</v>
      </c>
      <c r="AM97" s="326" t="s">
        <v>295</v>
      </c>
      <c r="AN97" s="313" t="s">
        <v>324</v>
      </c>
      <c r="AP97" s="504">
        <v>10</v>
      </c>
      <c r="AQ97" s="191">
        <f t="shared" si="110"/>
        <v>0</v>
      </c>
    </row>
    <row r="98" spans="1:43" x14ac:dyDescent="0.2">
      <c r="A98" s="137"/>
      <c r="B98" s="29">
        <v>3745</v>
      </c>
      <c r="C98" s="29">
        <v>251</v>
      </c>
      <c r="D98" s="429" t="s">
        <v>379</v>
      </c>
      <c r="E98" s="46">
        <v>650</v>
      </c>
      <c r="F98" s="16"/>
      <c r="G98" s="57">
        <f t="shared" si="100"/>
        <v>650</v>
      </c>
      <c r="H98" s="196"/>
      <c r="I98" s="191"/>
      <c r="J98" s="46">
        <f>E98+H98</f>
        <v>650</v>
      </c>
      <c r="K98" s="16"/>
      <c r="L98" s="57">
        <f>SUM(J98:K98)</f>
        <v>650</v>
      </c>
      <c r="M98" s="46"/>
      <c r="N98" s="16"/>
      <c r="O98" s="57">
        <f t="shared" si="103"/>
        <v>0</v>
      </c>
      <c r="P98" s="57">
        <f t="shared" si="99"/>
        <v>0</v>
      </c>
      <c r="Q98" s="46">
        <v>482.78899999999999</v>
      </c>
      <c r="R98" s="16"/>
      <c r="S98" s="57">
        <f t="shared" si="104"/>
        <v>482.78899999999999</v>
      </c>
      <c r="T98" s="57">
        <f t="shared" si="97"/>
        <v>74.275230769230774</v>
      </c>
      <c r="U98" s="46">
        <v>491.01900000000001</v>
      </c>
      <c r="V98" s="16"/>
      <c r="W98" s="57">
        <f t="shared" si="105"/>
        <v>491.01900000000001</v>
      </c>
      <c r="X98" s="57">
        <f>W98/$L98*100</f>
        <v>75.541384615384615</v>
      </c>
      <c r="Y98" s="46">
        <v>549.11767999999995</v>
      </c>
      <c r="Z98" s="16"/>
      <c r="AA98" s="57">
        <f t="shared" si="106"/>
        <v>549.11767999999995</v>
      </c>
      <c r="AB98" s="57">
        <f>AA98/$L98*100</f>
        <v>84.479643076923068</v>
      </c>
      <c r="AC98" s="403">
        <f t="shared" si="107"/>
        <v>100.88232000000005</v>
      </c>
      <c r="AD98" s="46">
        <v>30</v>
      </c>
      <c r="AE98" s="16"/>
      <c r="AF98" s="57">
        <f t="shared" si="108"/>
        <v>30</v>
      </c>
      <c r="AG98" s="57"/>
      <c r="AH98" s="16">
        <v>30</v>
      </c>
      <c r="AI98" s="366"/>
      <c r="AJ98" s="414" t="s">
        <v>310</v>
      </c>
      <c r="AK98" s="191"/>
      <c r="AL98" s="437"/>
      <c r="AM98" s="326" t="s">
        <v>295</v>
      </c>
      <c r="AN98" s="313" t="s">
        <v>324</v>
      </c>
      <c r="AP98" s="504">
        <v>523</v>
      </c>
      <c r="AQ98" s="191">
        <f t="shared" si="110"/>
        <v>0</v>
      </c>
    </row>
    <row r="99" spans="1:43" x14ac:dyDescent="0.2">
      <c r="A99" s="137"/>
      <c r="B99" s="29">
        <v>3745</v>
      </c>
      <c r="C99" s="29">
        <v>246</v>
      </c>
      <c r="D99" s="211" t="s">
        <v>292</v>
      </c>
      <c r="E99" s="46">
        <f>1200+300</f>
        <v>1500</v>
      </c>
      <c r="F99" s="16">
        <f>800+300</f>
        <v>1100</v>
      </c>
      <c r="G99" s="57">
        <f t="shared" si="100"/>
        <v>2600</v>
      </c>
      <c r="H99" s="196">
        <v>-429</v>
      </c>
      <c r="I99" s="191">
        <f>500-500-700</f>
        <v>-700</v>
      </c>
      <c r="J99" s="46">
        <f t="shared" si="101"/>
        <v>1071</v>
      </c>
      <c r="K99" s="16">
        <f>F99+I99</f>
        <v>400</v>
      </c>
      <c r="L99" s="57">
        <f t="shared" si="102"/>
        <v>1471</v>
      </c>
      <c r="M99" s="46"/>
      <c r="N99" s="16"/>
      <c r="O99" s="57">
        <f t="shared" si="103"/>
        <v>0</v>
      </c>
      <c r="P99" s="57">
        <f t="shared" si="99"/>
        <v>0</v>
      </c>
      <c r="Q99" s="46">
        <f>591.08706-R99</f>
        <v>367.29605999999995</v>
      </c>
      <c r="R99" s="16">
        <v>223.791</v>
      </c>
      <c r="S99" s="57">
        <f t="shared" si="104"/>
        <v>591.08705999999995</v>
      </c>
      <c r="T99" s="57">
        <f t="shared" si="97"/>
        <v>40.182668932698839</v>
      </c>
      <c r="U99" s="46">
        <f>591.08706-V99</f>
        <v>367.29605999999995</v>
      </c>
      <c r="V99" s="16">
        <v>223.791</v>
      </c>
      <c r="W99" s="57">
        <f t="shared" si="105"/>
        <v>591.08705999999995</v>
      </c>
      <c r="X99" s="57">
        <f>W99/$L99*100</f>
        <v>40.182668932698839</v>
      </c>
      <c r="Y99" s="46">
        <f>46.75+367.29606</f>
        <v>414.04606000000001</v>
      </c>
      <c r="Z99" s="16">
        <v>223.791</v>
      </c>
      <c r="AA99" s="57">
        <f t="shared" si="106"/>
        <v>637.83706000000006</v>
      </c>
      <c r="AB99" s="57">
        <f>AA99/$L99*100</f>
        <v>43.360779061862679</v>
      </c>
      <c r="AC99" s="403">
        <f t="shared" si="107"/>
        <v>833.16293999999994</v>
      </c>
      <c r="AD99" s="46">
        <v>300</v>
      </c>
      <c r="AE99" s="16"/>
      <c r="AF99" s="57">
        <f t="shared" si="108"/>
        <v>300</v>
      </c>
      <c r="AG99" s="57">
        <f>AF99/$G99*100</f>
        <v>11.538461538461538</v>
      </c>
      <c r="AH99" s="16">
        <f>1700+1100</f>
        <v>2800</v>
      </c>
      <c r="AI99" s="366">
        <f>AH99/G99</f>
        <v>1.0769230769230769</v>
      </c>
      <c r="AJ99" s="57" t="s">
        <v>337</v>
      </c>
      <c r="AK99" s="191"/>
      <c r="AL99" s="437">
        <f t="shared" si="109"/>
        <v>1471</v>
      </c>
      <c r="AM99" s="328" t="s">
        <v>396</v>
      </c>
      <c r="AN99" s="313" t="s">
        <v>324</v>
      </c>
      <c r="AP99" s="504">
        <v>500</v>
      </c>
      <c r="AQ99" s="505">
        <v>900</v>
      </c>
    </row>
    <row r="100" spans="1:43" x14ac:dyDescent="0.2">
      <c r="A100" s="139"/>
      <c r="B100" s="35">
        <v>3745</v>
      </c>
      <c r="C100" s="35">
        <v>1544</v>
      </c>
      <c r="D100" s="428" t="s">
        <v>298</v>
      </c>
      <c r="E100" s="61"/>
      <c r="F100" s="64"/>
      <c r="G100" s="63">
        <f t="shared" si="100"/>
        <v>0</v>
      </c>
      <c r="H100" s="201"/>
      <c r="I100" s="198"/>
      <c r="J100" s="61">
        <f t="shared" si="101"/>
        <v>0</v>
      </c>
      <c r="K100" s="64"/>
      <c r="L100" s="63">
        <f t="shared" si="102"/>
        <v>0</v>
      </c>
      <c r="M100" s="61">
        <v>3.5909999999999997E-2</v>
      </c>
      <c r="N100" s="64"/>
      <c r="O100" s="63">
        <f t="shared" si="103"/>
        <v>3.5909999999999997E-2</v>
      </c>
      <c r="P100" s="495"/>
      <c r="Q100" s="61">
        <v>3.5909999999999997E-2</v>
      </c>
      <c r="R100" s="64"/>
      <c r="S100" s="63">
        <f t="shared" si="104"/>
        <v>3.5909999999999997E-2</v>
      </c>
      <c r="T100" s="495" t="e">
        <f t="shared" si="97"/>
        <v>#DIV/0!</v>
      </c>
      <c r="U100" s="61">
        <v>9.4439999999999996E-2</v>
      </c>
      <c r="V100" s="64"/>
      <c r="W100" s="63">
        <f t="shared" si="105"/>
        <v>9.4439999999999996E-2</v>
      </c>
      <c r="X100" s="495"/>
      <c r="Y100" s="61">
        <f>0.09444+0.03059</f>
        <v>0.12503</v>
      </c>
      <c r="Z100" s="64"/>
      <c r="AA100" s="63">
        <f t="shared" si="106"/>
        <v>0.12503</v>
      </c>
      <c r="AB100" s="63"/>
      <c r="AC100" s="403">
        <f t="shared" si="107"/>
        <v>-0.12503</v>
      </c>
      <c r="AD100" s="61"/>
      <c r="AE100" s="64"/>
      <c r="AF100" s="63">
        <f t="shared" si="108"/>
        <v>0</v>
      </c>
      <c r="AG100" s="63"/>
      <c r="AH100" s="64"/>
      <c r="AI100" s="368"/>
      <c r="AJ100" s="495"/>
      <c r="AK100" s="191"/>
      <c r="AL100" s="437">
        <f t="shared" si="109"/>
        <v>0</v>
      </c>
      <c r="AM100" s="62"/>
      <c r="AN100" s="57"/>
      <c r="AP100" s="415">
        <f>J100</f>
        <v>0</v>
      </c>
      <c r="AQ100" s="198">
        <f t="shared" si="110"/>
        <v>0</v>
      </c>
    </row>
    <row r="101" spans="1:43" x14ac:dyDescent="0.2">
      <c r="A101" s="90">
        <v>43</v>
      </c>
      <c r="B101" s="32">
        <v>4300</v>
      </c>
      <c r="C101" s="32"/>
      <c r="D101" s="419" t="s">
        <v>80</v>
      </c>
      <c r="E101" s="55">
        <f t="shared" ref="E101:O101" si="112">SUM(E102:E105)</f>
        <v>6227</v>
      </c>
      <c r="F101" s="18">
        <f t="shared" si="112"/>
        <v>1250</v>
      </c>
      <c r="G101" s="56">
        <f t="shared" si="112"/>
        <v>7477</v>
      </c>
      <c r="H101" s="199">
        <f t="shared" si="112"/>
        <v>8562.0079999999998</v>
      </c>
      <c r="I101" s="200">
        <f t="shared" si="112"/>
        <v>-100</v>
      </c>
      <c r="J101" s="55">
        <f t="shared" si="112"/>
        <v>14789.008</v>
      </c>
      <c r="K101" s="18">
        <f t="shared" si="112"/>
        <v>1150</v>
      </c>
      <c r="L101" s="56">
        <f t="shared" si="112"/>
        <v>15939.008</v>
      </c>
      <c r="M101" s="55">
        <f t="shared" si="112"/>
        <v>6238.1995699999998</v>
      </c>
      <c r="N101" s="18">
        <f t="shared" si="112"/>
        <v>257.67399999999998</v>
      </c>
      <c r="O101" s="56">
        <f t="shared" si="112"/>
        <v>6495.8735699999997</v>
      </c>
      <c r="P101" s="56">
        <f t="shared" si="99"/>
        <v>40.754566218926549</v>
      </c>
      <c r="Q101" s="55">
        <f>SUM(Q102:Q105)</f>
        <v>7263.4850800000004</v>
      </c>
      <c r="R101" s="18">
        <f>SUM(R102:R105)</f>
        <v>351.65199999999999</v>
      </c>
      <c r="S101" s="56">
        <f>SUM(S102:S105)</f>
        <v>7615.1370800000004</v>
      </c>
      <c r="T101" s="56">
        <f t="shared" ref="T101:T107" si="113">S101/$L101*100</f>
        <v>47.776731651053822</v>
      </c>
      <c r="U101" s="55">
        <f>SUM(U102:U105)</f>
        <v>12500.140429999999</v>
      </c>
      <c r="V101" s="18">
        <f>SUM(V102:V105)</f>
        <v>701.16700000000003</v>
      </c>
      <c r="W101" s="56">
        <f>SUM(W102:W105)</f>
        <v>13201.307429999999</v>
      </c>
      <c r="X101" s="56">
        <f t="shared" ref="X101:X107" si="114">W101/$L101*100</f>
        <v>82.82389612954583</v>
      </c>
      <c r="Y101" s="55">
        <f>SUM(Y102:Y105)</f>
        <v>14117.96659</v>
      </c>
      <c r="Z101" s="18">
        <f>SUM(Z102:Z105)</f>
        <v>1103.2470000000001</v>
      </c>
      <c r="AA101" s="56">
        <f>SUM(AA102:AA105)</f>
        <v>15221.213589999999</v>
      </c>
      <c r="AB101" s="56">
        <f t="shared" ref="AB101:AB107" si="115">AA101/$L101*100</f>
        <v>95.496618045489399</v>
      </c>
      <c r="AC101" s="404">
        <f>SUM(AC102:AC105)</f>
        <v>717.79441000000043</v>
      </c>
      <c r="AD101" s="55">
        <f>SUM(AD102:AD105)</f>
        <v>7297</v>
      </c>
      <c r="AE101" s="18">
        <f>SUM(AE102:AE105)</f>
        <v>6200</v>
      </c>
      <c r="AF101" s="56">
        <f>SUM(AF102:AF105)</f>
        <v>13497</v>
      </c>
      <c r="AG101" s="56">
        <f t="shared" ref="AG101:AG107" si="116">AF101/$G101*100</f>
        <v>180.51357496322055</v>
      </c>
      <c r="AH101" s="18">
        <f>SUM(AH102:AH105)</f>
        <v>14552</v>
      </c>
      <c r="AI101" s="369">
        <f>AH101/G101</f>
        <v>1.9462351210378495</v>
      </c>
      <c r="AJ101" s="56"/>
      <c r="AK101" s="200">
        <f>SUM(AK102:AK105)</f>
        <v>0</v>
      </c>
      <c r="AL101" s="440">
        <f>SUM(AL102:AL105)</f>
        <v>15839.008</v>
      </c>
      <c r="AM101" s="58"/>
      <c r="AN101" s="318"/>
      <c r="AP101" s="199">
        <f>SUM(AP102:AP105)</f>
        <v>14519.008</v>
      </c>
      <c r="AQ101" s="200">
        <f>SUM(AQ102:AQ105)</f>
        <v>1150</v>
      </c>
    </row>
    <row r="102" spans="1:43" x14ac:dyDescent="0.2">
      <c r="A102" s="137"/>
      <c r="B102" s="29">
        <v>4349</v>
      </c>
      <c r="C102" s="29">
        <v>228</v>
      </c>
      <c r="D102" s="211" t="s">
        <v>212</v>
      </c>
      <c r="E102" s="16">
        <f>70+300</f>
        <v>370</v>
      </c>
      <c r="F102" s="16"/>
      <c r="G102" s="57">
        <f>E102+F102</f>
        <v>370</v>
      </c>
      <c r="H102" s="386"/>
      <c r="I102" s="191"/>
      <c r="J102" s="46">
        <f>E102+H102</f>
        <v>370</v>
      </c>
      <c r="K102" s="16"/>
      <c r="L102" s="57">
        <f>SUM(J102:K102)</f>
        <v>370</v>
      </c>
      <c r="M102" s="46">
        <v>1.98725</v>
      </c>
      <c r="N102" s="16"/>
      <c r="O102" s="57">
        <f>M102+N102</f>
        <v>1.98725</v>
      </c>
      <c r="P102" s="57">
        <f>O102/$L102*100</f>
        <v>0.53709459459459463</v>
      </c>
      <c r="Q102" s="46">
        <v>21.480250000000002</v>
      </c>
      <c r="R102" s="16"/>
      <c r="S102" s="57">
        <f>Q102+R102</f>
        <v>21.480250000000002</v>
      </c>
      <c r="T102" s="57">
        <f t="shared" si="113"/>
        <v>5.8054729729729733</v>
      </c>
      <c r="U102" s="46">
        <v>41.480249999999998</v>
      </c>
      <c r="V102" s="16"/>
      <c r="W102" s="57">
        <f>U102+V102</f>
        <v>41.480249999999998</v>
      </c>
      <c r="X102" s="57">
        <f t="shared" si="114"/>
        <v>11.210878378378379</v>
      </c>
      <c r="Y102" s="46">
        <v>79.340249999999997</v>
      </c>
      <c r="Z102" s="16"/>
      <c r="AA102" s="57">
        <f>Y102+Z102</f>
        <v>79.340249999999997</v>
      </c>
      <c r="AB102" s="57">
        <f t="shared" si="115"/>
        <v>21.443310810810807</v>
      </c>
      <c r="AC102" s="403">
        <f t="shared" ref="AC102:AC104" si="117">L102-AA102</f>
        <v>290.65975000000003</v>
      </c>
      <c r="AD102" s="46">
        <v>370</v>
      </c>
      <c r="AE102" s="16"/>
      <c r="AF102" s="57">
        <f>AD102+AE102</f>
        <v>370</v>
      </c>
      <c r="AG102" s="57">
        <f t="shared" si="116"/>
        <v>100</v>
      </c>
      <c r="AH102" s="16">
        <v>377</v>
      </c>
      <c r="AI102" s="366">
        <f>AH102/G102</f>
        <v>1.0189189189189189</v>
      </c>
      <c r="AJ102" s="57" t="s">
        <v>377</v>
      </c>
      <c r="AK102" s="191"/>
      <c r="AL102" s="437">
        <f>L102-AK102</f>
        <v>370</v>
      </c>
      <c r="AM102" s="62" t="s">
        <v>293</v>
      </c>
      <c r="AN102" s="57" t="s">
        <v>314</v>
      </c>
      <c r="AP102" s="504">
        <v>100</v>
      </c>
      <c r="AQ102" s="191">
        <f>K102</f>
        <v>0</v>
      </c>
    </row>
    <row r="103" spans="1:43" x14ac:dyDescent="0.2">
      <c r="A103" s="137"/>
      <c r="B103" s="29">
        <v>4351</v>
      </c>
      <c r="C103" s="29">
        <v>227</v>
      </c>
      <c r="D103" s="211" t="s">
        <v>39</v>
      </c>
      <c r="E103" s="46">
        <f>425+3964</f>
        <v>4389</v>
      </c>
      <c r="F103" s="16">
        <f>350+100</f>
        <v>450</v>
      </c>
      <c r="G103" s="57">
        <f>E103+F103</f>
        <v>4839</v>
      </c>
      <c r="H103" s="386">
        <f>200-90+100</f>
        <v>210</v>
      </c>
      <c r="I103" s="191">
        <v>-100</v>
      </c>
      <c r="J103" s="46">
        <f>E103+H103</f>
        <v>4599</v>
      </c>
      <c r="K103" s="16">
        <f>F103+I103</f>
        <v>350</v>
      </c>
      <c r="L103" s="57">
        <f>SUM(J103:K103)</f>
        <v>4949</v>
      </c>
      <c r="M103" s="46">
        <f>585.67532+272.332</f>
        <v>858.00732000000005</v>
      </c>
      <c r="N103" s="16"/>
      <c r="O103" s="57">
        <f>M103+N103</f>
        <v>858.00732000000005</v>
      </c>
      <c r="P103" s="57">
        <f>O103/$L103*100</f>
        <v>17.336983633057184</v>
      </c>
      <c r="Q103" s="46">
        <f>1597.89383+254.906</f>
        <v>1852.7998299999999</v>
      </c>
      <c r="R103" s="16"/>
      <c r="S103" s="57">
        <f>Q103+R103</f>
        <v>1852.7998299999999</v>
      </c>
      <c r="T103" s="57">
        <f t="shared" si="113"/>
        <v>37.437862800565767</v>
      </c>
      <c r="U103" s="46">
        <f>2536.28918+291.363</f>
        <v>2827.65218</v>
      </c>
      <c r="V103" s="16"/>
      <c r="W103" s="57">
        <f>U103+V103</f>
        <v>2827.65218</v>
      </c>
      <c r="X103" s="57">
        <f t="shared" si="114"/>
        <v>57.13582905637503</v>
      </c>
      <c r="Y103" s="46">
        <f>4566.24834-Z103</f>
        <v>4218.61834</v>
      </c>
      <c r="Z103" s="16">
        <v>347.63</v>
      </c>
      <c r="AA103" s="57">
        <f>Y103+Z103</f>
        <v>4566.2483400000001</v>
      </c>
      <c r="AB103" s="57">
        <f t="shared" si="115"/>
        <v>92.266080824408974</v>
      </c>
      <c r="AC103" s="403">
        <f t="shared" si="117"/>
        <v>382.7516599999999</v>
      </c>
      <c r="AD103" s="46">
        <f>512+4128</f>
        <v>4640</v>
      </c>
      <c r="AE103" s="16"/>
      <c r="AF103" s="57">
        <f>AD103+AE103</f>
        <v>4640</v>
      </c>
      <c r="AG103" s="57">
        <f t="shared" si="116"/>
        <v>95.887580078528629</v>
      </c>
      <c r="AH103" s="16">
        <f>512+4126</f>
        <v>4638</v>
      </c>
      <c r="AI103" s="366">
        <f>AH103/G103</f>
        <v>0.95846249225046498</v>
      </c>
      <c r="AJ103" s="57"/>
      <c r="AK103" s="191"/>
      <c r="AL103" s="437">
        <f>L103-AK103</f>
        <v>4949</v>
      </c>
      <c r="AM103" s="330" t="s">
        <v>168</v>
      </c>
      <c r="AN103" s="193" t="s">
        <v>81</v>
      </c>
      <c r="AP103" s="192">
        <f>J103</f>
        <v>4599</v>
      </c>
      <c r="AQ103" s="191">
        <f>K103</f>
        <v>350</v>
      </c>
    </row>
    <row r="104" spans="1:43" x14ac:dyDescent="0.2">
      <c r="A104" s="137"/>
      <c r="B104" s="29">
        <v>4355</v>
      </c>
      <c r="C104" s="29">
        <v>307</v>
      </c>
      <c r="D104" s="211" t="s">
        <v>254</v>
      </c>
      <c r="E104" s="46">
        <f>712+756</f>
        <v>1468</v>
      </c>
      <c r="F104" s="16">
        <f>500+200</f>
        <v>700</v>
      </c>
      <c r="G104" s="57">
        <f>E104+F104</f>
        <v>2168</v>
      </c>
      <c r="H104" s="386">
        <f>5011.205+3340.803</f>
        <v>8352.0079999999998</v>
      </c>
      <c r="I104" s="191"/>
      <c r="J104" s="46">
        <f>E104+H104</f>
        <v>9820.0079999999998</v>
      </c>
      <c r="K104" s="16">
        <f>F104+I104</f>
        <v>700</v>
      </c>
      <c r="L104" s="57">
        <f>SUM(J104:K104)</f>
        <v>10520.008</v>
      </c>
      <c r="M104" s="46">
        <f>367+5011.205</f>
        <v>5378.2049999999999</v>
      </c>
      <c r="N104" s="16">
        <v>257.67399999999998</v>
      </c>
      <c r="O104" s="57">
        <f>M104+N104</f>
        <v>5635.8789999999999</v>
      </c>
      <c r="P104" s="57">
        <f>O104/$L104*100</f>
        <v>53.572953556689306</v>
      </c>
      <c r="Q104" s="46">
        <f>378+5011.205</f>
        <v>5389.2049999999999</v>
      </c>
      <c r="R104" s="16">
        <v>351.65199999999999</v>
      </c>
      <c r="S104" s="57">
        <f>Q104+R104</f>
        <v>5740.857</v>
      </c>
      <c r="T104" s="57">
        <f t="shared" si="113"/>
        <v>54.570842531678686</v>
      </c>
      <c r="U104" s="46">
        <f>567+8352.008+712</f>
        <v>9631.0079999999998</v>
      </c>
      <c r="V104" s="16">
        <v>701.16700000000003</v>
      </c>
      <c r="W104" s="57">
        <f>U104+V104</f>
        <v>10332.174999999999</v>
      </c>
      <c r="X104" s="57">
        <f t="shared" si="114"/>
        <v>98.214516566907548</v>
      </c>
      <c r="Y104" s="46">
        <f>756+712+8352.008</f>
        <v>9820.0079999999998</v>
      </c>
      <c r="Z104" s="16">
        <v>701.16700000000003</v>
      </c>
      <c r="AA104" s="57">
        <f>Y104+Z104</f>
        <v>10521.174999999999</v>
      </c>
      <c r="AB104" s="57">
        <f t="shared" si="115"/>
        <v>100.01109314745769</v>
      </c>
      <c r="AC104" s="403">
        <f t="shared" si="117"/>
        <v>-1.1669999999994616</v>
      </c>
      <c r="AD104" s="46">
        <f>775+712</f>
        <v>1487</v>
      </c>
      <c r="AE104" s="16"/>
      <c r="AF104" s="57">
        <f>AD104+AE104</f>
        <v>1487</v>
      </c>
      <c r="AG104" s="57">
        <f t="shared" si="116"/>
        <v>68.588560885608857</v>
      </c>
      <c r="AH104" s="46">
        <f>775+712</f>
        <v>1487</v>
      </c>
      <c r="AI104" s="366">
        <f>AH104/G104</f>
        <v>0.68588560885608851</v>
      </c>
      <c r="AJ104" s="57"/>
      <c r="AK104" s="191"/>
      <c r="AL104" s="437">
        <f>L104-AK104</f>
        <v>10520.008</v>
      </c>
      <c r="AM104" s="325" t="s">
        <v>206</v>
      </c>
      <c r="AN104" s="311" t="s">
        <v>70</v>
      </c>
      <c r="AP104" s="192">
        <f>J104</f>
        <v>9820.0079999999998</v>
      </c>
      <c r="AQ104" s="191">
        <f>K104</f>
        <v>700</v>
      </c>
    </row>
    <row r="105" spans="1:43" ht="12.75" customHeight="1" x14ac:dyDescent="0.2">
      <c r="A105" s="137"/>
      <c r="B105" s="29">
        <v>4359</v>
      </c>
      <c r="C105" s="29">
        <v>226</v>
      </c>
      <c r="D105" s="429" t="s">
        <v>339</v>
      </c>
      <c r="E105" s="46"/>
      <c r="F105" s="16">
        <v>100</v>
      </c>
      <c r="G105" s="57">
        <f>E105+F105</f>
        <v>100</v>
      </c>
      <c r="H105" s="386"/>
      <c r="I105" s="191"/>
      <c r="J105" s="46">
        <f>E105+H105</f>
        <v>0</v>
      </c>
      <c r="K105" s="16">
        <f>F105+I105</f>
        <v>100</v>
      </c>
      <c r="L105" s="57">
        <f>SUM(J105:K105)</f>
        <v>100</v>
      </c>
      <c r="M105" s="46"/>
      <c r="N105" s="16"/>
      <c r="O105" s="57">
        <f>M105+N105</f>
        <v>0</v>
      </c>
      <c r="P105" s="57">
        <f>O105/$L105*100</f>
        <v>0</v>
      </c>
      <c r="Q105" s="46"/>
      <c r="R105" s="16"/>
      <c r="S105" s="57">
        <f>Q105+R105</f>
        <v>0</v>
      </c>
      <c r="T105" s="57">
        <f t="shared" si="113"/>
        <v>0</v>
      </c>
      <c r="U105" s="46">
        <v>0</v>
      </c>
      <c r="V105" s="16"/>
      <c r="W105" s="57">
        <f>U105+V105</f>
        <v>0</v>
      </c>
      <c r="X105" s="57">
        <f t="shared" si="114"/>
        <v>0</v>
      </c>
      <c r="Y105" s="46"/>
      <c r="Z105" s="16">
        <v>54.45</v>
      </c>
      <c r="AA105" s="57">
        <f>Y105+Z105</f>
        <v>54.45</v>
      </c>
      <c r="AB105" s="57">
        <f t="shared" si="115"/>
        <v>54.449999999999996</v>
      </c>
      <c r="AC105" s="403">
        <f>L105-AA105</f>
        <v>45.55</v>
      </c>
      <c r="AD105" s="46">
        <v>800</v>
      </c>
      <c r="AE105" s="16">
        <v>6200</v>
      </c>
      <c r="AF105" s="57">
        <f>AD105+AE105</f>
        <v>7000</v>
      </c>
      <c r="AG105" s="57"/>
      <c r="AH105" s="16">
        <v>8050</v>
      </c>
      <c r="AI105" s="366"/>
      <c r="AJ105" s="414" t="s">
        <v>461</v>
      </c>
      <c r="AK105" s="191"/>
      <c r="AL105" s="437"/>
      <c r="AM105" s="326" t="s">
        <v>324</v>
      </c>
      <c r="AN105" s="315" t="s">
        <v>120</v>
      </c>
      <c r="AP105" s="415">
        <f>J105</f>
        <v>0</v>
      </c>
      <c r="AQ105" s="198">
        <f>K105</f>
        <v>100</v>
      </c>
    </row>
    <row r="106" spans="1:43" x14ac:dyDescent="0.2">
      <c r="A106" s="138">
        <v>53</v>
      </c>
      <c r="B106" s="24">
        <v>5300</v>
      </c>
      <c r="C106" s="24"/>
      <c r="D106" s="427" t="s">
        <v>105</v>
      </c>
      <c r="E106" s="58">
        <f t="shared" ref="E106:O106" si="118">SUM(E107:E110)</f>
        <v>3581</v>
      </c>
      <c r="F106" s="59">
        <f t="shared" si="118"/>
        <v>7079</v>
      </c>
      <c r="G106" s="60">
        <f t="shared" si="118"/>
        <v>10660</v>
      </c>
      <c r="H106" s="197">
        <f t="shared" si="118"/>
        <v>291.37223</v>
      </c>
      <c r="I106" s="195">
        <f t="shared" si="118"/>
        <v>0</v>
      </c>
      <c r="J106" s="58">
        <f t="shared" si="118"/>
        <v>3872.3722299999999</v>
      </c>
      <c r="K106" s="59">
        <f t="shared" si="118"/>
        <v>7079</v>
      </c>
      <c r="L106" s="60">
        <f t="shared" si="118"/>
        <v>10951.372230000001</v>
      </c>
      <c r="M106" s="58">
        <f t="shared" si="118"/>
        <v>536.16691000000003</v>
      </c>
      <c r="N106" s="59">
        <f t="shared" si="118"/>
        <v>0</v>
      </c>
      <c r="O106" s="60">
        <f t="shared" si="118"/>
        <v>536.16691000000003</v>
      </c>
      <c r="P106" s="60">
        <f t="shared" si="99"/>
        <v>4.8958879192438882</v>
      </c>
      <c r="Q106" s="58">
        <f>SUM(Q107:Q110)</f>
        <v>1271.9019899999998</v>
      </c>
      <c r="R106" s="59">
        <f>SUM(R107:R110)</f>
        <v>6328.1790000000001</v>
      </c>
      <c r="S106" s="60">
        <f>SUM(S107:S110)</f>
        <v>7600.0809900000004</v>
      </c>
      <c r="T106" s="60">
        <f t="shared" si="113"/>
        <v>69.398435468940306</v>
      </c>
      <c r="U106" s="58">
        <f>SUM(U107:U110)</f>
        <v>2028.2250699999997</v>
      </c>
      <c r="V106" s="59">
        <f>SUM(V107:V110)</f>
        <v>7077.3760000000002</v>
      </c>
      <c r="W106" s="60">
        <f>SUM(W107:W110)</f>
        <v>9105.6010700000006</v>
      </c>
      <c r="X106" s="60">
        <f t="shared" si="114"/>
        <v>83.145754511533028</v>
      </c>
      <c r="Y106" s="58">
        <f>SUM(Y107:Y110)</f>
        <v>3533.9449299999997</v>
      </c>
      <c r="Z106" s="59">
        <f>SUM(Z107:Z110)</f>
        <v>7077.3760000000002</v>
      </c>
      <c r="AA106" s="60">
        <f>SUM(AA107:AA110)</f>
        <v>10611.32093</v>
      </c>
      <c r="AB106" s="60">
        <f t="shared" si="115"/>
        <v>96.894897800401026</v>
      </c>
      <c r="AC106" s="404">
        <f>SUM(AC107:AC110)</f>
        <v>340.05130000000014</v>
      </c>
      <c r="AD106" s="58">
        <f>SUM(AD107:AD110)</f>
        <v>3055</v>
      </c>
      <c r="AE106" s="59">
        <f>SUM(AE107:AE110)</f>
        <v>0</v>
      </c>
      <c r="AF106" s="60">
        <f>SUM(AF107:AF110)</f>
        <v>3055</v>
      </c>
      <c r="AG106" s="60">
        <f t="shared" si="116"/>
        <v>28.658536585365852</v>
      </c>
      <c r="AH106" s="59">
        <f>SUM(AH107:AH110)</f>
        <v>2650</v>
      </c>
      <c r="AI106" s="367">
        <f t="shared" ref="AI106:AI112" si="119">AH106/G106</f>
        <v>0.24859287054409004</v>
      </c>
      <c r="AJ106" s="60"/>
      <c r="AK106" s="195">
        <f>SUM(AK107:AK110)</f>
        <v>0</v>
      </c>
      <c r="AL106" s="438">
        <f>SUM(AL107:AL110)</f>
        <v>10951.372230000001</v>
      </c>
      <c r="AM106" s="58"/>
      <c r="AN106" s="74"/>
      <c r="AP106" s="197">
        <f>SUM(AP107:AP110)</f>
        <v>3762.3722299999999</v>
      </c>
      <c r="AQ106" s="195">
        <f>SUM(AQ107:AQ110)</f>
        <v>7079</v>
      </c>
    </row>
    <row r="107" spans="1:43" x14ac:dyDescent="0.2">
      <c r="A107" s="90"/>
      <c r="B107" s="29">
        <v>5272</v>
      </c>
      <c r="C107" s="33">
        <v>320</v>
      </c>
      <c r="D107" s="211" t="s">
        <v>143</v>
      </c>
      <c r="E107" s="46">
        <f>243</f>
        <v>243</v>
      </c>
      <c r="F107" s="16"/>
      <c r="G107" s="57">
        <f>E107+F107</f>
        <v>243</v>
      </c>
      <c r="H107" s="192">
        <v>-120</v>
      </c>
      <c r="I107" s="200"/>
      <c r="J107" s="46">
        <f>E107+H107</f>
        <v>123</v>
      </c>
      <c r="K107" s="16">
        <f>F107+I107</f>
        <v>0</v>
      </c>
      <c r="L107" s="57">
        <f>SUM(J107:K107)</f>
        <v>123</v>
      </c>
      <c r="M107" s="46">
        <v>0</v>
      </c>
      <c r="N107" s="16"/>
      <c r="O107" s="57">
        <f>M107+N107</f>
        <v>0</v>
      </c>
      <c r="P107" s="57">
        <f>O107/$L107*100</f>
        <v>0</v>
      </c>
      <c r="Q107" s="46">
        <v>3.3950200000000001</v>
      </c>
      <c r="R107" s="16"/>
      <c r="S107" s="57">
        <f>Q107+R107</f>
        <v>3.3950200000000001</v>
      </c>
      <c r="T107" s="57">
        <f t="shared" si="113"/>
        <v>2.760178861788618</v>
      </c>
      <c r="U107" s="46">
        <v>19.385020000000001</v>
      </c>
      <c r="V107" s="16"/>
      <c r="W107" s="57">
        <f>U107+V107</f>
        <v>19.385020000000001</v>
      </c>
      <c r="X107" s="57">
        <f t="shared" si="114"/>
        <v>15.760178861788617</v>
      </c>
      <c r="Y107" s="46">
        <v>76.590019999999996</v>
      </c>
      <c r="Z107" s="16"/>
      <c r="AA107" s="57">
        <f>Y107+Z107</f>
        <v>76.590019999999996</v>
      </c>
      <c r="AB107" s="57">
        <f t="shared" si="115"/>
        <v>62.268308943089423</v>
      </c>
      <c r="AC107" s="403">
        <f t="shared" ref="AC107:AC110" si="120">L107-AA107</f>
        <v>46.409980000000004</v>
      </c>
      <c r="AD107" s="46">
        <v>243</v>
      </c>
      <c r="AE107" s="16"/>
      <c r="AF107" s="57">
        <f>AD107+AE107</f>
        <v>243</v>
      </c>
      <c r="AG107" s="57">
        <f t="shared" si="116"/>
        <v>100</v>
      </c>
      <c r="AH107" s="16">
        <v>243</v>
      </c>
      <c r="AI107" s="366">
        <f t="shared" si="119"/>
        <v>1</v>
      </c>
      <c r="AJ107" s="57"/>
      <c r="AK107" s="200"/>
      <c r="AL107" s="437">
        <f>L107-AK107</f>
        <v>123</v>
      </c>
      <c r="AM107" s="346" t="s">
        <v>213</v>
      </c>
      <c r="AN107" s="314" t="s">
        <v>477</v>
      </c>
      <c r="AP107" s="192">
        <f>J107</f>
        <v>123</v>
      </c>
      <c r="AQ107" s="191">
        <f>K107</f>
        <v>0</v>
      </c>
    </row>
    <row r="108" spans="1:43" ht="13.5" customHeight="1" x14ac:dyDescent="0.2">
      <c r="A108" s="137"/>
      <c r="B108" s="29">
        <v>5311</v>
      </c>
      <c r="C108" s="29">
        <v>321</v>
      </c>
      <c r="D108" s="211" t="s">
        <v>82</v>
      </c>
      <c r="E108" s="46">
        <f>375+2104+25</f>
        <v>2504</v>
      </c>
      <c r="F108" s="16"/>
      <c r="G108" s="57">
        <f>E108+F108</f>
        <v>2504</v>
      </c>
      <c r="H108" s="196">
        <v>-110</v>
      </c>
      <c r="I108" s="191"/>
      <c r="J108" s="46">
        <f t="shared" ref="J108:K110" si="121">E108+H108</f>
        <v>2394</v>
      </c>
      <c r="K108" s="16">
        <f t="shared" si="121"/>
        <v>0</v>
      </c>
      <c r="L108" s="57">
        <f>SUM(J108:K108)</f>
        <v>2394</v>
      </c>
      <c r="M108" s="46">
        <f>323.63968+148.252</f>
        <v>471.89168000000001</v>
      </c>
      <c r="N108" s="16"/>
      <c r="O108" s="57">
        <f>M108+N108</f>
        <v>471.89168000000001</v>
      </c>
      <c r="P108" s="57">
        <f t="shared" si="99"/>
        <v>19.711431913116122</v>
      </c>
      <c r="Q108" s="46">
        <f>856.71093+122.009</f>
        <v>978.71992999999998</v>
      </c>
      <c r="R108" s="16"/>
      <c r="S108" s="57">
        <f>Q108+R108</f>
        <v>978.71992999999998</v>
      </c>
      <c r="T108" s="57">
        <f t="shared" ref="T108:T126" si="122">S108/$L108*100</f>
        <v>40.882202589807854</v>
      </c>
      <c r="U108" s="46">
        <f>1384.594+129.583</f>
        <v>1514.1770000000001</v>
      </c>
      <c r="V108" s="16"/>
      <c r="W108" s="57">
        <f>U108+V108</f>
        <v>1514.1770000000001</v>
      </c>
      <c r="X108" s="57">
        <f t="shared" ref="X108:X126" si="123">W108/$L108*100</f>
        <v>63.248830409356728</v>
      </c>
      <c r="Y108" s="46">
        <v>2123.7552700000001</v>
      </c>
      <c r="Z108" s="16"/>
      <c r="AA108" s="57">
        <f>Y108+Z108</f>
        <v>2123.7552700000001</v>
      </c>
      <c r="AB108" s="57">
        <f t="shared" ref="AB108:AB126" si="124">AA108/$L108*100</f>
        <v>88.711581871345032</v>
      </c>
      <c r="AC108" s="403">
        <f t="shared" si="120"/>
        <v>270.24472999999989</v>
      </c>
      <c r="AD108" s="46">
        <f>450+1932</f>
        <v>2382</v>
      </c>
      <c r="AE108" s="16"/>
      <c r="AF108" s="57">
        <f>AD108+AE108</f>
        <v>2382</v>
      </c>
      <c r="AG108" s="57">
        <f t="shared" ref="AG108:AG116" si="125">AF108/$G108*100</f>
        <v>95.12779552715655</v>
      </c>
      <c r="AH108" s="16">
        <f>475+1932</f>
        <v>2407</v>
      </c>
      <c r="AI108" s="366">
        <f t="shared" si="119"/>
        <v>0.96126198083067094</v>
      </c>
      <c r="AJ108" s="57"/>
      <c r="AK108" s="191"/>
      <c r="AL108" s="437">
        <f>L108-AK108</f>
        <v>2394</v>
      </c>
      <c r="AM108" s="331" t="s">
        <v>163</v>
      </c>
      <c r="AN108" s="314" t="s">
        <v>303</v>
      </c>
      <c r="AP108" s="504">
        <f>J108-110</f>
        <v>2284</v>
      </c>
      <c r="AQ108" s="191">
        <f>K108</f>
        <v>0</v>
      </c>
    </row>
    <row r="109" spans="1:43" ht="13.5" customHeight="1" x14ac:dyDescent="0.2">
      <c r="A109" s="137"/>
      <c r="B109" s="29">
        <v>5512</v>
      </c>
      <c r="C109" s="29">
        <v>224</v>
      </c>
      <c r="D109" s="211" t="s">
        <v>291</v>
      </c>
      <c r="E109" s="46">
        <v>450</v>
      </c>
      <c r="F109" s="16"/>
      <c r="G109" s="57">
        <f>E109+F109</f>
        <v>450</v>
      </c>
      <c r="H109" s="190">
        <v>100</v>
      </c>
      <c r="I109" s="191"/>
      <c r="J109" s="46">
        <f>E109+H109</f>
        <v>550</v>
      </c>
      <c r="K109" s="16"/>
      <c r="L109" s="57">
        <f>SUM(J109:K109)</f>
        <v>550</v>
      </c>
      <c r="M109" s="46">
        <v>0.84699999999999998</v>
      </c>
      <c r="N109" s="16"/>
      <c r="O109" s="57">
        <f>M109+N109</f>
        <v>0.84699999999999998</v>
      </c>
      <c r="P109" s="57">
        <f t="shared" si="99"/>
        <v>0.154</v>
      </c>
      <c r="Q109" s="46">
        <v>14.957000000000001</v>
      </c>
      <c r="R109" s="16"/>
      <c r="S109" s="57">
        <f>Q109+R109</f>
        <v>14.957000000000001</v>
      </c>
      <c r="T109" s="57">
        <f t="shared" si="122"/>
        <v>2.7194545454545458</v>
      </c>
      <c r="U109" s="46">
        <v>49.252000000000002</v>
      </c>
      <c r="V109" s="16"/>
      <c r="W109" s="57">
        <f>U109+V109</f>
        <v>49.252000000000002</v>
      </c>
      <c r="X109" s="57">
        <f t="shared" si="123"/>
        <v>8.9549090909090907</v>
      </c>
      <c r="Y109" s="46">
        <v>499.64699999999999</v>
      </c>
      <c r="Z109" s="16"/>
      <c r="AA109" s="57">
        <f>Y109+Z109</f>
        <v>499.64699999999999</v>
      </c>
      <c r="AB109" s="57">
        <f t="shared" si="124"/>
        <v>90.844909090909084</v>
      </c>
      <c r="AC109" s="403">
        <f t="shared" si="120"/>
        <v>50.353000000000009</v>
      </c>
      <c r="AD109" s="46"/>
      <c r="AE109" s="16"/>
      <c r="AF109" s="57">
        <f>AD109+AE109</f>
        <v>0</v>
      </c>
      <c r="AG109" s="57">
        <f t="shared" si="125"/>
        <v>0</v>
      </c>
      <c r="AH109" s="16"/>
      <c r="AI109" s="366">
        <f t="shared" si="119"/>
        <v>0</v>
      </c>
      <c r="AJ109" s="57" t="s">
        <v>451</v>
      </c>
      <c r="AK109" s="191"/>
      <c r="AL109" s="437">
        <f>L109-AK109</f>
        <v>550</v>
      </c>
      <c r="AM109" s="326" t="s">
        <v>164</v>
      </c>
      <c r="AN109" s="313" t="s">
        <v>120</v>
      </c>
      <c r="AP109" s="192">
        <f>J109</f>
        <v>550</v>
      </c>
      <c r="AQ109" s="191">
        <f>K109</f>
        <v>0</v>
      </c>
    </row>
    <row r="110" spans="1:43" x14ac:dyDescent="0.2">
      <c r="A110" s="137"/>
      <c r="B110" s="29">
        <v>5512</v>
      </c>
      <c r="C110" s="29">
        <v>223</v>
      </c>
      <c r="D110" s="211" t="s">
        <v>198</v>
      </c>
      <c r="E110" s="46">
        <v>384</v>
      </c>
      <c r="F110" s="16">
        <f>6329+750</f>
        <v>7079</v>
      </c>
      <c r="G110" s="57">
        <f>E110+F110</f>
        <v>7463</v>
      </c>
      <c r="H110" s="196">
        <f>150+38.33523+32+42.037+159</f>
        <v>421.37223</v>
      </c>
      <c r="I110" s="191"/>
      <c r="J110" s="46">
        <f t="shared" si="121"/>
        <v>805.37222999999994</v>
      </c>
      <c r="K110" s="16">
        <f t="shared" si="121"/>
        <v>7079</v>
      </c>
      <c r="L110" s="57">
        <f>SUM(J110:K110)</f>
        <v>7884.3722299999999</v>
      </c>
      <c r="M110" s="46">
        <v>63.428229999999999</v>
      </c>
      <c r="N110" s="16"/>
      <c r="O110" s="57">
        <f>M110+N110</f>
        <v>63.428229999999999</v>
      </c>
      <c r="P110" s="57">
        <f t="shared" si="99"/>
        <v>0.80448040946945498</v>
      </c>
      <c r="Q110" s="46">
        <f>6596.78104-R110+6.228</f>
        <v>274.83003999999977</v>
      </c>
      <c r="R110" s="16">
        <v>6328.1790000000001</v>
      </c>
      <c r="S110" s="57">
        <f>Q110+R110</f>
        <v>6603.0090399999999</v>
      </c>
      <c r="T110" s="57">
        <f t="shared" si="122"/>
        <v>83.748063224052018</v>
      </c>
      <c r="U110" s="46">
        <f>7512.78705-V110+10</f>
        <v>445.4110499999997</v>
      </c>
      <c r="V110" s="16">
        <f>6328.179+749.197</f>
        <v>7077.3760000000002</v>
      </c>
      <c r="W110" s="57">
        <f>U110+V110</f>
        <v>7522.7870499999999</v>
      </c>
      <c r="X110" s="57">
        <f t="shared" si="123"/>
        <v>95.413900188220822</v>
      </c>
      <c r="Y110" s="46">
        <f>7911.32864-Z110</f>
        <v>833.95263999999952</v>
      </c>
      <c r="Z110" s="16">
        <f>749.197+6328.179</f>
        <v>7077.3760000000002</v>
      </c>
      <c r="AA110" s="57">
        <f>Y110+Z110</f>
        <v>7911.3286399999997</v>
      </c>
      <c r="AB110" s="57">
        <f t="shared" si="124"/>
        <v>100.34189671940439</v>
      </c>
      <c r="AC110" s="403">
        <f t="shared" si="120"/>
        <v>-26.956409999999778</v>
      </c>
      <c r="AD110" s="46">
        <v>430</v>
      </c>
      <c r="AE110" s="16"/>
      <c r="AF110" s="57">
        <f>AD110+AE110</f>
        <v>430</v>
      </c>
      <c r="AG110" s="57">
        <f t="shared" si="125"/>
        <v>5.761758006163741</v>
      </c>
      <c r="AH110" s="16"/>
      <c r="AI110" s="366">
        <f t="shared" si="119"/>
        <v>0</v>
      </c>
      <c r="AJ110" s="57"/>
      <c r="AK110" s="191"/>
      <c r="AL110" s="437">
        <f>L110-AK110</f>
        <v>7884.3722299999999</v>
      </c>
      <c r="AM110" s="65" t="s">
        <v>165</v>
      </c>
      <c r="AN110" s="432" t="s">
        <v>303</v>
      </c>
      <c r="AP110" s="415">
        <f>J110</f>
        <v>805.37222999999994</v>
      </c>
      <c r="AQ110" s="198">
        <f>K110</f>
        <v>7079</v>
      </c>
    </row>
    <row r="111" spans="1:43" x14ac:dyDescent="0.2">
      <c r="A111" s="138">
        <v>61</v>
      </c>
      <c r="B111" s="24">
        <v>6100</v>
      </c>
      <c r="C111" s="24"/>
      <c r="D111" s="427" t="s">
        <v>83</v>
      </c>
      <c r="E111" s="58">
        <f t="shared" ref="E111:O111" si="126">SUM(E112:E117)</f>
        <v>57080</v>
      </c>
      <c r="F111" s="59">
        <f t="shared" si="126"/>
        <v>2175</v>
      </c>
      <c r="G111" s="60">
        <f t="shared" si="126"/>
        <v>59255</v>
      </c>
      <c r="H111" s="194">
        <f t="shared" si="126"/>
        <v>3908.74287</v>
      </c>
      <c r="I111" s="195">
        <f t="shared" si="126"/>
        <v>50</v>
      </c>
      <c r="J111" s="58">
        <f t="shared" si="126"/>
        <v>60988.742870000002</v>
      </c>
      <c r="K111" s="59">
        <f t="shared" si="126"/>
        <v>2225</v>
      </c>
      <c r="L111" s="60">
        <f t="shared" si="126"/>
        <v>63213.742870000002</v>
      </c>
      <c r="M111" s="58">
        <f t="shared" si="126"/>
        <v>12429.453199999998</v>
      </c>
      <c r="N111" s="59">
        <f t="shared" si="126"/>
        <v>129.19999999999999</v>
      </c>
      <c r="O111" s="60">
        <f t="shared" si="126"/>
        <v>12558.653199999999</v>
      </c>
      <c r="P111" s="60">
        <f t="shared" si="99"/>
        <v>19.866966627537078</v>
      </c>
      <c r="Q111" s="58">
        <f>SUM(Q112:Q117)</f>
        <v>26497.655160000002</v>
      </c>
      <c r="R111" s="59">
        <f>SUM(R112:R117)</f>
        <v>1571.0581999999999</v>
      </c>
      <c r="S111" s="60">
        <f>SUM(S112:S117)</f>
        <v>28068.713360000002</v>
      </c>
      <c r="T111" s="60">
        <f t="shared" si="122"/>
        <v>44.402865715013469</v>
      </c>
      <c r="U111" s="58">
        <f>SUM(U112:U117)</f>
        <v>38625.829510000003</v>
      </c>
      <c r="V111" s="59">
        <f>SUM(V112:V117)</f>
        <v>2083.34665</v>
      </c>
      <c r="W111" s="60">
        <f>SUM(W112:W117)</f>
        <v>40709.176160000003</v>
      </c>
      <c r="X111" s="60">
        <f t="shared" si="123"/>
        <v>64.399249770289714</v>
      </c>
      <c r="Y111" s="58">
        <f>SUM(Y112:Y117)</f>
        <v>57040.123210000005</v>
      </c>
      <c r="Z111" s="59">
        <f>SUM(Z112:Z117)</f>
        <v>2083.34665</v>
      </c>
      <c r="AA111" s="60">
        <f>SUM(AA112:AA117)</f>
        <v>59123.469860000005</v>
      </c>
      <c r="AB111" s="60">
        <f t="shared" si="124"/>
        <v>93.529456057661847</v>
      </c>
      <c r="AC111" s="404">
        <f>SUM(AC112:AC117)</f>
        <v>4090.2730100000022</v>
      </c>
      <c r="AD111" s="58">
        <f>SUM(AD112:AD117)</f>
        <v>59596</v>
      </c>
      <c r="AE111" s="59">
        <f>SUM(AE112:AE117)</f>
        <v>1145</v>
      </c>
      <c r="AF111" s="60">
        <f>SUM(AF112:AF117)</f>
        <v>60741</v>
      </c>
      <c r="AG111" s="60">
        <f t="shared" si="125"/>
        <v>102.50780524850222</v>
      </c>
      <c r="AH111" s="59" t="e">
        <f>SUM(AH112:AH117)</f>
        <v>#REF!</v>
      </c>
      <c r="AI111" s="367" t="e">
        <f t="shared" si="119"/>
        <v>#REF!</v>
      </c>
      <c r="AJ111" s="60"/>
      <c r="AK111" s="195">
        <f>SUM(AK112:AK117)</f>
        <v>0</v>
      </c>
      <c r="AL111" s="438">
        <f>SUM(AL112:AL117)</f>
        <v>59057.72</v>
      </c>
      <c r="AM111" s="327"/>
      <c r="AN111" s="74"/>
      <c r="AP111" s="194">
        <f>SUM(AP112:AP117)</f>
        <v>58685.480130000004</v>
      </c>
      <c r="AQ111" s="195">
        <f>SUM(AQ112:AQ117)</f>
        <v>2225</v>
      </c>
    </row>
    <row r="112" spans="1:43" x14ac:dyDescent="0.2">
      <c r="A112" s="137"/>
      <c r="B112" s="29">
        <v>6112</v>
      </c>
      <c r="C112" s="29">
        <v>314</v>
      </c>
      <c r="D112" s="211" t="s">
        <v>84</v>
      </c>
      <c r="E112" s="46">
        <f>60+2552</f>
        <v>2612</v>
      </c>
      <c r="F112" s="16"/>
      <c r="G112" s="57">
        <f t="shared" ref="G112:G117" si="127">E112+F112</f>
        <v>2612</v>
      </c>
      <c r="H112" s="196">
        <v>435</v>
      </c>
      <c r="I112" s="191"/>
      <c r="J112" s="46">
        <f>E112+H112</f>
        <v>3047</v>
      </c>
      <c r="K112" s="16"/>
      <c r="L112" s="57">
        <f t="shared" ref="L112:L117" si="128">SUM(J112:K112)</f>
        <v>3047</v>
      </c>
      <c r="M112" s="46">
        <f>426.335+213.042</f>
        <v>639.37699999999995</v>
      </c>
      <c r="N112" s="16"/>
      <c r="O112" s="57">
        <f t="shared" ref="O112:O117" si="129">M112+N112</f>
        <v>639.37699999999995</v>
      </c>
      <c r="P112" s="57">
        <f t="shared" si="99"/>
        <v>20.983820150968164</v>
      </c>
      <c r="Q112" s="46">
        <f>1082.895+212.046</f>
        <v>1294.941</v>
      </c>
      <c r="R112" s="16"/>
      <c r="S112" s="57">
        <f t="shared" ref="S112:S117" si="130">Q112+R112</f>
        <v>1294.941</v>
      </c>
      <c r="T112" s="57">
        <f t="shared" si="122"/>
        <v>42.498884148342633</v>
      </c>
      <c r="U112" s="46">
        <f>1724.349+212.316</f>
        <v>1936.665</v>
      </c>
      <c r="V112" s="16"/>
      <c r="W112" s="57">
        <f t="shared" ref="W112:W117" si="131">U112+V112</f>
        <v>1936.665</v>
      </c>
      <c r="X112" s="57">
        <f t="shared" si="123"/>
        <v>63.559730882835574</v>
      </c>
      <c r="Y112" s="46">
        <v>3022.6219999999998</v>
      </c>
      <c r="Z112" s="16"/>
      <c r="AA112" s="57">
        <f t="shared" ref="AA112:AA117" si="132">Y112+Z112</f>
        <v>3022.6219999999998</v>
      </c>
      <c r="AB112" s="57">
        <f t="shared" si="124"/>
        <v>99.199934361667204</v>
      </c>
      <c r="AC112" s="403">
        <f t="shared" ref="AC112:AC117" si="133">L112-AA112</f>
        <v>24.378000000000156</v>
      </c>
      <c r="AD112" s="46">
        <f>60+2923</f>
        <v>2983</v>
      </c>
      <c r="AE112" s="16"/>
      <c r="AF112" s="57">
        <f t="shared" ref="AF112:AF117" si="134">AD112+AE112</f>
        <v>2983</v>
      </c>
      <c r="AG112" s="57">
        <f t="shared" si="125"/>
        <v>114.20367534456355</v>
      </c>
      <c r="AH112" s="16">
        <f>60+2923</f>
        <v>2983</v>
      </c>
      <c r="AI112" s="366">
        <f t="shared" si="119"/>
        <v>1.1420367534456355</v>
      </c>
      <c r="AJ112" s="57"/>
      <c r="AK112" s="191"/>
      <c r="AL112" s="437">
        <f>L112-AK112</f>
        <v>3047</v>
      </c>
      <c r="AM112" s="323" t="s">
        <v>303</v>
      </c>
      <c r="AN112" s="314" t="s">
        <v>477</v>
      </c>
      <c r="AP112" s="504">
        <f>J112+400</f>
        <v>3447</v>
      </c>
      <c r="AQ112" s="191">
        <f t="shared" ref="AQ112:AQ117" si="135">K112</f>
        <v>0</v>
      </c>
    </row>
    <row r="113" spans="1:43" x14ac:dyDescent="0.2">
      <c r="A113" s="137"/>
      <c r="B113" s="29">
        <v>6118</v>
      </c>
      <c r="C113" s="29">
        <v>110</v>
      </c>
      <c r="D113" s="211" t="s">
        <v>441</v>
      </c>
      <c r="E113" s="46">
        <v>200</v>
      </c>
      <c r="F113" s="16"/>
      <c r="G113" s="57">
        <f t="shared" si="127"/>
        <v>200</v>
      </c>
      <c r="H113" s="196">
        <f>240+73.892</f>
        <v>313.892</v>
      </c>
      <c r="I113" s="191"/>
      <c r="J113" s="46">
        <f>E113+H113</f>
        <v>513.89200000000005</v>
      </c>
      <c r="K113" s="16"/>
      <c r="L113" s="57">
        <f t="shared" si="128"/>
        <v>513.89200000000005</v>
      </c>
      <c r="M113" s="46">
        <v>199.708</v>
      </c>
      <c r="N113" s="16"/>
      <c r="O113" s="57">
        <f t="shared" si="129"/>
        <v>199.708</v>
      </c>
      <c r="P113" s="57"/>
      <c r="Q113" s="46">
        <v>199.708</v>
      </c>
      <c r="R113" s="16"/>
      <c r="S113" s="57">
        <f t="shared" si="130"/>
        <v>199.708</v>
      </c>
      <c r="T113" s="57">
        <f t="shared" si="122"/>
        <v>38.861862025483951</v>
      </c>
      <c r="U113" s="46">
        <f>199.708+44.237</f>
        <v>243.94499999999999</v>
      </c>
      <c r="V113" s="16"/>
      <c r="W113" s="57">
        <f t="shared" si="131"/>
        <v>243.94499999999999</v>
      </c>
      <c r="X113" s="57">
        <f t="shared" si="123"/>
        <v>47.470090991881555</v>
      </c>
      <c r="Y113" s="46">
        <f>319.292+199.708</f>
        <v>519</v>
      </c>
      <c r="Z113" s="16"/>
      <c r="AA113" s="57">
        <f t="shared" si="132"/>
        <v>519</v>
      </c>
      <c r="AB113" s="57">
        <f>AA113/$L113*100</f>
        <v>100.99398317156133</v>
      </c>
      <c r="AC113" s="403">
        <f t="shared" si="133"/>
        <v>-5.1079999999999472</v>
      </c>
      <c r="AD113" s="46"/>
      <c r="AE113" s="16"/>
      <c r="AF113" s="57">
        <f t="shared" si="134"/>
        <v>0</v>
      </c>
      <c r="AG113" s="57"/>
      <c r="AH113" s="16"/>
      <c r="AI113" s="366"/>
      <c r="AJ113" s="57"/>
      <c r="AK113" s="191"/>
      <c r="AL113" s="437"/>
      <c r="AM113" s="323"/>
      <c r="AN113" s="314" t="s">
        <v>398</v>
      </c>
      <c r="AP113" s="192">
        <f>J113</f>
        <v>513.89200000000005</v>
      </c>
      <c r="AQ113" s="191">
        <f t="shared" si="135"/>
        <v>0</v>
      </c>
    </row>
    <row r="114" spans="1:43" x14ac:dyDescent="0.2">
      <c r="A114" s="137"/>
      <c r="B114" s="29">
        <v>6171</v>
      </c>
      <c r="C114" s="29">
        <v>314</v>
      </c>
      <c r="D114" s="211" t="s">
        <v>98</v>
      </c>
      <c r="E114" s="46">
        <v>50098</v>
      </c>
      <c r="F114" s="16">
        <v>2175</v>
      </c>
      <c r="G114" s="57">
        <f t="shared" si="127"/>
        <v>52273</v>
      </c>
      <c r="H114" s="192">
        <f>217.72+24.45+88+687.5+40.05</f>
        <v>1057.72</v>
      </c>
      <c r="I114" s="193">
        <v>50</v>
      </c>
      <c r="J114" s="46">
        <f t="shared" ref="J114:K117" si="136">E114+H114</f>
        <v>51155.72</v>
      </c>
      <c r="K114" s="16">
        <f t="shared" si="136"/>
        <v>2225</v>
      </c>
      <c r="L114" s="57">
        <f t="shared" si="128"/>
        <v>53380.72</v>
      </c>
      <c r="M114" s="46">
        <f>8114.54245-N114+2864.044</f>
        <v>10849.38645</v>
      </c>
      <c r="N114" s="16">
        <v>129.19999999999999</v>
      </c>
      <c r="O114" s="57">
        <f t="shared" si="129"/>
        <v>10978.586450000001</v>
      </c>
      <c r="P114" s="57">
        <f>O114/$L114*100</f>
        <v>20.566576190804469</v>
      </c>
      <c r="Q114" s="46">
        <f>20945.02294-R114+3066.544</f>
        <v>22440.508739999997</v>
      </c>
      <c r="R114" s="16">
        <v>1571.0581999999999</v>
      </c>
      <c r="S114" s="57">
        <f t="shared" si="130"/>
        <v>24011.566939999997</v>
      </c>
      <c r="T114" s="57">
        <f t="shared" si="122"/>
        <v>44.981721752722699</v>
      </c>
      <c r="U114" s="46">
        <f>32248.42793-V114+3110.514</f>
        <v>33275.595280000001</v>
      </c>
      <c r="V114" s="16">
        <f>1571.0582+320.98+191.30845</f>
        <v>2083.34665</v>
      </c>
      <c r="W114" s="57">
        <f t="shared" si="131"/>
        <v>35358.941930000001</v>
      </c>
      <c r="X114" s="57">
        <f t="shared" si="123"/>
        <v>66.239162622759679</v>
      </c>
      <c r="Y114" s="46">
        <f>50996.54453-Z114</f>
        <v>48913.19788</v>
      </c>
      <c r="Z114" s="16">
        <f>1571.0582+320.98+191.30845</f>
        <v>2083.34665</v>
      </c>
      <c r="AA114" s="57">
        <f t="shared" si="132"/>
        <v>50996.544529999999</v>
      </c>
      <c r="AB114" s="57">
        <f t="shared" si="124"/>
        <v>95.533639355182913</v>
      </c>
      <c r="AC114" s="403">
        <f t="shared" si="133"/>
        <v>2384.175470000002</v>
      </c>
      <c r="AD114" s="46">
        <v>55000</v>
      </c>
      <c r="AE114" s="16">
        <v>1145</v>
      </c>
      <c r="AF114" s="57">
        <f t="shared" si="134"/>
        <v>56145</v>
      </c>
      <c r="AG114" s="57">
        <f t="shared" si="125"/>
        <v>107.40726570122243</v>
      </c>
      <c r="AH114" s="16" t="e">
        <f>#REF!</f>
        <v>#REF!</v>
      </c>
      <c r="AI114" s="366" t="e">
        <f>AH114/G114</f>
        <v>#REF!</v>
      </c>
      <c r="AJ114" s="57"/>
      <c r="AK114" s="193"/>
      <c r="AL114" s="437">
        <f>L114-AK114</f>
        <v>53380.72</v>
      </c>
      <c r="AM114" s="332" t="s">
        <v>189</v>
      </c>
      <c r="AN114" s="74"/>
      <c r="AP114" s="504">
        <f>J114-300</f>
        <v>50855.72</v>
      </c>
      <c r="AQ114" s="191">
        <f t="shared" si="135"/>
        <v>2225</v>
      </c>
    </row>
    <row r="115" spans="1:43" x14ac:dyDescent="0.2">
      <c r="A115" s="137"/>
      <c r="B115" s="29">
        <v>6171</v>
      </c>
      <c r="C115" s="29">
        <v>3005</v>
      </c>
      <c r="D115" s="429" t="s">
        <v>344</v>
      </c>
      <c r="E115" s="46">
        <v>1275</v>
      </c>
      <c r="F115" s="16"/>
      <c r="G115" s="57">
        <f t="shared" si="127"/>
        <v>1275</v>
      </c>
      <c r="H115" s="192">
        <v>221.9</v>
      </c>
      <c r="I115" s="193"/>
      <c r="J115" s="46">
        <f>E115+H115</f>
        <v>1496.9</v>
      </c>
      <c r="K115" s="16"/>
      <c r="L115" s="57">
        <f t="shared" si="128"/>
        <v>1496.9</v>
      </c>
      <c r="M115" s="46">
        <f>149.554+85.879</f>
        <v>235.43299999999999</v>
      </c>
      <c r="N115" s="16"/>
      <c r="O115" s="57">
        <f t="shared" si="129"/>
        <v>235.43299999999999</v>
      </c>
      <c r="P115" s="57">
        <f>O115/$L115*100</f>
        <v>15.728037945086509</v>
      </c>
      <c r="Q115" s="46">
        <f>365.027+73.868</f>
        <v>438.89499999999998</v>
      </c>
      <c r="R115" s="16"/>
      <c r="S115" s="57">
        <f t="shared" si="130"/>
        <v>438.89499999999998</v>
      </c>
      <c r="T115" s="57">
        <f t="shared" si="122"/>
        <v>29.320261874540716</v>
      </c>
      <c r="U115" s="46">
        <f>566.947+74.981</f>
        <v>641.928</v>
      </c>
      <c r="V115" s="16"/>
      <c r="W115" s="57">
        <f t="shared" si="131"/>
        <v>641.928</v>
      </c>
      <c r="X115" s="57">
        <f t="shared" si="123"/>
        <v>42.8838265749215</v>
      </c>
      <c r="Y115" s="46">
        <v>1027.8205</v>
      </c>
      <c r="Z115" s="16"/>
      <c r="AA115" s="57">
        <f t="shared" si="132"/>
        <v>1027.8205</v>
      </c>
      <c r="AB115" s="57">
        <f t="shared" si="124"/>
        <v>68.66327075956977</v>
      </c>
      <c r="AC115" s="403">
        <f t="shared" si="133"/>
        <v>469.07950000000005</v>
      </c>
      <c r="AD115" s="46">
        <v>13</v>
      </c>
      <c r="AE115" s="16"/>
      <c r="AF115" s="57">
        <f t="shared" si="134"/>
        <v>13</v>
      </c>
      <c r="AG115" s="57">
        <f t="shared" si="125"/>
        <v>1.0196078431372551</v>
      </c>
      <c r="AH115" s="16">
        <v>0</v>
      </c>
      <c r="AI115" s="366"/>
      <c r="AJ115" s="414" t="s">
        <v>468</v>
      </c>
      <c r="AK115" s="193"/>
      <c r="AL115" s="437"/>
      <c r="AM115" s="62" t="s">
        <v>293</v>
      </c>
      <c r="AN115" s="313" t="s">
        <v>120</v>
      </c>
      <c r="AO115" s="117" t="s">
        <v>445</v>
      </c>
      <c r="AP115" s="504">
        <f>U115+300</f>
        <v>941.928</v>
      </c>
      <c r="AQ115" s="191">
        <f t="shared" si="135"/>
        <v>0</v>
      </c>
    </row>
    <row r="116" spans="1:43" x14ac:dyDescent="0.2">
      <c r="A116" s="137"/>
      <c r="B116" s="29">
        <v>6171</v>
      </c>
      <c r="C116" s="29">
        <v>6206</v>
      </c>
      <c r="D116" s="429" t="s">
        <v>346</v>
      </c>
      <c r="E116" s="46">
        <v>2095</v>
      </c>
      <c r="F116" s="16"/>
      <c r="G116" s="57">
        <f t="shared" si="127"/>
        <v>2095</v>
      </c>
      <c r="H116" s="192">
        <v>50.230870000000003</v>
      </c>
      <c r="I116" s="193"/>
      <c r="J116" s="46">
        <f>E116+H116</f>
        <v>2145.2308699999999</v>
      </c>
      <c r="K116" s="16"/>
      <c r="L116" s="57">
        <f t="shared" si="128"/>
        <v>2145.2308699999999</v>
      </c>
      <c r="M116" s="46">
        <f>195.48595+68.991</f>
        <v>264.47694999999999</v>
      </c>
      <c r="N116" s="16"/>
      <c r="O116" s="57">
        <f t="shared" si="129"/>
        <v>264.47694999999999</v>
      </c>
      <c r="P116" s="57">
        <f>O116/$L116*100</f>
        <v>12.328600790645904</v>
      </c>
      <c r="Q116" s="46">
        <f>473.71182+109.202</f>
        <v>582.91381999999999</v>
      </c>
      <c r="R116" s="16"/>
      <c r="S116" s="57">
        <f t="shared" si="130"/>
        <v>582.91381999999999</v>
      </c>
      <c r="T116" s="57">
        <f t="shared" si="122"/>
        <v>27.172544836631037</v>
      </c>
      <c r="U116" s="46">
        <f>737.69413+59.246</f>
        <v>796.94012999999995</v>
      </c>
      <c r="V116" s="16"/>
      <c r="W116" s="57">
        <f t="shared" si="131"/>
        <v>796.94012999999995</v>
      </c>
      <c r="X116" s="57">
        <f t="shared" si="123"/>
        <v>37.149387562188117</v>
      </c>
      <c r="Y116" s="46">
        <f>1136.45613</f>
        <v>1136.45613</v>
      </c>
      <c r="Z116" s="16"/>
      <c r="AA116" s="57">
        <f t="shared" si="132"/>
        <v>1136.45613</v>
      </c>
      <c r="AB116" s="57">
        <f t="shared" si="124"/>
        <v>52.97593587211432</v>
      </c>
      <c r="AC116" s="403">
        <f t="shared" si="133"/>
        <v>1008.7747399999998</v>
      </c>
      <c r="AD116" s="46">
        <v>800</v>
      </c>
      <c r="AE116" s="16"/>
      <c r="AF116" s="57">
        <f t="shared" si="134"/>
        <v>800</v>
      </c>
      <c r="AG116" s="57">
        <f t="shared" si="125"/>
        <v>38.186157517899758</v>
      </c>
      <c r="AH116" s="16">
        <v>674</v>
      </c>
      <c r="AI116" s="366"/>
      <c r="AJ116" s="414" t="s">
        <v>347</v>
      </c>
      <c r="AK116" s="193"/>
      <c r="AL116" s="437"/>
      <c r="AM116" s="62" t="s">
        <v>293</v>
      </c>
      <c r="AN116" s="57" t="s">
        <v>314</v>
      </c>
      <c r="AP116" s="504">
        <f>U116+300</f>
        <v>1096.94013</v>
      </c>
      <c r="AQ116" s="191">
        <f t="shared" si="135"/>
        <v>0</v>
      </c>
    </row>
    <row r="117" spans="1:43" x14ac:dyDescent="0.2">
      <c r="A117" s="137"/>
      <c r="B117" s="29">
        <v>6171</v>
      </c>
      <c r="C117" s="29">
        <v>318</v>
      </c>
      <c r="D117" s="211" t="s">
        <v>249</v>
      </c>
      <c r="E117" s="46">
        <v>800</v>
      </c>
      <c r="F117" s="16"/>
      <c r="G117" s="57">
        <f t="shared" si="127"/>
        <v>800</v>
      </c>
      <c r="H117" s="192">
        <f>900+1200-270</f>
        <v>1830</v>
      </c>
      <c r="I117" s="193"/>
      <c r="J117" s="46">
        <f t="shared" si="136"/>
        <v>2630</v>
      </c>
      <c r="K117" s="16">
        <f t="shared" si="136"/>
        <v>0</v>
      </c>
      <c r="L117" s="57">
        <f t="shared" si="128"/>
        <v>2630</v>
      </c>
      <c r="M117" s="46">
        <v>241.0718</v>
      </c>
      <c r="N117" s="16"/>
      <c r="O117" s="57">
        <f t="shared" si="129"/>
        <v>241.0718</v>
      </c>
      <c r="P117" s="57">
        <f t="shared" si="99"/>
        <v>9.166228136882129</v>
      </c>
      <c r="Q117" s="46">
        <v>1540.6886</v>
      </c>
      <c r="R117" s="16"/>
      <c r="S117" s="57">
        <f t="shared" si="130"/>
        <v>1540.6886</v>
      </c>
      <c r="T117" s="57">
        <f t="shared" si="122"/>
        <v>58.581315589353608</v>
      </c>
      <c r="U117" s="46">
        <v>1730.7561000000001</v>
      </c>
      <c r="V117" s="16"/>
      <c r="W117" s="57">
        <f t="shared" si="131"/>
        <v>1730.7561000000001</v>
      </c>
      <c r="X117" s="57">
        <f t="shared" si="123"/>
        <v>65.808216730038026</v>
      </c>
      <c r="Y117" s="46">
        <v>2421.0266999999999</v>
      </c>
      <c r="Z117" s="16"/>
      <c r="AA117" s="57">
        <f t="shared" si="132"/>
        <v>2421.0266999999999</v>
      </c>
      <c r="AB117" s="57">
        <f t="shared" si="124"/>
        <v>92.054247148288965</v>
      </c>
      <c r="AC117" s="403">
        <f t="shared" si="133"/>
        <v>208.97330000000011</v>
      </c>
      <c r="AD117" s="46">
        <v>800</v>
      </c>
      <c r="AE117" s="16"/>
      <c r="AF117" s="57">
        <f t="shared" si="134"/>
        <v>800</v>
      </c>
      <c r="AG117" s="57">
        <f t="shared" ref="AG117:AG126" si="137">AF117/$G117*100</f>
        <v>100</v>
      </c>
      <c r="AH117" s="16">
        <f>800+40</f>
        <v>840</v>
      </c>
      <c r="AI117" s="366">
        <f t="shared" ref="AI117:AI125" si="138">AH117/G117</f>
        <v>1.05</v>
      </c>
      <c r="AJ117" s="57"/>
      <c r="AK117" s="193"/>
      <c r="AL117" s="437">
        <f>L117-AK117</f>
        <v>2630</v>
      </c>
      <c r="AM117" s="324" t="s">
        <v>164</v>
      </c>
      <c r="AN117" s="315" t="s">
        <v>68</v>
      </c>
      <c r="AP117" s="507">
        <f>J117-800</f>
        <v>1830</v>
      </c>
      <c r="AQ117" s="198">
        <f t="shared" si="135"/>
        <v>0</v>
      </c>
    </row>
    <row r="118" spans="1:43" x14ac:dyDescent="0.2">
      <c r="A118" s="138" t="s">
        <v>85</v>
      </c>
      <c r="B118" s="24">
        <v>6300</v>
      </c>
      <c r="C118" s="24"/>
      <c r="D118" s="427" t="s">
        <v>86</v>
      </c>
      <c r="E118" s="58">
        <f>SUM(E119:E125)</f>
        <v>5045</v>
      </c>
      <c r="F118" s="59">
        <f>SUM(F119:F125)</f>
        <v>700</v>
      </c>
      <c r="G118" s="60">
        <f>SUM(G119:G125)</f>
        <v>5745</v>
      </c>
      <c r="H118" s="194">
        <f t="shared" ref="H118:O118" si="139">SUM(H119:H125)</f>
        <v>-2542.7138699999996</v>
      </c>
      <c r="I118" s="195">
        <f t="shared" si="139"/>
        <v>-700</v>
      </c>
      <c r="J118" s="58">
        <f t="shared" si="139"/>
        <v>2502.28613</v>
      </c>
      <c r="K118" s="59">
        <f t="shared" si="139"/>
        <v>0</v>
      </c>
      <c r="L118" s="60">
        <f t="shared" si="139"/>
        <v>2502.28613</v>
      </c>
      <c r="M118" s="58">
        <f t="shared" si="139"/>
        <v>3960.6526600000002</v>
      </c>
      <c r="N118" s="59">
        <f t="shared" si="139"/>
        <v>0</v>
      </c>
      <c r="O118" s="60">
        <f t="shared" si="139"/>
        <v>3960.6526600000002</v>
      </c>
      <c r="P118" s="60">
        <f t="shared" si="99"/>
        <v>158.28136568858335</v>
      </c>
      <c r="Q118" s="58">
        <f>SUM(Q119:Q125)</f>
        <v>1527.0048300000001</v>
      </c>
      <c r="R118" s="59">
        <f>SUM(R119:R125)</f>
        <v>0</v>
      </c>
      <c r="S118" s="60">
        <f>SUM(S119:S125)</f>
        <v>1527.0048300000001</v>
      </c>
      <c r="T118" s="60">
        <f t="shared" si="122"/>
        <v>61.024389325132859</v>
      </c>
      <c r="U118" s="58">
        <f>SUM(U119:U125)</f>
        <v>1721.5737900000001</v>
      </c>
      <c r="V118" s="59">
        <f>SUM(V119:V125)</f>
        <v>0</v>
      </c>
      <c r="W118" s="60">
        <f>SUM(W119:W125)</f>
        <v>1721.5737900000001</v>
      </c>
      <c r="X118" s="60">
        <f t="shared" si="123"/>
        <v>68.800037268319912</v>
      </c>
      <c r="Y118" s="58">
        <f>SUM(Y119:Y125)</f>
        <v>1879.2448400000001</v>
      </c>
      <c r="Z118" s="59">
        <f>SUM(Z119:Z125)</f>
        <v>0</v>
      </c>
      <c r="AA118" s="60">
        <f>SUM(AA119:AA125)</f>
        <v>1879.2448400000001</v>
      </c>
      <c r="AB118" s="60">
        <f t="shared" si="124"/>
        <v>75.101117233143924</v>
      </c>
      <c r="AC118" s="404">
        <f>SUM(AC119:AC125)</f>
        <v>623.04129000000046</v>
      </c>
      <c r="AD118" s="58">
        <f>SUM(AD119:AD125)</f>
        <v>5693</v>
      </c>
      <c r="AE118" s="59">
        <f>SUM(AE119:AE125)</f>
        <v>0</v>
      </c>
      <c r="AF118" s="60">
        <f>SUM(AF119:AF125)</f>
        <v>5693</v>
      </c>
      <c r="AG118" s="60">
        <f t="shared" si="137"/>
        <v>99.094865100087034</v>
      </c>
      <c r="AH118" s="59">
        <f>SUM(AH119:AH125)</f>
        <v>3875</v>
      </c>
      <c r="AI118" s="367">
        <f t="shared" si="138"/>
        <v>0.67449956483899043</v>
      </c>
      <c r="AJ118" s="60"/>
      <c r="AK118" s="195">
        <f>SUM(AK119:AK125)</f>
        <v>0</v>
      </c>
      <c r="AL118" s="438">
        <f>SUM(AL119:AL125)</f>
        <v>1848.6703200000002</v>
      </c>
      <c r="AM118" s="327"/>
      <c r="AN118" s="74"/>
      <c r="AP118" s="194">
        <f>SUM(AP119:AP125)</f>
        <v>2149.6814300000001</v>
      </c>
      <c r="AQ118" s="195">
        <f>SUM(AQ119:AQ125)</f>
        <v>0</v>
      </c>
    </row>
    <row r="119" spans="1:43" x14ac:dyDescent="0.2">
      <c r="A119" s="137"/>
      <c r="B119" s="29">
        <v>6320</v>
      </c>
      <c r="C119" s="29">
        <v>314</v>
      </c>
      <c r="D119" s="211" t="s">
        <v>199</v>
      </c>
      <c r="E119" s="46">
        <v>200</v>
      </c>
      <c r="F119" s="16"/>
      <c r="G119" s="57">
        <f t="shared" ref="G119:G125" si="140">E119+F119</f>
        <v>200</v>
      </c>
      <c r="H119" s="192"/>
      <c r="I119" s="191"/>
      <c r="J119" s="46">
        <f t="shared" ref="J119:J125" si="141">E119+H119</f>
        <v>200</v>
      </c>
      <c r="K119" s="16"/>
      <c r="L119" s="57">
        <f t="shared" ref="L119:L125" si="142">SUM(J119:K119)</f>
        <v>200</v>
      </c>
      <c r="M119" s="46">
        <v>157.01</v>
      </c>
      <c r="N119" s="16"/>
      <c r="O119" s="57">
        <f t="shared" ref="O119:O125" si="143">M119+N119</f>
        <v>157.01</v>
      </c>
      <c r="P119" s="57">
        <f t="shared" si="99"/>
        <v>78.504999999999995</v>
      </c>
      <c r="Q119" s="46">
        <v>153.16999999999999</v>
      </c>
      <c r="R119" s="16"/>
      <c r="S119" s="57">
        <f t="shared" ref="S119:S125" si="144">Q119+R119</f>
        <v>153.16999999999999</v>
      </c>
      <c r="T119" s="57">
        <f t="shared" si="122"/>
        <v>76.584999999999994</v>
      </c>
      <c r="U119" s="46">
        <v>153.16999999999999</v>
      </c>
      <c r="V119" s="16"/>
      <c r="W119" s="57">
        <f t="shared" ref="W119:W125" si="145">U119+V119</f>
        <v>153.16999999999999</v>
      </c>
      <c r="X119" s="57">
        <f t="shared" si="123"/>
        <v>76.584999999999994</v>
      </c>
      <c r="Y119" s="46">
        <v>153.16999999999999</v>
      </c>
      <c r="Z119" s="16"/>
      <c r="AA119" s="57">
        <f t="shared" ref="AA119:AA125" si="146">Y119+Z119</f>
        <v>153.16999999999999</v>
      </c>
      <c r="AB119" s="57">
        <f t="shared" si="124"/>
        <v>76.584999999999994</v>
      </c>
      <c r="AC119" s="403">
        <f t="shared" ref="AC119:AC125" si="147">L119-AA119</f>
        <v>46.830000000000013</v>
      </c>
      <c r="AD119" s="46">
        <v>200</v>
      </c>
      <c r="AE119" s="16"/>
      <c r="AF119" s="57">
        <f t="shared" ref="AF119:AF125" si="148">AD119+AE119</f>
        <v>200</v>
      </c>
      <c r="AG119" s="57">
        <f t="shared" si="137"/>
        <v>100</v>
      </c>
      <c r="AH119" s="16">
        <v>200</v>
      </c>
      <c r="AI119" s="366">
        <f t="shared" si="138"/>
        <v>1</v>
      </c>
      <c r="AJ119" s="57"/>
      <c r="AK119" s="191"/>
      <c r="AL119" s="437">
        <f t="shared" ref="AL119:AL125" si="149">L119-AK119</f>
        <v>200</v>
      </c>
      <c r="AM119" s="328" t="s">
        <v>335</v>
      </c>
      <c r="AN119" s="313" t="s">
        <v>68</v>
      </c>
      <c r="AP119" s="192">
        <f t="shared" ref="AP119:AP125" si="150">J119</f>
        <v>200</v>
      </c>
      <c r="AQ119" s="191">
        <f t="shared" ref="AQ119:AQ125" si="151">K119</f>
        <v>0</v>
      </c>
    </row>
    <row r="120" spans="1:43" x14ac:dyDescent="0.2">
      <c r="A120" s="137"/>
      <c r="B120" s="29">
        <v>6399</v>
      </c>
      <c r="C120" s="29">
        <v>314</v>
      </c>
      <c r="D120" s="211" t="s">
        <v>250</v>
      </c>
      <c r="E120" s="46">
        <v>70</v>
      </c>
      <c r="F120" s="16"/>
      <c r="G120" s="57">
        <f t="shared" si="140"/>
        <v>70</v>
      </c>
      <c r="H120" s="192"/>
      <c r="I120" s="191"/>
      <c r="J120" s="46">
        <f t="shared" si="141"/>
        <v>70</v>
      </c>
      <c r="K120" s="16"/>
      <c r="L120" s="57">
        <f t="shared" si="142"/>
        <v>70</v>
      </c>
      <c r="M120" s="46"/>
      <c r="N120" s="16"/>
      <c r="O120" s="57">
        <f t="shared" si="143"/>
        <v>0</v>
      </c>
      <c r="P120" s="57">
        <f t="shared" si="99"/>
        <v>0</v>
      </c>
      <c r="Q120" s="46">
        <v>12.45</v>
      </c>
      <c r="R120" s="16"/>
      <c r="S120" s="57">
        <f t="shared" si="144"/>
        <v>12.45</v>
      </c>
      <c r="T120" s="57">
        <f t="shared" si="122"/>
        <v>17.785714285714285</v>
      </c>
      <c r="U120" s="46">
        <v>22.38</v>
      </c>
      <c r="V120" s="16"/>
      <c r="W120" s="57">
        <f t="shared" si="145"/>
        <v>22.38</v>
      </c>
      <c r="X120" s="57">
        <f t="shared" si="123"/>
        <v>31.971428571428568</v>
      </c>
      <c r="Y120" s="46">
        <v>64.814999999999998</v>
      </c>
      <c r="Z120" s="16"/>
      <c r="AA120" s="57">
        <f t="shared" si="146"/>
        <v>64.814999999999998</v>
      </c>
      <c r="AB120" s="57">
        <f t="shared" si="124"/>
        <v>92.592857142857142</v>
      </c>
      <c r="AC120" s="403">
        <f t="shared" si="147"/>
        <v>5.1850000000000023</v>
      </c>
      <c r="AD120" s="46">
        <v>70</v>
      </c>
      <c r="AE120" s="16"/>
      <c r="AF120" s="57">
        <f t="shared" si="148"/>
        <v>70</v>
      </c>
      <c r="AG120" s="57">
        <f t="shared" si="137"/>
        <v>100</v>
      </c>
      <c r="AH120" s="16">
        <v>70</v>
      </c>
      <c r="AI120" s="366">
        <f t="shared" si="138"/>
        <v>1</v>
      </c>
      <c r="AJ120" s="57"/>
      <c r="AK120" s="191"/>
      <c r="AL120" s="437">
        <f t="shared" si="149"/>
        <v>70</v>
      </c>
      <c r="AM120" s="333" t="s">
        <v>70</v>
      </c>
      <c r="AN120" s="314" t="s">
        <v>477</v>
      </c>
      <c r="AP120" s="192">
        <f t="shared" si="150"/>
        <v>70</v>
      </c>
      <c r="AQ120" s="191">
        <f t="shared" si="151"/>
        <v>0</v>
      </c>
    </row>
    <row r="121" spans="1:43" x14ac:dyDescent="0.2">
      <c r="A121" s="137"/>
      <c r="B121" s="29">
        <v>6399</v>
      </c>
      <c r="C121" s="29">
        <v>315</v>
      </c>
      <c r="D121" s="211" t="s">
        <v>87</v>
      </c>
      <c r="E121" s="46">
        <v>2536</v>
      </c>
      <c r="F121" s="16"/>
      <c r="G121" s="57">
        <f t="shared" si="140"/>
        <v>2536</v>
      </c>
      <c r="H121" s="192"/>
      <c r="I121" s="191"/>
      <c r="J121" s="46">
        <f t="shared" si="141"/>
        <v>2536</v>
      </c>
      <c r="K121" s="16"/>
      <c r="L121" s="57">
        <f t="shared" si="142"/>
        <v>2536</v>
      </c>
      <c r="M121" s="46">
        <v>2535.7399999999998</v>
      </c>
      <c r="N121" s="16"/>
      <c r="O121" s="57">
        <f t="shared" si="143"/>
        <v>2535.7399999999998</v>
      </c>
      <c r="P121" s="57">
        <f t="shared" si="99"/>
        <v>99.989747634069388</v>
      </c>
      <c r="Q121" s="46">
        <v>2535.7399999999998</v>
      </c>
      <c r="R121" s="16"/>
      <c r="S121" s="57">
        <f t="shared" si="144"/>
        <v>2535.7399999999998</v>
      </c>
      <c r="T121" s="57">
        <f t="shared" si="122"/>
        <v>99.989747634069388</v>
      </c>
      <c r="U121" s="46">
        <v>2535.7399999999998</v>
      </c>
      <c r="V121" s="16"/>
      <c r="W121" s="57">
        <f t="shared" si="145"/>
        <v>2535.7399999999998</v>
      </c>
      <c r="X121" s="57">
        <f t="shared" si="123"/>
        <v>99.989747634069388</v>
      </c>
      <c r="Y121" s="46">
        <v>2535.7399999999998</v>
      </c>
      <c r="Z121" s="16"/>
      <c r="AA121" s="57">
        <f t="shared" si="146"/>
        <v>2535.7399999999998</v>
      </c>
      <c r="AB121" s="57">
        <f t="shared" si="124"/>
        <v>99.989747634069388</v>
      </c>
      <c r="AC121" s="403">
        <f t="shared" si="147"/>
        <v>0.26000000000021828</v>
      </c>
      <c r="AD121" s="46">
        <v>2594</v>
      </c>
      <c r="AE121" s="16"/>
      <c r="AF121" s="57">
        <f t="shared" si="148"/>
        <v>2594</v>
      </c>
      <c r="AG121" s="57">
        <f t="shared" si="137"/>
        <v>102.2870662460568</v>
      </c>
      <c r="AH121" s="16">
        <v>2536</v>
      </c>
      <c r="AI121" s="366">
        <f t="shared" si="138"/>
        <v>1</v>
      </c>
      <c r="AJ121" s="57" t="s">
        <v>200</v>
      </c>
      <c r="AK121" s="191"/>
      <c r="AL121" s="437">
        <f t="shared" si="149"/>
        <v>2536</v>
      </c>
      <c r="AM121" s="325" t="s">
        <v>206</v>
      </c>
      <c r="AN121" s="311" t="s">
        <v>70</v>
      </c>
      <c r="AP121" s="192">
        <f t="shared" si="150"/>
        <v>2536</v>
      </c>
      <c r="AQ121" s="191">
        <f t="shared" si="151"/>
        <v>0</v>
      </c>
    </row>
    <row r="122" spans="1:43" x14ac:dyDescent="0.2">
      <c r="A122" s="137"/>
      <c r="B122" s="29">
        <v>6399</v>
      </c>
      <c r="C122" s="29">
        <v>665</v>
      </c>
      <c r="D122" s="211" t="s">
        <v>256</v>
      </c>
      <c r="E122" s="46">
        <v>1275</v>
      </c>
      <c r="F122" s="16"/>
      <c r="G122" s="57">
        <f t="shared" si="140"/>
        <v>1275</v>
      </c>
      <c r="H122" s="192">
        <f>-2537.85-73.892</f>
        <v>-2611.7419999999997</v>
      </c>
      <c r="I122" s="191"/>
      <c r="J122" s="46">
        <f t="shared" si="141"/>
        <v>-1336.7419999999997</v>
      </c>
      <c r="K122" s="16"/>
      <c r="L122" s="57">
        <f t="shared" si="142"/>
        <v>-1336.7419999999997</v>
      </c>
      <c r="M122" s="46">
        <v>268.77217000000002</v>
      </c>
      <c r="N122" s="16"/>
      <c r="O122" s="57">
        <f t="shared" si="143"/>
        <v>268.77217000000002</v>
      </c>
      <c r="P122" s="57">
        <f t="shared" si="99"/>
        <v>-20.106510456019191</v>
      </c>
      <c r="Q122" s="46">
        <v>-2173.9856599999998</v>
      </c>
      <c r="R122" s="16"/>
      <c r="S122" s="57">
        <f t="shared" si="144"/>
        <v>-2173.9856599999998</v>
      </c>
      <c r="T122" s="57">
        <f t="shared" si="122"/>
        <v>162.6331528447524</v>
      </c>
      <c r="U122" s="46">
        <v>-1989.3467000000001</v>
      </c>
      <c r="V122" s="16"/>
      <c r="W122" s="57">
        <f t="shared" si="145"/>
        <v>-1989.3467000000001</v>
      </c>
      <c r="X122" s="57">
        <f t="shared" si="123"/>
        <v>148.82054278237689</v>
      </c>
      <c r="Y122" s="46">
        <v>-1902.0314599999999</v>
      </c>
      <c r="Z122" s="16"/>
      <c r="AA122" s="57">
        <f t="shared" si="146"/>
        <v>-1902.0314599999999</v>
      </c>
      <c r="AB122" s="57">
        <f t="shared" si="124"/>
        <v>142.28859869743005</v>
      </c>
      <c r="AC122" s="403">
        <f t="shared" si="147"/>
        <v>565.28946000000019</v>
      </c>
      <c r="AD122" s="46">
        <v>2271</v>
      </c>
      <c r="AE122" s="16"/>
      <c r="AF122" s="57">
        <f t="shared" si="148"/>
        <v>2271</v>
      </c>
      <c r="AG122" s="57">
        <f t="shared" si="137"/>
        <v>178.11764705882354</v>
      </c>
      <c r="AH122" s="16">
        <v>690</v>
      </c>
      <c r="AI122" s="366">
        <f t="shared" si="138"/>
        <v>0.54117647058823526</v>
      </c>
      <c r="AJ122" s="57" t="s">
        <v>575</v>
      </c>
      <c r="AK122" s="191"/>
      <c r="AL122" s="437">
        <f t="shared" si="149"/>
        <v>-1336.7419999999997</v>
      </c>
      <c r="AM122" s="325" t="s">
        <v>206</v>
      </c>
      <c r="AN122" s="311" t="s">
        <v>70</v>
      </c>
      <c r="AO122" s="148">
        <f>L122-2538</f>
        <v>-3874.7419999999997</v>
      </c>
      <c r="AP122" s="504">
        <f>U122+300</f>
        <v>-1689.3467000000001</v>
      </c>
      <c r="AQ122" s="191">
        <f t="shared" si="151"/>
        <v>0</v>
      </c>
    </row>
    <row r="123" spans="1:43" x14ac:dyDescent="0.2">
      <c r="A123" s="137"/>
      <c r="B123" s="29">
        <v>6402</v>
      </c>
      <c r="C123" s="29"/>
      <c r="D123" s="211" t="s">
        <v>361</v>
      </c>
      <c r="E123" s="46">
        <v>17</v>
      </c>
      <c r="F123" s="16"/>
      <c r="G123" s="57">
        <f t="shared" si="140"/>
        <v>17</v>
      </c>
      <c r="H123" s="192">
        <f>608.695+27.92081</f>
        <v>636.61581000000001</v>
      </c>
      <c r="I123" s="191"/>
      <c r="J123" s="46">
        <f>E123+H123</f>
        <v>653.61581000000001</v>
      </c>
      <c r="K123" s="16"/>
      <c r="L123" s="57">
        <f>SUM(J123:K123)</f>
        <v>653.61581000000001</v>
      </c>
      <c r="M123" s="46">
        <v>625.25129000000004</v>
      </c>
      <c r="N123" s="16"/>
      <c r="O123" s="57">
        <f t="shared" si="143"/>
        <v>625.25129000000004</v>
      </c>
      <c r="P123" s="57">
        <f t="shared" si="99"/>
        <v>95.660368129712168</v>
      </c>
      <c r="Q123" s="46">
        <v>625.25129000000004</v>
      </c>
      <c r="R123" s="16"/>
      <c r="S123" s="57">
        <f t="shared" si="144"/>
        <v>625.25129000000004</v>
      </c>
      <c r="T123" s="57">
        <f t="shared" si="122"/>
        <v>95.660368129712168</v>
      </c>
      <c r="U123" s="46">
        <v>625.25129000000004</v>
      </c>
      <c r="V123" s="16"/>
      <c r="W123" s="57">
        <f t="shared" si="145"/>
        <v>625.25129000000004</v>
      </c>
      <c r="X123" s="57">
        <f t="shared" si="123"/>
        <v>95.660368129712168</v>
      </c>
      <c r="Y123" s="46">
        <v>653.1721</v>
      </c>
      <c r="Z123" s="16"/>
      <c r="AA123" s="57">
        <f t="shared" si="146"/>
        <v>653.1721</v>
      </c>
      <c r="AB123" s="57">
        <f t="shared" si="124"/>
        <v>99.932114555184953</v>
      </c>
      <c r="AC123" s="403">
        <f t="shared" si="147"/>
        <v>0.44371000000001004</v>
      </c>
      <c r="AD123" s="46"/>
      <c r="AE123" s="16"/>
      <c r="AF123" s="57">
        <f t="shared" si="148"/>
        <v>0</v>
      </c>
      <c r="AG123" s="57"/>
      <c r="AH123" s="16">
        <v>0</v>
      </c>
      <c r="AI123" s="366">
        <f t="shared" si="138"/>
        <v>0</v>
      </c>
      <c r="AJ123" s="57"/>
      <c r="AK123" s="191"/>
      <c r="AL123" s="437"/>
      <c r="AM123" s="325" t="s">
        <v>206</v>
      </c>
      <c r="AN123" s="311" t="s">
        <v>70</v>
      </c>
      <c r="AP123" s="192">
        <f t="shared" si="150"/>
        <v>653.61581000000001</v>
      </c>
      <c r="AQ123" s="191">
        <f t="shared" si="151"/>
        <v>0</v>
      </c>
    </row>
    <row r="124" spans="1:43" x14ac:dyDescent="0.2">
      <c r="A124" s="137"/>
      <c r="B124" s="29">
        <v>6409</v>
      </c>
      <c r="C124" s="29">
        <v>100</v>
      </c>
      <c r="D124" s="211" t="s">
        <v>166</v>
      </c>
      <c r="E124" s="46">
        <v>379</v>
      </c>
      <c r="F124" s="16"/>
      <c r="G124" s="57">
        <f t="shared" si="140"/>
        <v>379</v>
      </c>
      <c r="H124" s="192"/>
      <c r="I124" s="191"/>
      <c r="J124" s="46">
        <f t="shared" si="141"/>
        <v>379</v>
      </c>
      <c r="K124" s="16"/>
      <c r="L124" s="57">
        <f t="shared" si="142"/>
        <v>379</v>
      </c>
      <c r="M124" s="46">
        <v>373.87920000000003</v>
      </c>
      <c r="N124" s="16"/>
      <c r="O124" s="57">
        <f t="shared" si="143"/>
        <v>373.87920000000003</v>
      </c>
      <c r="P124" s="57">
        <f t="shared" si="99"/>
        <v>98.6488654353562</v>
      </c>
      <c r="Q124" s="46">
        <v>374.37920000000003</v>
      </c>
      <c r="R124" s="16"/>
      <c r="S124" s="57">
        <f t="shared" si="144"/>
        <v>374.37920000000003</v>
      </c>
      <c r="T124" s="57">
        <f t="shared" si="122"/>
        <v>98.780791556728246</v>
      </c>
      <c r="U124" s="46">
        <v>374.37920000000003</v>
      </c>
      <c r="V124" s="16"/>
      <c r="W124" s="57">
        <f t="shared" si="145"/>
        <v>374.37920000000003</v>
      </c>
      <c r="X124" s="57">
        <f t="shared" si="123"/>
        <v>98.780791556728246</v>
      </c>
      <c r="Y124" s="46">
        <v>374.37920000000003</v>
      </c>
      <c r="Z124" s="16"/>
      <c r="AA124" s="57">
        <f t="shared" si="146"/>
        <v>374.37920000000003</v>
      </c>
      <c r="AB124" s="57">
        <f t="shared" si="124"/>
        <v>98.780791556728246</v>
      </c>
      <c r="AC124" s="403">
        <f t="shared" si="147"/>
        <v>4.6207999999999743</v>
      </c>
      <c r="AD124" s="46">
        <v>379</v>
      </c>
      <c r="AE124" s="16"/>
      <c r="AF124" s="57">
        <f t="shared" si="148"/>
        <v>379</v>
      </c>
      <c r="AG124" s="57">
        <f t="shared" si="137"/>
        <v>100</v>
      </c>
      <c r="AH124" s="16">
        <v>379</v>
      </c>
      <c r="AI124" s="366">
        <f t="shared" si="138"/>
        <v>1</v>
      </c>
      <c r="AJ124" s="57"/>
      <c r="AK124" s="191"/>
      <c r="AL124" s="437">
        <f t="shared" si="149"/>
        <v>379</v>
      </c>
      <c r="AM124" s="325" t="s">
        <v>206</v>
      </c>
      <c r="AN124" s="314" t="s">
        <v>303</v>
      </c>
      <c r="AP124" s="192">
        <f t="shared" si="150"/>
        <v>379</v>
      </c>
      <c r="AQ124" s="191">
        <f t="shared" si="151"/>
        <v>0</v>
      </c>
    </row>
    <row r="125" spans="1:43" x14ac:dyDescent="0.2">
      <c r="A125" s="137"/>
      <c r="B125" s="29">
        <v>6409</v>
      </c>
      <c r="C125" s="29"/>
      <c r="D125" s="430" t="s">
        <v>147</v>
      </c>
      <c r="E125" s="46">
        <f>926-65+7-300</f>
        <v>568</v>
      </c>
      <c r="F125" s="16">
        <f>1000-300</f>
        <v>700</v>
      </c>
      <c r="G125" s="57">
        <f t="shared" si="140"/>
        <v>1268</v>
      </c>
      <c r="H125" s="192">
        <f>0.491-403.871+0.79232-165</f>
        <v>-567.58767999999998</v>
      </c>
      <c r="I125" s="193">
        <v>-700</v>
      </c>
      <c r="J125" s="46">
        <f t="shared" si="141"/>
        <v>0.41232000000002245</v>
      </c>
      <c r="K125" s="16">
        <f>F125+I125</f>
        <v>0</v>
      </c>
      <c r="L125" s="57">
        <f t="shared" si="142"/>
        <v>0.41232000000002245</v>
      </c>
      <c r="M125" s="46"/>
      <c r="N125" s="16"/>
      <c r="O125" s="57">
        <f t="shared" si="143"/>
        <v>0</v>
      </c>
      <c r="P125" s="57">
        <f t="shared" si="99"/>
        <v>0</v>
      </c>
      <c r="Q125" s="46"/>
      <c r="R125" s="16"/>
      <c r="S125" s="57">
        <f t="shared" si="144"/>
        <v>0</v>
      </c>
      <c r="T125" s="57">
        <f t="shared" si="122"/>
        <v>0</v>
      </c>
      <c r="U125" s="46"/>
      <c r="V125" s="16"/>
      <c r="W125" s="57">
        <f t="shared" si="145"/>
        <v>0</v>
      </c>
      <c r="X125" s="57">
        <f t="shared" si="123"/>
        <v>0</v>
      </c>
      <c r="Y125" s="46"/>
      <c r="Z125" s="16"/>
      <c r="AA125" s="57">
        <f t="shared" si="146"/>
        <v>0</v>
      </c>
      <c r="AB125" s="57">
        <f t="shared" si="124"/>
        <v>0</v>
      </c>
      <c r="AC125" s="403">
        <f t="shared" si="147"/>
        <v>0.41232000000002245</v>
      </c>
      <c r="AD125" s="46">
        <v>179</v>
      </c>
      <c r="AE125" s="16"/>
      <c r="AF125" s="57">
        <f t="shared" si="148"/>
        <v>179</v>
      </c>
      <c r="AG125" s="57">
        <f t="shared" si="137"/>
        <v>14.11671924290221</v>
      </c>
      <c r="AH125" s="16"/>
      <c r="AI125" s="366">
        <f t="shared" si="138"/>
        <v>0</v>
      </c>
      <c r="AJ125" s="57"/>
      <c r="AK125" s="193"/>
      <c r="AL125" s="437">
        <f t="shared" si="149"/>
        <v>0.41232000000002245</v>
      </c>
      <c r="AM125" s="334" t="s">
        <v>70</v>
      </c>
      <c r="AN125" s="311" t="s">
        <v>315</v>
      </c>
      <c r="AP125" s="192">
        <f t="shared" si="150"/>
        <v>0.41232000000002245</v>
      </c>
      <c r="AQ125" s="191">
        <f t="shared" si="151"/>
        <v>0</v>
      </c>
    </row>
    <row r="126" spans="1:43" ht="13.5" thickBot="1" x14ac:dyDescent="0.25">
      <c r="A126" s="140"/>
      <c r="B126" s="100"/>
      <c r="C126" s="100"/>
      <c r="D126" s="101" t="s">
        <v>88</v>
      </c>
      <c r="E126" s="184">
        <f t="shared" ref="E126:O126" si="152">SUM(E5+E10+E16+E28+E44+E58+E67+E69+E90+E101+E106+E111+E118)</f>
        <v>141863</v>
      </c>
      <c r="F126" s="616">
        <f t="shared" si="152"/>
        <v>72440</v>
      </c>
      <c r="G126" s="352">
        <f t="shared" si="152"/>
        <v>214303</v>
      </c>
      <c r="H126" s="202">
        <f t="shared" si="152"/>
        <v>10977.958250000001</v>
      </c>
      <c r="I126" s="202">
        <f t="shared" si="152"/>
        <v>17909.375950000001</v>
      </c>
      <c r="J126" s="184">
        <f t="shared" si="152"/>
        <v>152840.95825</v>
      </c>
      <c r="K126" s="352">
        <f t="shared" si="152"/>
        <v>90349.375950000001</v>
      </c>
      <c r="L126" s="352">
        <f t="shared" si="152"/>
        <v>243190.33420000001</v>
      </c>
      <c r="M126" s="184">
        <f t="shared" si="152"/>
        <v>35808.278610000001</v>
      </c>
      <c r="N126" s="352">
        <f t="shared" si="152"/>
        <v>2778.0944899999995</v>
      </c>
      <c r="O126" s="352">
        <f t="shared" si="152"/>
        <v>38586.373099999997</v>
      </c>
      <c r="P126" s="352">
        <f t="shared" si="99"/>
        <v>15.866737971693611</v>
      </c>
      <c r="Q126" s="184">
        <f>SUM(Q5+Q10+Q16+Q28+Q44+Q58+Q67+Q69+Q90+Q101+Q106+Q111+Q118)</f>
        <v>66843.14013</v>
      </c>
      <c r="R126" s="352">
        <f>SUM(R5+R10+R16+R28+R44+R58+R67+R69+R90+R101+R106+R111+R118)</f>
        <v>25380.273020000001</v>
      </c>
      <c r="S126" s="352">
        <f>SUM(S5+S10+S16+S28+S44+S58+S67+S69+S90+S101+S106+S111+S118)</f>
        <v>92223.413150000008</v>
      </c>
      <c r="T126" s="352">
        <f t="shared" si="122"/>
        <v>37.922318521983428</v>
      </c>
      <c r="U126" s="184">
        <f>SUM(U5+U10+U16+U28+U44+U58+U67+U69+U90+U101+U106+U111+U118)</f>
        <v>102494.68668000001</v>
      </c>
      <c r="V126" s="352">
        <f>SUM(V5+V10+V16+V28+V44+V58+V67+V69+V90+V101+V106+V111+V118)</f>
        <v>54403.294499999996</v>
      </c>
      <c r="W126" s="352">
        <f>SUM(W5+W10+W16+W28+W44+W58+W67+W69+W90+W101+W106+W111+W118)</f>
        <v>156897.98118</v>
      </c>
      <c r="X126" s="352">
        <f t="shared" si="123"/>
        <v>64.516536685609765</v>
      </c>
      <c r="Y126" s="184">
        <f>SUM(Y5+Y10+Y16+Y28+Y44+Y58+Y67+Y69+Y90+Y101+Y106+Y111+Y118)</f>
        <v>141517.18680999998</v>
      </c>
      <c r="Z126" s="352">
        <f>SUM(Z5+Z10+Z16+Z28+Z44+Z58+Z67+Z69+Z90+Z101+Z106+Z111+Z118)</f>
        <v>78477.21060000002</v>
      </c>
      <c r="AA126" s="352">
        <f>SUM(AA5+AA10+AA16+AA28+AA44+AA58+AA67+AA69+AA90+AA101+AA106+AA111+AA118)</f>
        <v>219994.39741000001</v>
      </c>
      <c r="AB126" s="352">
        <f t="shared" si="124"/>
        <v>90.461817955756558</v>
      </c>
      <c r="AC126" s="532">
        <f>SUM(AC5+AC10+AC16+AC28+AC44+AC58+AC67+AC69+AC90+AC101+AC106+AC111+AC118)</f>
        <v>23195.936790000003</v>
      </c>
      <c r="AD126" s="184">
        <f>SUM(AD5+AD10+AD16+AD28+AD44+AD58+AD67+AD69+AD90+AD101+AD106+AD111+AD118)</f>
        <v>139399</v>
      </c>
      <c r="AE126" s="352">
        <f>SUM(AE5+AE10+AE16+AE28+AE44+AE58+AE67+AE69+AE90+AE101+AE106+AE111+AE118)</f>
        <v>59432</v>
      </c>
      <c r="AF126" s="352">
        <f>SUM(AF5+AF10+AF16+AF28+AF44+AF58+AF67+AF69+AF90+AF101+AF106+AF111+AF118)</f>
        <v>198831</v>
      </c>
      <c r="AG126" s="352">
        <f t="shared" si="137"/>
        <v>92.780315721198491</v>
      </c>
      <c r="AH126" s="352" t="e">
        <f>SUM(AH5+AH10+AH16+AH28+AH44+AH58+AH67+AH69+AH90+AH101+AH106+AH111+AH118)</f>
        <v>#REF!</v>
      </c>
      <c r="AI126" s="370"/>
      <c r="AJ126" s="352"/>
      <c r="AK126" s="202">
        <f>SUM(AK5+AK10+AK16+AK28+AK44+AK58+AK67+AK69+AK90+AK101+AK106+AK111+AK118)</f>
        <v>0</v>
      </c>
      <c r="AL126" s="441" t="e">
        <f>SUM(AL5+AL10+AL16+AL28+AL44+AL58+AL67+AL69+AL90+AL101+AL106+AL111+AL118)</f>
        <v>#REF!</v>
      </c>
      <c r="AM126" s="184"/>
      <c r="AN126" s="321"/>
      <c r="AP126" s="202">
        <f>SUM(AP5+AP10+AP16+AP28+AP44+AP58+AP67+AP69+AP90+AP101+AP106+AP111+AP118)</f>
        <v>148118.72744333334</v>
      </c>
      <c r="AQ126" s="202">
        <f>SUM(AQ5+AQ10+AQ16+AQ28+AQ44+AQ58+AQ67+AQ69+AQ90+AQ101+AQ106+AQ111+AQ118)</f>
        <v>84983.375950000001</v>
      </c>
    </row>
    <row r="127" spans="1:43" ht="13.5" thickBot="1" x14ac:dyDescent="0.25">
      <c r="A127" s="99"/>
      <c r="B127" s="526"/>
      <c r="C127" s="526"/>
      <c r="D127" s="526"/>
      <c r="E127" s="527" t="s">
        <v>89</v>
      </c>
      <c r="F127" s="526"/>
      <c r="G127" s="528">
        <f>SUM(E126:F126)</f>
        <v>214303</v>
      </c>
      <c r="H127" s="529"/>
      <c r="I127" s="530"/>
      <c r="J127" s="527"/>
      <c r="K127" s="526"/>
      <c r="L127" s="528">
        <f>+G126+H126+I126</f>
        <v>243190.33419999998</v>
      </c>
      <c r="M127" s="527" t="s">
        <v>89</v>
      </c>
      <c r="N127" s="526"/>
      <c r="O127" s="528">
        <f>SUM(M126:N126)</f>
        <v>38586.373099999997</v>
      </c>
      <c r="P127" s="528"/>
      <c r="Q127" s="527" t="s">
        <v>89</v>
      </c>
      <c r="R127" s="526"/>
      <c r="S127" s="528">
        <f>SUM(Q126:R126)</f>
        <v>92223.413150000008</v>
      </c>
      <c r="T127" s="528"/>
      <c r="U127" s="527" t="s">
        <v>89</v>
      </c>
      <c r="V127" s="526"/>
      <c r="W127" s="528">
        <f>SUM(U126:V126)</f>
        <v>156897.98118</v>
      </c>
      <c r="X127" s="528"/>
      <c r="Y127" s="527" t="s">
        <v>89</v>
      </c>
      <c r="Z127" s="526"/>
      <c r="AA127" s="528">
        <f>SUM(Y126:Z126)</f>
        <v>219994.39741000001</v>
      </c>
      <c r="AB127" s="528"/>
      <c r="AC127" s="531"/>
      <c r="AD127" s="527" t="s">
        <v>89</v>
      </c>
      <c r="AE127" s="35"/>
      <c r="AF127" s="63">
        <f>SUM(AD126:AE126)</f>
        <v>198831</v>
      </c>
      <c r="AG127" s="63"/>
      <c r="AH127" s="35"/>
      <c r="AI127" s="368"/>
      <c r="AJ127" s="63"/>
      <c r="AK127" s="198"/>
      <c r="AL127" s="439"/>
      <c r="AM127" s="447"/>
      <c r="AN127" s="88"/>
      <c r="AP127" s="415">
        <f>J126-AP126</f>
        <v>4722.2308066666592</v>
      </c>
      <c r="AQ127" s="470">
        <f>K126-AQ126</f>
        <v>5366</v>
      </c>
    </row>
    <row r="128" spans="1:43" x14ac:dyDescent="0.2">
      <c r="A128" s="44"/>
      <c r="B128" s="23"/>
      <c r="C128" s="23"/>
      <c r="D128" s="493"/>
      <c r="E128" s="23"/>
      <c r="F128" s="23"/>
      <c r="G128" s="141"/>
      <c r="H128" s="23"/>
      <c r="I128" s="23"/>
      <c r="J128" s="23"/>
      <c r="K128" s="23"/>
      <c r="L128" s="141"/>
      <c r="M128" s="23"/>
      <c r="N128" s="23"/>
      <c r="O128" s="141"/>
      <c r="P128" s="141"/>
      <c r="Q128" s="23"/>
      <c r="R128" s="23"/>
      <c r="S128" s="141"/>
      <c r="T128" s="141"/>
      <c r="U128" s="23"/>
      <c r="V128" s="23"/>
      <c r="W128" s="141"/>
      <c r="X128" s="141"/>
      <c r="Y128" s="23"/>
      <c r="Z128" s="23"/>
      <c r="AA128" s="141"/>
      <c r="AB128" s="141"/>
      <c r="AC128" s="23"/>
      <c r="AD128" s="23"/>
      <c r="AE128" s="23"/>
      <c r="AF128" s="141"/>
      <c r="AG128" s="141"/>
      <c r="AH128" s="23"/>
      <c r="AI128" s="371"/>
      <c r="AJ128" s="141"/>
      <c r="AK128" s="203"/>
      <c r="AL128" s="359"/>
      <c r="AM128" s="23"/>
      <c r="AP128" s="203"/>
      <c r="AQ128" s="203"/>
    </row>
    <row r="129" spans="2:43" x14ac:dyDescent="0.2">
      <c r="B129" s="522"/>
      <c r="C129" s="522"/>
      <c r="D129" s="523"/>
      <c r="E129" s="337"/>
      <c r="F129" s="337"/>
      <c r="G129" s="513"/>
      <c r="H129" s="23"/>
      <c r="I129" s="23"/>
      <c r="J129" s="337"/>
      <c r="K129" s="337"/>
      <c r="L129" s="148"/>
      <c r="M129" s="337"/>
      <c r="N129" s="337"/>
      <c r="O129" s="148"/>
      <c r="P129" s="148"/>
      <c r="Q129" s="337"/>
      <c r="R129" s="337"/>
      <c r="S129" s="148"/>
      <c r="T129" s="148"/>
      <c r="U129" s="337"/>
      <c r="V129" s="337"/>
      <c r="W129" s="148"/>
      <c r="X129" s="148"/>
      <c r="Y129" s="337"/>
      <c r="Z129" s="337"/>
      <c r="AA129" s="148"/>
      <c r="AB129" s="148"/>
      <c r="AC129" s="23"/>
      <c r="AD129" s="337"/>
      <c r="AE129" s="337"/>
      <c r="AF129" s="148"/>
      <c r="AG129" s="148"/>
      <c r="AH129" s="337"/>
      <c r="AJ129" s="451"/>
      <c r="AK129" s="203"/>
      <c r="AL129" s="359"/>
      <c r="AM129" s="23"/>
      <c r="AP129" s="203"/>
      <c r="AQ129" s="203"/>
    </row>
    <row r="130" spans="2:43" x14ac:dyDescent="0.2">
      <c r="B130" s="522"/>
      <c r="C130" s="522"/>
      <c r="D130" s="523"/>
      <c r="E130" s="337"/>
      <c r="F130" s="337"/>
      <c r="G130" s="513"/>
      <c r="H130" s="23"/>
      <c r="I130" s="23"/>
      <c r="J130" s="337"/>
      <c r="K130" s="337"/>
      <c r="L130" s="148"/>
      <c r="M130" s="337"/>
      <c r="N130" s="337"/>
      <c r="O130" s="148"/>
      <c r="P130" s="148"/>
      <c r="Q130" s="337"/>
      <c r="R130" s="337"/>
      <c r="S130" s="148"/>
      <c r="T130" s="148"/>
      <c r="U130" s="337"/>
      <c r="V130" s="337"/>
      <c r="W130" s="148"/>
      <c r="X130" s="148"/>
      <c r="Y130" s="337"/>
      <c r="Z130" s="337"/>
      <c r="AA130" s="148"/>
      <c r="AB130" s="148"/>
      <c r="AC130" s="141"/>
      <c r="AD130" s="337"/>
      <c r="AE130" s="337"/>
      <c r="AF130" s="450"/>
      <c r="AG130" s="148"/>
      <c r="AH130" s="337"/>
      <c r="AJ130" s="397"/>
      <c r="AK130" s="203"/>
      <c r="AL130" s="359"/>
      <c r="AM130" s="23"/>
      <c r="AN130" s="117"/>
      <c r="AP130" s="203"/>
      <c r="AQ130" s="203"/>
    </row>
    <row r="131" spans="2:43" x14ac:dyDescent="0.2">
      <c r="B131" s="522"/>
      <c r="C131" s="522"/>
      <c r="D131" s="523"/>
      <c r="E131" s="337"/>
      <c r="F131" s="337"/>
      <c r="G131" s="337"/>
      <c r="H131" s="23"/>
      <c r="I131" s="23"/>
      <c r="J131" s="337"/>
      <c r="K131" s="337"/>
      <c r="M131" s="117"/>
      <c r="N131" s="117"/>
      <c r="Q131" s="117"/>
      <c r="R131" s="117"/>
      <c r="U131" s="117"/>
      <c r="V131" s="117"/>
      <c r="Z131" s="117"/>
      <c r="AC131" s="23"/>
      <c r="AD131" s="117"/>
      <c r="AE131" s="117"/>
      <c r="AH131" s="117"/>
      <c r="AJ131" s="397"/>
      <c r="AK131" s="203"/>
      <c r="AL131" s="359"/>
      <c r="AM131" s="23"/>
      <c r="AN131" s="117"/>
      <c r="AP131" s="203"/>
      <c r="AQ131" s="203"/>
    </row>
    <row r="132" spans="2:43" x14ac:dyDescent="0.2">
      <c r="B132" s="522"/>
      <c r="C132" s="522"/>
      <c r="D132" s="523"/>
      <c r="E132" s="337"/>
      <c r="F132" s="337"/>
      <c r="G132" s="337"/>
      <c r="H132" s="23"/>
      <c r="I132" s="23"/>
      <c r="J132" s="337"/>
      <c r="K132" s="337"/>
      <c r="M132" s="117"/>
      <c r="N132" s="117"/>
      <c r="Q132" s="117"/>
      <c r="R132" s="117"/>
      <c r="U132" s="117"/>
      <c r="V132" s="117"/>
      <c r="Z132" s="117"/>
      <c r="AC132" s="23"/>
      <c r="AD132" s="117"/>
      <c r="AE132" s="117"/>
      <c r="AH132" s="117"/>
      <c r="AJ132" s="397"/>
      <c r="AK132" s="203"/>
      <c r="AL132" s="456"/>
      <c r="AP132" s="203"/>
      <c r="AQ132" s="203"/>
    </row>
    <row r="133" spans="2:43" x14ac:dyDescent="0.2">
      <c r="B133" s="522"/>
      <c r="C133" s="522"/>
      <c r="D133" s="523"/>
      <c r="E133" s="337"/>
      <c r="F133" s="337"/>
      <c r="G133" s="337"/>
      <c r="H133" s="23"/>
      <c r="I133" s="23"/>
      <c r="J133" s="337"/>
      <c r="K133" s="337"/>
      <c r="M133" s="117"/>
      <c r="N133" s="117"/>
      <c r="Q133" s="117"/>
      <c r="R133" s="117"/>
      <c r="U133" s="117"/>
      <c r="V133" s="117"/>
      <c r="Z133" s="117"/>
      <c r="AC133" s="23"/>
      <c r="AD133" s="117"/>
      <c r="AE133" s="117"/>
      <c r="AH133" s="117"/>
      <c r="AJ133" s="126"/>
      <c r="AK133" s="203"/>
      <c r="AM133" s="67"/>
      <c r="AP133" s="203"/>
      <c r="AQ133" s="203"/>
    </row>
    <row r="134" spans="2:43" x14ac:dyDescent="0.2">
      <c r="B134" s="522"/>
      <c r="C134" s="522"/>
      <c r="D134" s="523"/>
      <c r="E134" s="337"/>
      <c r="F134" s="337"/>
      <c r="G134" s="337"/>
      <c r="H134" s="23"/>
      <c r="I134" s="23"/>
      <c r="J134" s="337"/>
      <c r="K134" s="337"/>
      <c r="M134" s="117"/>
      <c r="N134" s="117"/>
      <c r="Q134" s="117"/>
      <c r="R134" s="117"/>
      <c r="U134" s="117"/>
      <c r="V134" s="117"/>
      <c r="Z134" s="117"/>
      <c r="AC134" s="23"/>
      <c r="AD134" s="117"/>
      <c r="AE134" s="117"/>
      <c r="AH134" s="117"/>
      <c r="AJ134" s="454"/>
      <c r="AK134" s="203"/>
      <c r="AP134" s="203"/>
      <c r="AQ134" s="203"/>
    </row>
    <row r="135" spans="2:43" x14ac:dyDescent="0.2">
      <c r="B135" s="522"/>
      <c r="C135" s="522"/>
      <c r="D135" s="524"/>
      <c r="E135" s="337"/>
      <c r="F135" s="337"/>
      <c r="G135" s="337"/>
      <c r="H135" s="23"/>
      <c r="I135" s="23"/>
      <c r="J135" s="337"/>
      <c r="K135" s="337"/>
      <c r="M135" s="117"/>
      <c r="N135" s="117"/>
      <c r="Q135" s="117"/>
      <c r="R135" s="117"/>
      <c r="U135" s="117"/>
      <c r="V135" s="117"/>
      <c r="Z135" s="117"/>
      <c r="AC135" s="23"/>
      <c r="AD135" s="117"/>
      <c r="AE135" s="117"/>
      <c r="AH135" s="117"/>
      <c r="AK135" s="203"/>
      <c r="AP135" s="203"/>
      <c r="AQ135" s="203"/>
    </row>
    <row r="136" spans="2:43" x14ac:dyDescent="0.2">
      <c r="B136" s="522"/>
      <c r="C136" s="522"/>
      <c r="D136" s="525"/>
      <c r="E136" s="337"/>
      <c r="F136" s="337"/>
      <c r="G136" s="337"/>
      <c r="H136" s="23"/>
      <c r="I136" s="23"/>
      <c r="J136" s="337"/>
      <c r="K136" s="337"/>
      <c r="M136" s="117"/>
      <c r="N136" s="117"/>
      <c r="Q136" s="117"/>
      <c r="R136" s="117"/>
      <c r="U136" s="117"/>
      <c r="V136" s="117"/>
      <c r="Z136" s="117"/>
      <c r="AC136" s="23"/>
      <c r="AD136" s="117"/>
      <c r="AE136" s="117"/>
      <c r="AH136" s="117"/>
      <c r="AK136" s="203"/>
      <c r="AP136" s="203"/>
      <c r="AQ136" s="203"/>
    </row>
    <row r="137" spans="2:43" x14ac:dyDescent="0.2">
      <c r="B137" s="522"/>
      <c r="C137" s="522"/>
      <c r="D137" s="524"/>
      <c r="E137" s="337"/>
      <c r="F137" s="337"/>
      <c r="G137" s="337"/>
      <c r="H137" s="23"/>
      <c r="I137" s="23"/>
      <c r="J137" s="337"/>
      <c r="K137" s="337"/>
      <c r="M137" s="117"/>
      <c r="N137" s="117"/>
      <c r="Q137" s="117"/>
      <c r="R137" s="117"/>
      <c r="U137" s="117"/>
      <c r="V137" s="117"/>
      <c r="Z137" s="117"/>
      <c r="AC137" s="23"/>
      <c r="AD137" s="117"/>
      <c r="AE137" s="117"/>
      <c r="AH137" s="117"/>
      <c r="AK137" s="203"/>
      <c r="AP137" s="203"/>
      <c r="AQ137" s="203"/>
    </row>
    <row r="138" spans="2:43" x14ac:dyDescent="0.2">
      <c r="D138" s="225"/>
      <c r="E138" s="117"/>
      <c r="F138" s="117"/>
      <c r="H138" s="23"/>
      <c r="I138" s="23"/>
      <c r="M138" s="117"/>
      <c r="N138" s="117"/>
      <c r="Q138" s="117"/>
      <c r="R138" s="117"/>
      <c r="U138" s="117"/>
      <c r="V138" s="117"/>
      <c r="Z138" s="117"/>
      <c r="AC138" s="23"/>
      <c r="AD138" s="117"/>
      <c r="AE138" s="117"/>
      <c r="AH138" s="117"/>
      <c r="AK138" s="203"/>
      <c r="AP138" s="203"/>
      <c r="AQ138" s="203"/>
    </row>
    <row r="139" spans="2:43" x14ac:dyDescent="0.2">
      <c r="D139" s="225"/>
      <c r="E139" s="117"/>
      <c r="F139" s="117"/>
      <c r="H139" s="23"/>
      <c r="I139" s="23"/>
      <c r="M139" s="117"/>
      <c r="N139" s="117"/>
      <c r="Q139" s="117"/>
      <c r="R139" s="117"/>
      <c r="U139" s="117"/>
      <c r="V139" s="117"/>
      <c r="Z139" s="117"/>
      <c r="AC139" s="23"/>
      <c r="AD139" s="117"/>
      <c r="AE139" s="117"/>
      <c r="AH139" s="117"/>
      <c r="AK139" s="203"/>
      <c r="AP139" s="203"/>
      <c r="AQ139" s="203"/>
    </row>
    <row r="140" spans="2:43" x14ac:dyDescent="0.2">
      <c r="D140" s="225"/>
      <c r="E140" s="117"/>
      <c r="F140" s="117"/>
      <c r="H140" s="23"/>
      <c r="I140" s="23"/>
      <c r="M140" s="117"/>
      <c r="N140" s="117"/>
      <c r="Q140" s="117"/>
      <c r="R140" s="117"/>
      <c r="U140" s="117"/>
      <c r="V140" s="117"/>
      <c r="Z140" s="117"/>
      <c r="AC140" s="23"/>
      <c r="AD140" s="117"/>
      <c r="AE140" s="117"/>
      <c r="AH140" s="117"/>
      <c r="AK140" s="203"/>
      <c r="AP140" s="203"/>
      <c r="AQ140" s="203"/>
    </row>
    <row r="141" spans="2:43" x14ac:dyDescent="0.2">
      <c r="E141" s="117"/>
      <c r="F141" s="117"/>
      <c r="H141" s="23"/>
      <c r="I141" s="23"/>
      <c r="M141" s="117"/>
      <c r="N141" s="117"/>
      <c r="Q141" s="117"/>
      <c r="R141" s="117"/>
      <c r="U141" s="117"/>
      <c r="V141" s="117"/>
      <c r="Z141" s="117"/>
      <c r="AC141" s="23"/>
      <c r="AD141" s="117"/>
      <c r="AE141" s="117"/>
      <c r="AH141" s="117"/>
      <c r="AK141" s="203"/>
      <c r="AP141" s="203"/>
      <c r="AQ141" s="203"/>
    </row>
    <row r="142" spans="2:43" x14ac:dyDescent="0.2">
      <c r="E142" s="117"/>
      <c r="F142" s="117"/>
      <c r="H142" s="23"/>
      <c r="I142" s="23"/>
      <c r="M142" s="117"/>
      <c r="N142" s="117"/>
      <c r="Q142" s="117"/>
      <c r="R142" s="117"/>
      <c r="U142" s="117"/>
      <c r="V142" s="117"/>
      <c r="Z142" s="117"/>
      <c r="AC142" s="23"/>
      <c r="AD142" s="117"/>
      <c r="AE142" s="117"/>
      <c r="AH142" s="117"/>
      <c r="AK142" s="203"/>
      <c r="AP142" s="203"/>
      <c r="AQ142" s="203"/>
    </row>
    <row r="143" spans="2:43" x14ac:dyDescent="0.2">
      <c r="D143" s="225"/>
      <c r="E143" s="117"/>
      <c r="F143" s="117"/>
      <c r="H143" s="23"/>
      <c r="I143" s="23"/>
      <c r="M143" s="117"/>
      <c r="N143" s="117"/>
      <c r="Q143" s="117"/>
      <c r="R143" s="117"/>
      <c r="U143" s="117"/>
      <c r="V143" s="117"/>
      <c r="Z143" s="117"/>
      <c r="AC143" s="23"/>
      <c r="AD143" s="117"/>
      <c r="AE143" s="117"/>
      <c r="AH143" s="117"/>
      <c r="AK143" s="203"/>
      <c r="AP143" s="203"/>
      <c r="AQ143" s="203"/>
    </row>
    <row r="144" spans="2:43" x14ac:dyDescent="0.2">
      <c r="H144" s="23"/>
      <c r="I144" s="23"/>
      <c r="AC144" s="23"/>
      <c r="AK144" s="203"/>
      <c r="AP144" s="203"/>
      <c r="AQ144" s="203"/>
    </row>
    <row r="145" spans="4:43" x14ac:dyDescent="0.2">
      <c r="H145" s="23"/>
      <c r="I145" s="23"/>
      <c r="AC145" s="23"/>
      <c r="AK145" s="203"/>
      <c r="AP145" s="203"/>
      <c r="AQ145" s="203"/>
    </row>
    <row r="146" spans="4:43" x14ac:dyDescent="0.2">
      <c r="D146" s="226"/>
      <c r="H146" s="23"/>
      <c r="I146" s="23"/>
      <c r="AC146" s="23"/>
      <c r="AK146" s="203"/>
      <c r="AP146" s="203"/>
      <c r="AQ146" s="203"/>
    </row>
    <row r="147" spans="4:43" x14ac:dyDescent="0.2">
      <c r="D147" s="226"/>
      <c r="H147" s="117"/>
      <c r="I147" s="117"/>
    </row>
    <row r="148" spans="4:43" x14ac:dyDescent="0.2">
      <c r="D148" s="226"/>
      <c r="H148" s="117"/>
      <c r="I148" s="117"/>
    </row>
    <row r="149" spans="4:43" x14ac:dyDescent="0.2">
      <c r="D149" s="226"/>
      <c r="H149" s="117"/>
      <c r="I149" s="117"/>
    </row>
    <row r="150" spans="4:43" x14ac:dyDescent="0.2">
      <c r="H150" s="117"/>
      <c r="I150" s="117"/>
    </row>
    <row r="151" spans="4:43" x14ac:dyDescent="0.2">
      <c r="H151" s="117"/>
      <c r="I151" s="117"/>
    </row>
    <row r="152" spans="4:43" x14ac:dyDescent="0.2">
      <c r="H152" s="117"/>
      <c r="I152" s="117"/>
    </row>
    <row r="153" spans="4:43" x14ac:dyDescent="0.2">
      <c r="H153" s="117"/>
      <c r="I153" s="117"/>
    </row>
    <row r="154" spans="4:43" x14ac:dyDescent="0.2">
      <c r="H154" s="117"/>
      <c r="I154" s="117"/>
    </row>
    <row r="155" spans="4:43" x14ac:dyDescent="0.2">
      <c r="H155" s="117"/>
      <c r="I155" s="117"/>
    </row>
    <row r="156" spans="4:43" x14ac:dyDescent="0.2">
      <c r="H156" s="117"/>
      <c r="I156" s="117"/>
    </row>
    <row r="157" spans="4:43" x14ac:dyDescent="0.2">
      <c r="H157" s="117"/>
      <c r="I157" s="117"/>
    </row>
    <row r="158" spans="4:43" x14ac:dyDescent="0.2">
      <c r="H158" s="117"/>
      <c r="I158" s="117"/>
    </row>
    <row r="159" spans="4:43" x14ac:dyDescent="0.2">
      <c r="H159" s="117"/>
      <c r="I159" s="117"/>
    </row>
    <row r="160" spans="4:43" x14ac:dyDescent="0.2">
      <c r="H160" s="117"/>
      <c r="I160" s="117"/>
    </row>
    <row r="161" spans="8:9" x14ac:dyDescent="0.2">
      <c r="H161" s="117"/>
      <c r="I161" s="117"/>
    </row>
    <row r="162" spans="8:9" x14ac:dyDescent="0.2">
      <c r="H162" s="117"/>
      <c r="I162" s="117"/>
    </row>
    <row r="163" spans="8:9" x14ac:dyDescent="0.2">
      <c r="H163" s="117"/>
      <c r="I163" s="117"/>
    </row>
    <row r="164" spans="8:9" x14ac:dyDescent="0.2">
      <c r="H164" s="117"/>
      <c r="I164" s="117"/>
    </row>
    <row r="165" spans="8:9" x14ac:dyDescent="0.2">
      <c r="H165" s="117"/>
      <c r="I165" s="117"/>
    </row>
    <row r="166" spans="8:9" x14ac:dyDescent="0.2">
      <c r="H166" s="117"/>
      <c r="I166" s="117"/>
    </row>
    <row r="167" spans="8:9" x14ac:dyDescent="0.2">
      <c r="H167" s="117"/>
      <c r="I167" s="117"/>
    </row>
    <row r="168" spans="8:9" x14ac:dyDescent="0.2">
      <c r="H168" s="117"/>
      <c r="I168" s="117"/>
    </row>
    <row r="169" spans="8:9" x14ac:dyDescent="0.2">
      <c r="H169" s="117"/>
      <c r="I169" s="117"/>
    </row>
    <row r="170" spans="8:9" x14ac:dyDescent="0.2">
      <c r="H170" s="117"/>
      <c r="I170" s="117"/>
    </row>
    <row r="171" spans="8:9" x14ac:dyDescent="0.2">
      <c r="H171" s="117"/>
      <c r="I171" s="117"/>
    </row>
    <row r="172" spans="8:9" x14ac:dyDescent="0.2">
      <c r="H172" s="117"/>
      <c r="I172" s="117"/>
    </row>
    <row r="173" spans="8:9" x14ac:dyDescent="0.2">
      <c r="H173" s="117"/>
      <c r="I173" s="117"/>
    </row>
    <row r="174" spans="8:9" x14ac:dyDescent="0.2">
      <c r="H174" s="117"/>
      <c r="I174" s="117"/>
    </row>
    <row r="175" spans="8:9" x14ac:dyDescent="0.2">
      <c r="H175" s="117"/>
      <c r="I175" s="117"/>
    </row>
    <row r="176" spans="8:9" x14ac:dyDescent="0.2">
      <c r="H176" s="117"/>
      <c r="I176" s="117"/>
    </row>
    <row r="177" spans="8:9" x14ac:dyDescent="0.2">
      <c r="H177" s="117"/>
      <c r="I177" s="117"/>
    </row>
    <row r="178" spans="8:9" x14ac:dyDescent="0.2">
      <c r="H178" s="117"/>
      <c r="I178" s="117"/>
    </row>
    <row r="179" spans="8:9" x14ac:dyDescent="0.2">
      <c r="H179" s="117"/>
      <c r="I179" s="117"/>
    </row>
    <row r="180" spans="8:9" x14ac:dyDescent="0.2">
      <c r="H180" s="117"/>
      <c r="I180" s="117"/>
    </row>
    <row r="181" spans="8:9" x14ac:dyDescent="0.2">
      <c r="H181" s="117"/>
      <c r="I181" s="117"/>
    </row>
    <row r="182" spans="8:9" x14ac:dyDescent="0.2">
      <c r="H182" s="117"/>
      <c r="I182" s="117"/>
    </row>
    <row r="183" spans="8:9" x14ac:dyDescent="0.2">
      <c r="H183" s="117"/>
      <c r="I183" s="117"/>
    </row>
    <row r="184" spans="8:9" x14ac:dyDescent="0.2">
      <c r="H184" s="117"/>
      <c r="I184" s="117"/>
    </row>
    <row r="185" spans="8:9" x14ac:dyDescent="0.2">
      <c r="H185" s="117"/>
      <c r="I185" s="117"/>
    </row>
    <row r="186" spans="8:9" x14ac:dyDescent="0.2">
      <c r="H186" s="117"/>
      <c r="I186" s="117"/>
    </row>
    <row r="187" spans="8:9" x14ac:dyDescent="0.2">
      <c r="H187" s="117"/>
      <c r="I187" s="117"/>
    </row>
    <row r="188" spans="8:9" x14ac:dyDescent="0.2">
      <c r="H188" s="117"/>
      <c r="I188" s="117"/>
    </row>
    <row r="189" spans="8:9" x14ac:dyDescent="0.2">
      <c r="H189" s="117"/>
      <c r="I189" s="117"/>
    </row>
    <row r="190" spans="8:9" x14ac:dyDescent="0.2">
      <c r="H190" s="117"/>
      <c r="I190" s="117"/>
    </row>
    <row r="191" spans="8:9" x14ac:dyDescent="0.2">
      <c r="H191" s="117"/>
      <c r="I191" s="117"/>
    </row>
    <row r="192" spans="8:9" x14ac:dyDescent="0.2">
      <c r="H192" s="117"/>
      <c r="I192" s="117"/>
    </row>
    <row r="193" spans="8:9" x14ac:dyDescent="0.2">
      <c r="H193" s="117"/>
      <c r="I193" s="117"/>
    </row>
    <row r="194" spans="8:9" x14ac:dyDescent="0.2">
      <c r="H194" s="117"/>
      <c r="I194" s="117"/>
    </row>
    <row r="195" spans="8:9" x14ac:dyDescent="0.2">
      <c r="H195" s="117"/>
      <c r="I195" s="117"/>
    </row>
    <row r="196" spans="8:9" x14ac:dyDescent="0.2">
      <c r="H196" s="117"/>
      <c r="I196" s="117"/>
    </row>
    <row r="197" spans="8:9" x14ac:dyDescent="0.2">
      <c r="H197" s="117"/>
      <c r="I197" s="117"/>
    </row>
    <row r="198" spans="8:9" x14ac:dyDescent="0.2">
      <c r="H198" s="117"/>
      <c r="I198" s="117"/>
    </row>
    <row r="199" spans="8:9" x14ac:dyDescent="0.2">
      <c r="H199" s="117"/>
      <c r="I199" s="117"/>
    </row>
    <row r="200" spans="8:9" x14ac:dyDescent="0.2">
      <c r="H200" s="117"/>
      <c r="I200" s="117"/>
    </row>
    <row r="201" spans="8:9" x14ac:dyDescent="0.2">
      <c r="H201" s="117"/>
      <c r="I201" s="117"/>
    </row>
    <row r="202" spans="8:9" x14ac:dyDescent="0.2">
      <c r="H202" s="117"/>
      <c r="I202" s="117"/>
    </row>
    <row r="203" spans="8:9" x14ac:dyDescent="0.2">
      <c r="H203" s="117"/>
      <c r="I203" s="117"/>
    </row>
    <row r="204" spans="8:9" x14ac:dyDescent="0.2">
      <c r="H204" s="117"/>
      <c r="I204" s="117"/>
    </row>
    <row r="205" spans="8:9" x14ac:dyDescent="0.2">
      <c r="H205" s="117"/>
      <c r="I205" s="117"/>
    </row>
    <row r="206" spans="8:9" x14ac:dyDescent="0.2">
      <c r="H206" s="117"/>
      <c r="I206" s="117"/>
    </row>
    <row r="207" spans="8:9" x14ac:dyDescent="0.2">
      <c r="H207" s="117"/>
      <c r="I207" s="117"/>
    </row>
    <row r="208" spans="8:9" x14ac:dyDescent="0.2">
      <c r="H208" s="117"/>
      <c r="I208" s="117"/>
    </row>
    <row r="209" spans="8:9" x14ac:dyDescent="0.2">
      <c r="H209" s="117"/>
      <c r="I209" s="117"/>
    </row>
    <row r="210" spans="8:9" x14ac:dyDescent="0.2">
      <c r="H210" s="117"/>
      <c r="I210" s="117"/>
    </row>
    <row r="211" spans="8:9" x14ac:dyDescent="0.2">
      <c r="H211" s="117"/>
      <c r="I211" s="117"/>
    </row>
    <row r="212" spans="8:9" x14ac:dyDescent="0.2">
      <c r="H212" s="117"/>
      <c r="I212" s="117"/>
    </row>
    <row r="213" spans="8:9" x14ac:dyDescent="0.2">
      <c r="H213" s="117"/>
      <c r="I213" s="117"/>
    </row>
    <row r="214" spans="8:9" x14ac:dyDescent="0.2">
      <c r="H214" s="117"/>
      <c r="I214" s="117"/>
    </row>
    <row r="215" spans="8:9" x14ac:dyDescent="0.2">
      <c r="H215" s="117"/>
      <c r="I215" s="117"/>
    </row>
    <row r="216" spans="8:9" x14ac:dyDescent="0.2">
      <c r="H216" s="117"/>
      <c r="I216" s="117"/>
    </row>
    <row r="217" spans="8:9" x14ac:dyDescent="0.2">
      <c r="H217" s="117"/>
      <c r="I217" s="117"/>
    </row>
    <row r="218" spans="8:9" x14ac:dyDescent="0.2">
      <c r="H218" s="117"/>
      <c r="I218" s="117"/>
    </row>
    <row r="219" spans="8:9" x14ac:dyDescent="0.2">
      <c r="H219" s="117"/>
      <c r="I219" s="117"/>
    </row>
    <row r="220" spans="8:9" x14ac:dyDescent="0.2">
      <c r="H220" s="117"/>
      <c r="I220" s="117"/>
    </row>
    <row r="221" spans="8:9" x14ac:dyDescent="0.2">
      <c r="H221" s="117"/>
      <c r="I221" s="117"/>
    </row>
    <row r="222" spans="8:9" x14ac:dyDescent="0.2">
      <c r="H222" s="117"/>
      <c r="I222" s="117"/>
    </row>
    <row r="223" spans="8:9" x14ac:dyDescent="0.2">
      <c r="H223" s="117"/>
      <c r="I223" s="117"/>
    </row>
    <row r="224" spans="8:9" x14ac:dyDescent="0.2">
      <c r="H224" s="117"/>
      <c r="I224" s="117"/>
    </row>
    <row r="225" spans="8:9" x14ac:dyDescent="0.2">
      <c r="H225" s="117"/>
      <c r="I225" s="117"/>
    </row>
    <row r="226" spans="8:9" x14ac:dyDescent="0.2">
      <c r="H226" s="117"/>
      <c r="I226" s="117"/>
    </row>
    <row r="227" spans="8:9" x14ac:dyDescent="0.2">
      <c r="H227" s="117"/>
      <c r="I227" s="117"/>
    </row>
    <row r="228" spans="8:9" x14ac:dyDescent="0.2">
      <c r="H228" s="117"/>
      <c r="I228" s="117"/>
    </row>
    <row r="229" spans="8:9" x14ac:dyDescent="0.2">
      <c r="H229" s="117"/>
      <c r="I229" s="117"/>
    </row>
    <row r="230" spans="8:9" x14ac:dyDescent="0.2">
      <c r="H230" s="117"/>
      <c r="I230" s="117"/>
    </row>
    <row r="231" spans="8:9" x14ac:dyDescent="0.2">
      <c r="H231" s="117"/>
      <c r="I231" s="117"/>
    </row>
    <row r="232" spans="8:9" x14ac:dyDescent="0.2">
      <c r="H232" s="117"/>
      <c r="I232" s="117"/>
    </row>
    <row r="233" spans="8:9" x14ac:dyDescent="0.2">
      <c r="H233" s="117"/>
      <c r="I233" s="117"/>
    </row>
    <row r="234" spans="8:9" x14ac:dyDescent="0.2">
      <c r="H234" s="117"/>
      <c r="I234" s="117"/>
    </row>
    <row r="235" spans="8:9" x14ac:dyDescent="0.2">
      <c r="H235" s="117"/>
      <c r="I235" s="117"/>
    </row>
    <row r="236" spans="8:9" x14ac:dyDescent="0.2">
      <c r="H236" s="117"/>
      <c r="I236" s="117"/>
    </row>
    <row r="237" spans="8:9" x14ac:dyDescent="0.2">
      <c r="H237" s="117"/>
      <c r="I237" s="117"/>
    </row>
    <row r="238" spans="8:9" x14ac:dyDescent="0.2">
      <c r="H238" s="117"/>
      <c r="I238" s="117"/>
    </row>
    <row r="239" spans="8:9" x14ac:dyDescent="0.2">
      <c r="H239" s="117"/>
      <c r="I239" s="117"/>
    </row>
    <row r="240" spans="8:9" x14ac:dyDescent="0.2">
      <c r="H240" s="117"/>
      <c r="I240" s="117"/>
    </row>
    <row r="241" spans="8:9" x14ac:dyDescent="0.2">
      <c r="H241" s="117"/>
      <c r="I241" s="117"/>
    </row>
    <row r="242" spans="8:9" x14ac:dyDescent="0.2">
      <c r="H242" s="117"/>
      <c r="I242" s="117"/>
    </row>
    <row r="243" spans="8:9" x14ac:dyDescent="0.2">
      <c r="H243" s="117"/>
      <c r="I243" s="117"/>
    </row>
    <row r="244" spans="8:9" x14ac:dyDescent="0.2">
      <c r="H244" s="117"/>
      <c r="I244" s="117"/>
    </row>
    <row r="245" spans="8:9" x14ac:dyDescent="0.2">
      <c r="H245" s="117"/>
      <c r="I245" s="117"/>
    </row>
    <row r="246" spans="8:9" x14ac:dyDescent="0.2">
      <c r="H246" s="117"/>
      <c r="I246" s="117"/>
    </row>
    <row r="247" spans="8:9" x14ac:dyDescent="0.2">
      <c r="H247" s="117"/>
      <c r="I247" s="117"/>
    </row>
    <row r="248" spans="8:9" x14ac:dyDescent="0.2">
      <c r="H248" s="117"/>
      <c r="I248" s="117"/>
    </row>
    <row r="249" spans="8:9" x14ac:dyDescent="0.2">
      <c r="H249" s="117"/>
      <c r="I249" s="117"/>
    </row>
    <row r="250" spans="8:9" x14ac:dyDescent="0.2">
      <c r="H250" s="117"/>
      <c r="I250" s="117"/>
    </row>
    <row r="251" spans="8:9" x14ac:dyDescent="0.2">
      <c r="H251" s="117"/>
      <c r="I251" s="117"/>
    </row>
    <row r="252" spans="8:9" x14ac:dyDescent="0.2">
      <c r="H252" s="117"/>
      <c r="I252" s="117"/>
    </row>
    <row r="253" spans="8:9" x14ac:dyDescent="0.2">
      <c r="H253" s="117"/>
      <c r="I253" s="117"/>
    </row>
    <row r="254" spans="8:9" x14ac:dyDescent="0.2">
      <c r="H254" s="117"/>
      <c r="I254" s="117"/>
    </row>
    <row r="255" spans="8:9" x14ac:dyDescent="0.2">
      <c r="H255" s="117"/>
      <c r="I255" s="117"/>
    </row>
    <row r="256" spans="8:9" x14ac:dyDescent="0.2">
      <c r="H256" s="117"/>
      <c r="I256" s="117"/>
    </row>
    <row r="257" spans="8:9" x14ac:dyDescent="0.2">
      <c r="H257" s="117"/>
      <c r="I257" s="117"/>
    </row>
    <row r="258" spans="8:9" x14ac:dyDescent="0.2">
      <c r="H258" s="117"/>
      <c r="I258" s="117"/>
    </row>
    <row r="259" spans="8:9" x14ac:dyDescent="0.2">
      <c r="H259" s="117"/>
      <c r="I259" s="117"/>
    </row>
    <row r="260" spans="8:9" x14ac:dyDescent="0.2">
      <c r="H260" s="117"/>
      <c r="I260" s="117"/>
    </row>
    <row r="261" spans="8:9" x14ac:dyDescent="0.2">
      <c r="H261" s="117"/>
      <c r="I261" s="117"/>
    </row>
    <row r="262" spans="8:9" x14ac:dyDescent="0.2">
      <c r="H262" s="117"/>
      <c r="I262" s="117"/>
    </row>
    <row r="263" spans="8:9" x14ac:dyDescent="0.2">
      <c r="H263" s="117"/>
      <c r="I263" s="117"/>
    </row>
    <row r="264" spans="8:9" x14ac:dyDescent="0.2">
      <c r="H264" s="117"/>
      <c r="I264" s="117"/>
    </row>
    <row r="265" spans="8:9" x14ac:dyDescent="0.2">
      <c r="H265" s="117"/>
      <c r="I265" s="117"/>
    </row>
    <row r="266" spans="8:9" x14ac:dyDescent="0.2">
      <c r="H266" s="117"/>
      <c r="I266" s="117"/>
    </row>
    <row r="267" spans="8:9" x14ac:dyDescent="0.2">
      <c r="H267" s="117"/>
      <c r="I267" s="117"/>
    </row>
    <row r="268" spans="8:9" x14ac:dyDescent="0.2">
      <c r="H268" s="117"/>
      <c r="I268" s="117"/>
    </row>
    <row r="269" spans="8:9" x14ac:dyDescent="0.2">
      <c r="H269" s="117"/>
      <c r="I269" s="117"/>
    </row>
    <row r="270" spans="8:9" x14ac:dyDescent="0.2">
      <c r="H270" s="117"/>
      <c r="I270" s="117"/>
    </row>
    <row r="271" spans="8:9" x14ac:dyDescent="0.2">
      <c r="H271" s="117"/>
      <c r="I271" s="117"/>
    </row>
    <row r="272" spans="8:9" x14ac:dyDescent="0.2">
      <c r="H272" s="117"/>
      <c r="I272" s="117"/>
    </row>
    <row r="273" spans="8:9" x14ac:dyDescent="0.2">
      <c r="H273" s="117"/>
      <c r="I273" s="117"/>
    </row>
    <row r="274" spans="8:9" x14ac:dyDescent="0.2">
      <c r="H274" s="117"/>
      <c r="I274" s="117"/>
    </row>
    <row r="275" spans="8:9" x14ac:dyDescent="0.2">
      <c r="H275" s="117"/>
      <c r="I275" s="117"/>
    </row>
    <row r="276" spans="8:9" x14ac:dyDescent="0.2">
      <c r="H276" s="117"/>
      <c r="I276" s="117"/>
    </row>
    <row r="277" spans="8:9" x14ac:dyDescent="0.2">
      <c r="H277" s="117"/>
      <c r="I277" s="117"/>
    </row>
    <row r="278" spans="8:9" x14ac:dyDescent="0.2">
      <c r="H278" s="117"/>
      <c r="I278" s="117"/>
    </row>
    <row r="279" spans="8:9" x14ac:dyDescent="0.2">
      <c r="H279" s="117"/>
      <c r="I279" s="117"/>
    </row>
    <row r="280" spans="8:9" x14ac:dyDescent="0.2">
      <c r="H280" s="117"/>
      <c r="I280" s="117"/>
    </row>
    <row r="281" spans="8:9" x14ac:dyDescent="0.2">
      <c r="H281" s="117"/>
      <c r="I281" s="117"/>
    </row>
    <row r="282" spans="8:9" x14ac:dyDescent="0.2">
      <c r="H282" s="117"/>
      <c r="I282" s="117"/>
    </row>
    <row r="283" spans="8:9" x14ac:dyDescent="0.2">
      <c r="H283" s="117"/>
      <c r="I283" s="117"/>
    </row>
    <row r="284" spans="8:9" x14ac:dyDescent="0.2">
      <c r="H284" s="117"/>
      <c r="I284" s="117"/>
    </row>
    <row r="285" spans="8:9" x14ac:dyDescent="0.2">
      <c r="H285" s="117"/>
      <c r="I285" s="117"/>
    </row>
    <row r="286" spans="8:9" x14ac:dyDescent="0.2">
      <c r="H286" s="117"/>
      <c r="I286" s="117"/>
    </row>
    <row r="287" spans="8:9" x14ac:dyDescent="0.2">
      <c r="H287" s="117"/>
      <c r="I287" s="117"/>
    </row>
    <row r="288" spans="8:9" x14ac:dyDescent="0.2">
      <c r="H288" s="117"/>
      <c r="I288" s="117"/>
    </row>
    <row r="289" spans="8:9" x14ac:dyDescent="0.2">
      <c r="H289" s="117"/>
      <c r="I289" s="117"/>
    </row>
    <row r="290" spans="8:9" x14ac:dyDescent="0.2">
      <c r="H290" s="117"/>
      <c r="I290" s="117"/>
    </row>
    <row r="291" spans="8:9" x14ac:dyDescent="0.2">
      <c r="H291" s="117"/>
      <c r="I291" s="117"/>
    </row>
    <row r="292" spans="8:9" x14ac:dyDescent="0.2">
      <c r="H292" s="117"/>
      <c r="I292" s="117"/>
    </row>
    <row r="293" spans="8:9" x14ac:dyDescent="0.2">
      <c r="H293" s="117"/>
      <c r="I293" s="117"/>
    </row>
    <row r="294" spans="8:9" x14ac:dyDescent="0.2">
      <c r="H294" s="117"/>
      <c r="I294" s="117"/>
    </row>
    <row r="295" spans="8:9" x14ac:dyDescent="0.2">
      <c r="H295" s="117"/>
      <c r="I295" s="117"/>
    </row>
    <row r="296" spans="8:9" x14ac:dyDescent="0.2">
      <c r="H296" s="117"/>
      <c r="I296" s="117"/>
    </row>
    <row r="297" spans="8:9" x14ac:dyDescent="0.2">
      <c r="H297" s="117"/>
      <c r="I297" s="117"/>
    </row>
    <row r="298" spans="8:9" x14ac:dyDescent="0.2">
      <c r="H298" s="117"/>
      <c r="I298" s="117"/>
    </row>
    <row r="299" spans="8:9" x14ac:dyDescent="0.2">
      <c r="H299" s="117"/>
      <c r="I299" s="117"/>
    </row>
    <row r="300" spans="8:9" x14ac:dyDescent="0.2">
      <c r="H300" s="117"/>
      <c r="I300" s="117"/>
    </row>
    <row r="301" spans="8:9" x14ac:dyDescent="0.2">
      <c r="H301" s="117"/>
      <c r="I301" s="117"/>
    </row>
    <row r="302" spans="8:9" x14ac:dyDescent="0.2">
      <c r="H302" s="117"/>
      <c r="I302" s="117"/>
    </row>
    <row r="303" spans="8:9" x14ac:dyDescent="0.2">
      <c r="H303" s="117"/>
      <c r="I303" s="117"/>
    </row>
    <row r="304" spans="8:9" x14ac:dyDescent="0.2">
      <c r="H304" s="117"/>
      <c r="I304" s="117"/>
    </row>
    <row r="305" spans="8:9" x14ac:dyDescent="0.2">
      <c r="H305" s="117"/>
      <c r="I305" s="117"/>
    </row>
    <row r="306" spans="8:9" x14ac:dyDescent="0.2">
      <c r="H306" s="117"/>
      <c r="I306" s="117"/>
    </row>
    <row r="307" spans="8:9" x14ac:dyDescent="0.2">
      <c r="H307" s="117"/>
      <c r="I307" s="117"/>
    </row>
    <row r="308" spans="8:9" x14ac:dyDescent="0.2">
      <c r="H308" s="117"/>
      <c r="I308" s="117"/>
    </row>
    <row r="309" spans="8:9" x14ac:dyDescent="0.2">
      <c r="H309" s="117"/>
      <c r="I309" s="117"/>
    </row>
    <row r="310" spans="8:9" x14ac:dyDescent="0.2">
      <c r="H310" s="117"/>
      <c r="I310" s="117"/>
    </row>
    <row r="311" spans="8:9" x14ac:dyDescent="0.2">
      <c r="H311" s="117"/>
      <c r="I311" s="117"/>
    </row>
    <row r="312" spans="8:9" x14ac:dyDescent="0.2">
      <c r="H312" s="117"/>
      <c r="I312" s="117"/>
    </row>
    <row r="313" spans="8:9" x14ac:dyDescent="0.2">
      <c r="H313" s="117"/>
      <c r="I313" s="117"/>
    </row>
    <row r="314" spans="8:9" x14ac:dyDescent="0.2">
      <c r="H314" s="117"/>
      <c r="I314" s="117"/>
    </row>
    <row r="315" spans="8:9" x14ac:dyDescent="0.2">
      <c r="H315" s="117"/>
      <c r="I315" s="117"/>
    </row>
    <row r="316" spans="8:9" x14ac:dyDescent="0.2">
      <c r="H316" s="117"/>
      <c r="I316" s="117"/>
    </row>
    <row r="317" spans="8:9" x14ac:dyDescent="0.2">
      <c r="H317" s="117"/>
      <c r="I317" s="117"/>
    </row>
    <row r="318" spans="8:9" x14ac:dyDescent="0.2">
      <c r="H318" s="117"/>
      <c r="I318" s="117"/>
    </row>
    <row r="319" spans="8:9" x14ac:dyDescent="0.2">
      <c r="H319" s="117"/>
      <c r="I319" s="117"/>
    </row>
    <row r="320" spans="8:9" x14ac:dyDescent="0.2">
      <c r="H320" s="117"/>
      <c r="I320" s="117"/>
    </row>
    <row r="321" spans="8:9" x14ac:dyDescent="0.2">
      <c r="H321" s="117"/>
      <c r="I321" s="117"/>
    </row>
    <row r="322" spans="8:9" x14ac:dyDescent="0.2">
      <c r="H322" s="117"/>
      <c r="I322" s="117"/>
    </row>
    <row r="323" spans="8:9" x14ac:dyDescent="0.2">
      <c r="H323" s="117"/>
      <c r="I323" s="117"/>
    </row>
    <row r="324" spans="8:9" x14ac:dyDescent="0.2">
      <c r="H324" s="117"/>
      <c r="I324" s="117"/>
    </row>
    <row r="325" spans="8:9" x14ac:dyDescent="0.2">
      <c r="H325" s="117"/>
      <c r="I325" s="117"/>
    </row>
    <row r="326" spans="8:9" x14ac:dyDescent="0.2">
      <c r="H326" s="117"/>
      <c r="I326" s="117"/>
    </row>
    <row r="327" spans="8:9" x14ac:dyDescent="0.2">
      <c r="H327" s="117"/>
      <c r="I327" s="117"/>
    </row>
    <row r="328" spans="8:9" x14ac:dyDescent="0.2">
      <c r="H328" s="117"/>
      <c r="I328" s="117"/>
    </row>
    <row r="329" spans="8:9" x14ac:dyDescent="0.2">
      <c r="H329" s="117"/>
      <c r="I329" s="117"/>
    </row>
    <row r="330" spans="8:9" x14ac:dyDescent="0.2">
      <c r="H330" s="117"/>
      <c r="I330" s="117"/>
    </row>
    <row r="331" spans="8:9" x14ac:dyDescent="0.2">
      <c r="H331" s="117"/>
      <c r="I331" s="117"/>
    </row>
    <row r="332" spans="8:9" x14ac:dyDescent="0.2">
      <c r="H332" s="117"/>
      <c r="I332" s="117"/>
    </row>
    <row r="333" spans="8:9" x14ac:dyDescent="0.2">
      <c r="H333" s="117"/>
      <c r="I333" s="117"/>
    </row>
    <row r="334" spans="8:9" x14ac:dyDescent="0.2">
      <c r="H334" s="117"/>
      <c r="I334" s="117"/>
    </row>
    <row r="335" spans="8:9" x14ac:dyDescent="0.2">
      <c r="H335" s="117"/>
      <c r="I335" s="117"/>
    </row>
    <row r="336" spans="8:9" x14ac:dyDescent="0.2">
      <c r="H336" s="117"/>
      <c r="I336" s="117"/>
    </row>
    <row r="337" spans="8:9" x14ac:dyDescent="0.2">
      <c r="H337" s="117"/>
      <c r="I337" s="117"/>
    </row>
    <row r="338" spans="8:9" x14ac:dyDescent="0.2">
      <c r="H338" s="117"/>
      <c r="I338" s="117"/>
    </row>
    <row r="339" spans="8:9" x14ac:dyDescent="0.2">
      <c r="H339" s="117"/>
      <c r="I339" s="117"/>
    </row>
    <row r="340" spans="8:9" x14ac:dyDescent="0.2">
      <c r="H340" s="117"/>
      <c r="I340" s="117"/>
    </row>
    <row r="341" spans="8:9" x14ac:dyDescent="0.2">
      <c r="H341" s="117"/>
      <c r="I341" s="117"/>
    </row>
    <row r="342" spans="8:9" x14ac:dyDescent="0.2">
      <c r="H342" s="117"/>
      <c r="I342" s="117"/>
    </row>
    <row r="343" spans="8:9" x14ac:dyDescent="0.2">
      <c r="H343" s="117"/>
      <c r="I343" s="117"/>
    </row>
    <row r="344" spans="8:9" x14ac:dyDescent="0.2">
      <c r="H344" s="117"/>
      <c r="I344" s="117"/>
    </row>
    <row r="345" spans="8:9" x14ac:dyDescent="0.2">
      <c r="H345" s="117"/>
      <c r="I345" s="117"/>
    </row>
    <row r="346" spans="8:9" x14ac:dyDescent="0.2">
      <c r="H346" s="117"/>
      <c r="I346" s="117"/>
    </row>
    <row r="347" spans="8:9" x14ac:dyDescent="0.2">
      <c r="H347" s="117"/>
      <c r="I347" s="117"/>
    </row>
    <row r="348" spans="8:9" x14ac:dyDescent="0.2">
      <c r="H348" s="117"/>
      <c r="I348" s="117"/>
    </row>
    <row r="349" spans="8:9" x14ac:dyDescent="0.2">
      <c r="H349" s="117"/>
      <c r="I349" s="117"/>
    </row>
    <row r="350" spans="8:9" x14ac:dyDescent="0.2">
      <c r="H350" s="117"/>
      <c r="I350" s="117"/>
    </row>
    <row r="351" spans="8:9" x14ac:dyDescent="0.2">
      <c r="H351" s="117"/>
      <c r="I351" s="117"/>
    </row>
    <row r="352" spans="8:9" x14ac:dyDescent="0.2">
      <c r="H352" s="117"/>
      <c r="I352" s="117"/>
    </row>
    <row r="353" spans="8:9" x14ac:dyDescent="0.2">
      <c r="H353" s="117"/>
      <c r="I353" s="117"/>
    </row>
    <row r="354" spans="8:9" x14ac:dyDescent="0.2">
      <c r="H354" s="117"/>
      <c r="I354" s="117"/>
    </row>
    <row r="355" spans="8:9" x14ac:dyDescent="0.2">
      <c r="H355" s="117"/>
      <c r="I355" s="117"/>
    </row>
    <row r="356" spans="8:9" x14ac:dyDescent="0.2">
      <c r="H356" s="117"/>
      <c r="I356" s="117"/>
    </row>
    <row r="357" spans="8:9" x14ac:dyDescent="0.2">
      <c r="H357" s="117"/>
      <c r="I357" s="117"/>
    </row>
    <row r="358" spans="8:9" x14ac:dyDescent="0.2">
      <c r="H358" s="117"/>
      <c r="I358" s="117"/>
    </row>
    <row r="359" spans="8:9" x14ac:dyDescent="0.2">
      <c r="H359" s="117"/>
      <c r="I359" s="117"/>
    </row>
    <row r="360" spans="8:9" x14ac:dyDescent="0.2">
      <c r="H360" s="117"/>
      <c r="I360" s="117"/>
    </row>
    <row r="361" spans="8:9" x14ac:dyDescent="0.2">
      <c r="H361" s="117"/>
      <c r="I361" s="117"/>
    </row>
    <row r="362" spans="8:9" x14ac:dyDescent="0.2">
      <c r="H362" s="117"/>
      <c r="I362" s="117"/>
    </row>
    <row r="363" spans="8:9" x14ac:dyDescent="0.2">
      <c r="H363" s="117"/>
      <c r="I363" s="117"/>
    </row>
    <row r="364" spans="8:9" x14ac:dyDescent="0.2">
      <c r="H364" s="117"/>
      <c r="I364" s="117"/>
    </row>
    <row r="365" spans="8:9" x14ac:dyDescent="0.2">
      <c r="H365" s="117"/>
      <c r="I365" s="117"/>
    </row>
    <row r="366" spans="8:9" x14ac:dyDescent="0.2">
      <c r="H366" s="117"/>
      <c r="I366" s="117"/>
    </row>
    <row r="367" spans="8:9" x14ac:dyDescent="0.2">
      <c r="H367" s="117"/>
      <c r="I367" s="117"/>
    </row>
    <row r="368" spans="8:9" x14ac:dyDescent="0.2">
      <c r="H368" s="117"/>
      <c r="I368" s="117"/>
    </row>
    <row r="369" spans="8:9" x14ac:dyDescent="0.2">
      <c r="H369" s="117"/>
      <c r="I369" s="117"/>
    </row>
    <row r="370" spans="8:9" x14ac:dyDescent="0.2">
      <c r="H370" s="117"/>
      <c r="I370" s="117"/>
    </row>
    <row r="371" spans="8:9" x14ac:dyDescent="0.2">
      <c r="H371" s="117"/>
      <c r="I371" s="117"/>
    </row>
    <row r="372" spans="8:9" x14ac:dyDescent="0.2">
      <c r="H372" s="117"/>
      <c r="I372" s="117"/>
    </row>
    <row r="373" spans="8:9" x14ac:dyDescent="0.2">
      <c r="H373" s="117"/>
      <c r="I373" s="117"/>
    </row>
    <row r="374" spans="8:9" x14ac:dyDescent="0.2">
      <c r="H374" s="117"/>
      <c r="I374" s="117"/>
    </row>
    <row r="375" spans="8:9" x14ac:dyDescent="0.2">
      <c r="H375" s="117"/>
      <c r="I375" s="117"/>
    </row>
    <row r="376" spans="8:9" x14ac:dyDescent="0.2">
      <c r="H376" s="117"/>
      <c r="I376" s="117"/>
    </row>
    <row r="377" spans="8:9" x14ac:dyDescent="0.2">
      <c r="H377" s="117"/>
      <c r="I377" s="117"/>
    </row>
    <row r="378" spans="8:9" x14ac:dyDescent="0.2">
      <c r="H378" s="117"/>
      <c r="I378" s="117"/>
    </row>
    <row r="379" spans="8:9" x14ac:dyDescent="0.2">
      <c r="H379" s="117"/>
      <c r="I379" s="117"/>
    </row>
    <row r="380" spans="8:9" x14ac:dyDescent="0.2">
      <c r="H380" s="117"/>
      <c r="I380" s="117"/>
    </row>
    <row r="381" spans="8:9" x14ac:dyDescent="0.2">
      <c r="H381" s="117"/>
      <c r="I381" s="117"/>
    </row>
    <row r="382" spans="8:9" x14ac:dyDescent="0.2">
      <c r="H382" s="117"/>
      <c r="I382" s="117"/>
    </row>
    <row r="383" spans="8:9" x14ac:dyDescent="0.2">
      <c r="H383" s="117"/>
      <c r="I383" s="117"/>
    </row>
    <row r="384" spans="8:9" x14ac:dyDescent="0.2">
      <c r="H384" s="117"/>
      <c r="I384" s="117"/>
    </row>
    <row r="385" spans="8:9" x14ac:dyDescent="0.2">
      <c r="H385" s="117"/>
      <c r="I385" s="117"/>
    </row>
    <row r="386" spans="8:9" x14ac:dyDescent="0.2">
      <c r="H386" s="117"/>
      <c r="I386" s="117"/>
    </row>
    <row r="387" spans="8:9" x14ac:dyDescent="0.2">
      <c r="H387" s="117"/>
      <c r="I387" s="117"/>
    </row>
    <row r="388" spans="8:9" x14ac:dyDescent="0.2">
      <c r="H388" s="117"/>
      <c r="I388" s="117"/>
    </row>
    <row r="389" spans="8:9" x14ac:dyDescent="0.2">
      <c r="H389" s="117"/>
      <c r="I389" s="117"/>
    </row>
    <row r="390" spans="8:9" x14ac:dyDescent="0.2">
      <c r="H390" s="117"/>
      <c r="I390" s="117"/>
    </row>
    <row r="391" spans="8:9" x14ac:dyDescent="0.2">
      <c r="H391" s="117"/>
      <c r="I391" s="117"/>
    </row>
    <row r="392" spans="8:9" x14ac:dyDescent="0.2">
      <c r="H392" s="117"/>
      <c r="I392" s="117"/>
    </row>
    <row r="393" spans="8:9" x14ac:dyDescent="0.2">
      <c r="H393" s="117"/>
      <c r="I393" s="117"/>
    </row>
    <row r="394" spans="8:9" x14ac:dyDescent="0.2">
      <c r="H394" s="117"/>
      <c r="I394" s="117"/>
    </row>
    <row r="395" spans="8:9" x14ac:dyDescent="0.2">
      <c r="H395" s="117"/>
      <c r="I395" s="117"/>
    </row>
    <row r="396" spans="8:9" x14ac:dyDescent="0.2">
      <c r="H396" s="117"/>
      <c r="I396" s="117"/>
    </row>
    <row r="397" spans="8:9" x14ac:dyDescent="0.2">
      <c r="H397" s="117"/>
      <c r="I397" s="117"/>
    </row>
    <row r="398" spans="8:9" x14ac:dyDescent="0.2">
      <c r="H398" s="117"/>
      <c r="I398" s="117"/>
    </row>
    <row r="399" spans="8:9" x14ac:dyDescent="0.2">
      <c r="H399" s="117"/>
      <c r="I399" s="117"/>
    </row>
    <row r="400" spans="8:9" x14ac:dyDescent="0.2">
      <c r="H400" s="117"/>
      <c r="I400" s="117"/>
    </row>
    <row r="401" spans="8:9" x14ac:dyDescent="0.2">
      <c r="H401" s="117"/>
      <c r="I401" s="117"/>
    </row>
    <row r="402" spans="8:9" x14ac:dyDescent="0.2">
      <c r="H402" s="117"/>
      <c r="I402" s="117"/>
    </row>
    <row r="403" spans="8:9" x14ac:dyDescent="0.2">
      <c r="H403" s="117"/>
      <c r="I403" s="117"/>
    </row>
    <row r="404" spans="8:9" x14ac:dyDescent="0.2">
      <c r="H404" s="117"/>
      <c r="I404" s="117"/>
    </row>
    <row r="405" spans="8:9" x14ac:dyDescent="0.2">
      <c r="H405" s="117"/>
      <c r="I405" s="117"/>
    </row>
    <row r="406" spans="8:9" x14ac:dyDescent="0.2">
      <c r="H406" s="117"/>
      <c r="I406" s="117"/>
    </row>
    <row r="407" spans="8:9" x14ac:dyDescent="0.2">
      <c r="H407" s="117"/>
      <c r="I407" s="117"/>
    </row>
    <row r="408" spans="8:9" x14ac:dyDescent="0.2">
      <c r="H408" s="117"/>
      <c r="I408" s="117"/>
    </row>
    <row r="409" spans="8:9" x14ac:dyDescent="0.2">
      <c r="H409" s="117"/>
      <c r="I409" s="117"/>
    </row>
    <row r="410" spans="8:9" x14ac:dyDescent="0.2">
      <c r="H410" s="117"/>
      <c r="I410" s="117"/>
    </row>
    <row r="411" spans="8:9" x14ac:dyDescent="0.2">
      <c r="H411" s="117"/>
      <c r="I411" s="117"/>
    </row>
    <row r="412" spans="8:9" x14ac:dyDescent="0.2">
      <c r="H412" s="117"/>
      <c r="I412" s="117"/>
    </row>
    <row r="413" spans="8:9" x14ac:dyDescent="0.2">
      <c r="H413" s="117"/>
      <c r="I413" s="117"/>
    </row>
    <row r="414" spans="8:9" x14ac:dyDescent="0.2">
      <c r="H414" s="117"/>
      <c r="I414" s="117"/>
    </row>
    <row r="415" spans="8:9" x14ac:dyDescent="0.2">
      <c r="H415" s="117"/>
      <c r="I415" s="117"/>
    </row>
    <row r="416" spans="8:9" x14ac:dyDescent="0.2">
      <c r="H416" s="117"/>
      <c r="I416" s="117"/>
    </row>
    <row r="417" spans="8:9" x14ac:dyDescent="0.2">
      <c r="H417" s="117"/>
      <c r="I417" s="117"/>
    </row>
    <row r="418" spans="8:9" x14ac:dyDescent="0.2">
      <c r="H418" s="117"/>
      <c r="I418" s="117"/>
    </row>
    <row r="419" spans="8:9" x14ac:dyDescent="0.2">
      <c r="H419" s="117"/>
      <c r="I419" s="117"/>
    </row>
    <row r="420" spans="8:9" x14ac:dyDescent="0.2">
      <c r="H420" s="117"/>
      <c r="I420" s="117"/>
    </row>
    <row r="421" spans="8:9" x14ac:dyDescent="0.2">
      <c r="H421" s="117"/>
      <c r="I421" s="117"/>
    </row>
    <row r="422" spans="8:9" x14ac:dyDescent="0.2">
      <c r="H422" s="117"/>
      <c r="I422" s="117"/>
    </row>
    <row r="423" spans="8:9" x14ac:dyDescent="0.2">
      <c r="H423" s="117"/>
      <c r="I423" s="117"/>
    </row>
    <row r="424" spans="8:9" x14ac:dyDescent="0.2">
      <c r="H424" s="117"/>
      <c r="I424" s="117"/>
    </row>
    <row r="425" spans="8:9" x14ac:dyDescent="0.2">
      <c r="H425" s="117"/>
      <c r="I425" s="117"/>
    </row>
    <row r="426" spans="8:9" x14ac:dyDescent="0.2">
      <c r="H426" s="117"/>
      <c r="I426" s="117"/>
    </row>
    <row r="427" spans="8:9" x14ac:dyDescent="0.2">
      <c r="H427" s="117"/>
      <c r="I427" s="117"/>
    </row>
    <row r="428" spans="8:9" x14ac:dyDescent="0.2">
      <c r="H428" s="117"/>
      <c r="I428" s="117"/>
    </row>
    <row r="429" spans="8:9" x14ac:dyDescent="0.2">
      <c r="H429" s="117"/>
      <c r="I429" s="117"/>
    </row>
    <row r="430" spans="8:9" x14ac:dyDescent="0.2">
      <c r="H430" s="117"/>
      <c r="I430" s="117"/>
    </row>
    <row r="431" spans="8:9" x14ac:dyDescent="0.2">
      <c r="H431" s="117"/>
      <c r="I431" s="117"/>
    </row>
    <row r="432" spans="8:9" x14ac:dyDescent="0.2">
      <c r="H432" s="117"/>
      <c r="I432" s="117"/>
    </row>
    <row r="433" spans="8:9" x14ac:dyDescent="0.2">
      <c r="H433" s="117"/>
      <c r="I433" s="117"/>
    </row>
    <row r="434" spans="8:9" x14ac:dyDescent="0.2">
      <c r="H434" s="117"/>
      <c r="I434" s="117"/>
    </row>
    <row r="435" spans="8:9" x14ac:dyDescent="0.2">
      <c r="H435" s="117"/>
      <c r="I435" s="117"/>
    </row>
    <row r="436" spans="8:9" x14ac:dyDescent="0.2">
      <c r="H436" s="117"/>
      <c r="I436" s="117"/>
    </row>
    <row r="437" spans="8:9" x14ac:dyDescent="0.2">
      <c r="H437" s="117"/>
      <c r="I437" s="117"/>
    </row>
    <row r="438" spans="8:9" x14ac:dyDescent="0.2">
      <c r="H438" s="117"/>
      <c r="I438" s="117"/>
    </row>
    <row r="439" spans="8:9" x14ac:dyDescent="0.2">
      <c r="H439" s="117"/>
      <c r="I439" s="117"/>
    </row>
    <row r="440" spans="8:9" x14ac:dyDescent="0.2">
      <c r="H440" s="117"/>
      <c r="I440" s="117"/>
    </row>
    <row r="441" spans="8:9" x14ac:dyDescent="0.2">
      <c r="H441" s="117"/>
      <c r="I441" s="117"/>
    </row>
    <row r="442" spans="8:9" x14ac:dyDescent="0.2">
      <c r="H442" s="117"/>
      <c r="I442" s="117"/>
    </row>
    <row r="443" spans="8:9" x14ac:dyDescent="0.2">
      <c r="H443" s="117"/>
      <c r="I443" s="117"/>
    </row>
    <row r="444" spans="8:9" x14ac:dyDescent="0.2">
      <c r="H444" s="117"/>
      <c r="I444" s="117"/>
    </row>
    <row r="445" spans="8:9" x14ac:dyDescent="0.2">
      <c r="H445" s="117"/>
      <c r="I445" s="117"/>
    </row>
    <row r="446" spans="8:9" x14ac:dyDescent="0.2">
      <c r="H446" s="117"/>
      <c r="I446" s="117"/>
    </row>
    <row r="447" spans="8:9" x14ac:dyDescent="0.2">
      <c r="H447" s="117"/>
      <c r="I447" s="117"/>
    </row>
    <row r="448" spans="8:9" x14ac:dyDescent="0.2">
      <c r="H448" s="117"/>
      <c r="I448" s="117"/>
    </row>
    <row r="449" spans="8:9" x14ac:dyDescent="0.2">
      <c r="H449" s="117"/>
      <c r="I449" s="117"/>
    </row>
    <row r="450" spans="8:9" x14ac:dyDescent="0.2">
      <c r="H450" s="117"/>
      <c r="I450" s="117"/>
    </row>
    <row r="451" spans="8:9" x14ac:dyDescent="0.2">
      <c r="H451" s="117"/>
      <c r="I451" s="117"/>
    </row>
    <row r="452" spans="8:9" x14ac:dyDescent="0.2">
      <c r="H452" s="117"/>
      <c r="I452" s="117"/>
    </row>
    <row r="453" spans="8:9" x14ac:dyDescent="0.2">
      <c r="H453" s="117"/>
      <c r="I453" s="117"/>
    </row>
    <row r="454" spans="8:9" x14ac:dyDescent="0.2">
      <c r="H454" s="117"/>
      <c r="I454" s="117"/>
    </row>
    <row r="455" spans="8:9" x14ac:dyDescent="0.2">
      <c r="H455" s="117"/>
      <c r="I455" s="117"/>
    </row>
    <row r="456" spans="8:9" x14ac:dyDescent="0.2">
      <c r="H456" s="117"/>
      <c r="I456" s="117"/>
    </row>
    <row r="457" spans="8:9" x14ac:dyDescent="0.2">
      <c r="H457" s="117"/>
      <c r="I457" s="117"/>
    </row>
    <row r="458" spans="8:9" x14ac:dyDescent="0.2">
      <c r="H458" s="117"/>
      <c r="I458" s="117"/>
    </row>
    <row r="459" spans="8:9" x14ac:dyDescent="0.2">
      <c r="H459" s="117"/>
      <c r="I459" s="117"/>
    </row>
    <row r="460" spans="8:9" x14ac:dyDescent="0.2">
      <c r="H460" s="117"/>
      <c r="I460" s="117"/>
    </row>
    <row r="461" spans="8:9" x14ac:dyDescent="0.2">
      <c r="H461" s="117"/>
      <c r="I461" s="117"/>
    </row>
    <row r="462" spans="8:9" x14ac:dyDescent="0.2">
      <c r="H462" s="117"/>
      <c r="I462" s="117"/>
    </row>
    <row r="463" spans="8:9" x14ac:dyDescent="0.2">
      <c r="H463" s="117"/>
      <c r="I463" s="117"/>
    </row>
    <row r="464" spans="8:9" x14ac:dyDescent="0.2">
      <c r="H464" s="117"/>
      <c r="I464" s="117"/>
    </row>
    <row r="465" spans="8:9" x14ac:dyDescent="0.2">
      <c r="H465" s="117"/>
      <c r="I465" s="117"/>
    </row>
    <row r="466" spans="8:9" x14ac:dyDescent="0.2">
      <c r="H466" s="117"/>
      <c r="I466" s="117"/>
    </row>
    <row r="467" spans="8:9" x14ac:dyDescent="0.2">
      <c r="H467" s="117"/>
      <c r="I467" s="117"/>
    </row>
    <row r="468" spans="8:9" x14ac:dyDescent="0.2">
      <c r="H468" s="117"/>
      <c r="I468" s="117"/>
    </row>
    <row r="469" spans="8:9" x14ac:dyDescent="0.2">
      <c r="H469" s="117"/>
      <c r="I469" s="117"/>
    </row>
    <row r="470" spans="8:9" x14ac:dyDescent="0.2">
      <c r="H470" s="117"/>
      <c r="I470" s="117"/>
    </row>
    <row r="471" spans="8:9" x14ac:dyDescent="0.2">
      <c r="H471" s="117"/>
      <c r="I471" s="117"/>
    </row>
    <row r="472" spans="8:9" x14ac:dyDescent="0.2">
      <c r="H472" s="117"/>
      <c r="I472" s="117"/>
    </row>
    <row r="473" spans="8:9" x14ac:dyDescent="0.2">
      <c r="H473" s="117"/>
      <c r="I473" s="117"/>
    </row>
    <row r="474" spans="8:9" x14ac:dyDescent="0.2">
      <c r="H474" s="117"/>
      <c r="I474" s="117"/>
    </row>
    <row r="475" spans="8:9" x14ac:dyDescent="0.2">
      <c r="H475" s="117"/>
      <c r="I475" s="117"/>
    </row>
    <row r="476" spans="8:9" x14ac:dyDescent="0.2">
      <c r="H476" s="117"/>
      <c r="I476" s="117"/>
    </row>
    <row r="477" spans="8:9" x14ac:dyDescent="0.2">
      <c r="H477" s="117"/>
      <c r="I477" s="117"/>
    </row>
    <row r="478" spans="8:9" x14ac:dyDescent="0.2">
      <c r="H478" s="117"/>
      <c r="I478" s="117"/>
    </row>
    <row r="479" spans="8:9" x14ac:dyDescent="0.2">
      <c r="H479" s="117"/>
      <c r="I479" s="117"/>
    </row>
    <row r="480" spans="8:9" x14ac:dyDescent="0.2">
      <c r="H480" s="117"/>
      <c r="I480" s="117"/>
    </row>
    <row r="481" spans="8:9" x14ac:dyDescent="0.2">
      <c r="H481" s="117"/>
      <c r="I481" s="117"/>
    </row>
    <row r="482" spans="8:9" x14ac:dyDescent="0.2">
      <c r="H482" s="117"/>
      <c r="I482" s="117"/>
    </row>
    <row r="483" spans="8:9" x14ac:dyDescent="0.2">
      <c r="H483" s="117"/>
      <c r="I483" s="117"/>
    </row>
    <row r="484" spans="8:9" x14ac:dyDescent="0.2">
      <c r="H484" s="117"/>
      <c r="I484" s="117"/>
    </row>
    <row r="485" spans="8:9" x14ac:dyDescent="0.2">
      <c r="H485" s="117"/>
      <c r="I485" s="117"/>
    </row>
    <row r="486" spans="8:9" x14ac:dyDescent="0.2">
      <c r="H486" s="117"/>
      <c r="I486" s="117"/>
    </row>
    <row r="487" spans="8:9" x14ac:dyDescent="0.2">
      <c r="H487" s="117"/>
      <c r="I487" s="117"/>
    </row>
    <row r="488" spans="8:9" x14ac:dyDescent="0.2">
      <c r="H488" s="117"/>
      <c r="I488" s="117"/>
    </row>
    <row r="489" spans="8:9" x14ac:dyDescent="0.2">
      <c r="H489" s="117"/>
      <c r="I489" s="117"/>
    </row>
    <row r="490" spans="8:9" x14ac:dyDescent="0.2">
      <c r="H490" s="117"/>
      <c r="I490" s="117"/>
    </row>
    <row r="491" spans="8:9" x14ac:dyDescent="0.2">
      <c r="H491" s="117"/>
      <c r="I491" s="117"/>
    </row>
    <row r="492" spans="8:9" x14ac:dyDescent="0.2">
      <c r="H492" s="117"/>
      <c r="I492" s="117"/>
    </row>
    <row r="493" spans="8:9" x14ac:dyDescent="0.2">
      <c r="H493" s="117"/>
      <c r="I493" s="117"/>
    </row>
    <row r="494" spans="8:9" x14ac:dyDescent="0.2">
      <c r="H494" s="117"/>
      <c r="I494" s="117"/>
    </row>
    <row r="495" spans="8:9" x14ac:dyDescent="0.2">
      <c r="H495" s="117"/>
      <c r="I495" s="117"/>
    </row>
    <row r="496" spans="8:9" x14ac:dyDescent="0.2">
      <c r="H496" s="117"/>
      <c r="I496" s="117"/>
    </row>
    <row r="497" spans="8:9" x14ac:dyDescent="0.2">
      <c r="H497" s="117"/>
      <c r="I497" s="117"/>
    </row>
    <row r="498" spans="8:9" x14ac:dyDescent="0.2">
      <c r="H498" s="117"/>
      <c r="I498" s="117"/>
    </row>
    <row r="499" spans="8:9" x14ac:dyDescent="0.2">
      <c r="H499" s="117"/>
      <c r="I499" s="117"/>
    </row>
    <row r="500" spans="8:9" x14ac:dyDescent="0.2">
      <c r="H500" s="117"/>
      <c r="I500" s="117"/>
    </row>
    <row r="501" spans="8:9" x14ac:dyDescent="0.2">
      <c r="H501" s="117"/>
      <c r="I501" s="117"/>
    </row>
    <row r="502" spans="8:9" x14ac:dyDescent="0.2">
      <c r="H502" s="117"/>
      <c r="I502" s="117"/>
    </row>
    <row r="503" spans="8:9" x14ac:dyDescent="0.2">
      <c r="H503" s="117"/>
      <c r="I503" s="117"/>
    </row>
    <row r="504" spans="8:9" x14ac:dyDescent="0.2">
      <c r="H504" s="117"/>
      <c r="I504" s="117"/>
    </row>
    <row r="505" spans="8:9" x14ac:dyDescent="0.2">
      <c r="H505" s="117"/>
      <c r="I505" s="117"/>
    </row>
    <row r="506" spans="8:9" x14ac:dyDescent="0.2">
      <c r="H506" s="117"/>
      <c r="I506" s="117"/>
    </row>
    <row r="507" spans="8:9" x14ac:dyDescent="0.2">
      <c r="H507" s="117"/>
      <c r="I507" s="117"/>
    </row>
    <row r="508" spans="8:9" x14ac:dyDescent="0.2">
      <c r="H508" s="117"/>
      <c r="I508" s="117"/>
    </row>
    <row r="509" spans="8:9" x14ac:dyDescent="0.2">
      <c r="H509" s="117"/>
      <c r="I509" s="117"/>
    </row>
    <row r="510" spans="8:9" x14ac:dyDescent="0.2">
      <c r="H510" s="117"/>
      <c r="I510" s="117"/>
    </row>
    <row r="511" spans="8:9" x14ac:dyDescent="0.2">
      <c r="H511" s="117"/>
      <c r="I511" s="117"/>
    </row>
    <row r="512" spans="8:9" x14ac:dyDescent="0.2">
      <c r="H512" s="117"/>
      <c r="I512" s="117"/>
    </row>
    <row r="513" spans="8:9" x14ac:dyDescent="0.2">
      <c r="H513" s="117"/>
      <c r="I513" s="117"/>
    </row>
    <row r="514" spans="8:9" x14ac:dyDescent="0.2">
      <c r="H514" s="117"/>
      <c r="I514" s="117"/>
    </row>
    <row r="515" spans="8:9" x14ac:dyDescent="0.2">
      <c r="H515" s="117"/>
      <c r="I515" s="117"/>
    </row>
    <row r="516" spans="8:9" x14ac:dyDescent="0.2">
      <c r="H516" s="117"/>
      <c r="I516" s="117"/>
    </row>
    <row r="517" spans="8:9" x14ac:dyDescent="0.2">
      <c r="H517" s="117"/>
      <c r="I517" s="117"/>
    </row>
    <row r="518" spans="8:9" x14ac:dyDescent="0.2">
      <c r="H518" s="117"/>
      <c r="I518" s="117"/>
    </row>
    <row r="519" spans="8:9" x14ac:dyDescent="0.2">
      <c r="H519" s="117"/>
      <c r="I519" s="117"/>
    </row>
    <row r="520" spans="8:9" x14ac:dyDescent="0.2">
      <c r="H520" s="117"/>
      <c r="I520" s="117"/>
    </row>
    <row r="521" spans="8:9" x14ac:dyDescent="0.2">
      <c r="H521" s="117"/>
      <c r="I521" s="117"/>
    </row>
    <row r="522" spans="8:9" x14ac:dyDescent="0.2">
      <c r="H522" s="117"/>
      <c r="I522" s="117"/>
    </row>
    <row r="523" spans="8:9" x14ac:dyDescent="0.2">
      <c r="H523" s="117"/>
      <c r="I523" s="117"/>
    </row>
    <row r="524" spans="8:9" x14ac:dyDescent="0.2">
      <c r="H524" s="117"/>
      <c r="I524" s="117"/>
    </row>
    <row r="525" spans="8:9" x14ac:dyDescent="0.2">
      <c r="H525" s="117"/>
      <c r="I525" s="117"/>
    </row>
    <row r="526" spans="8:9" x14ac:dyDescent="0.2">
      <c r="H526" s="117"/>
      <c r="I526" s="117"/>
    </row>
    <row r="527" spans="8:9" x14ac:dyDescent="0.2">
      <c r="H527" s="117"/>
      <c r="I527" s="117"/>
    </row>
    <row r="528" spans="8:9" x14ac:dyDescent="0.2">
      <c r="H528" s="117"/>
      <c r="I528" s="117"/>
    </row>
    <row r="529" spans="8:9" x14ac:dyDescent="0.2">
      <c r="H529" s="117"/>
      <c r="I529" s="117"/>
    </row>
    <row r="530" spans="8:9" x14ac:dyDescent="0.2">
      <c r="H530" s="117"/>
      <c r="I530" s="117"/>
    </row>
    <row r="531" spans="8:9" x14ac:dyDescent="0.2">
      <c r="H531" s="117"/>
      <c r="I531" s="117"/>
    </row>
    <row r="532" spans="8:9" x14ac:dyDescent="0.2">
      <c r="H532" s="117"/>
      <c r="I532" s="117"/>
    </row>
    <row r="533" spans="8:9" x14ac:dyDescent="0.2">
      <c r="H533" s="117"/>
      <c r="I533" s="117"/>
    </row>
    <row r="534" spans="8:9" x14ac:dyDescent="0.2">
      <c r="H534" s="117"/>
      <c r="I534" s="117"/>
    </row>
    <row r="535" spans="8:9" x14ac:dyDescent="0.2">
      <c r="H535" s="117"/>
      <c r="I535" s="117"/>
    </row>
    <row r="536" spans="8:9" x14ac:dyDescent="0.2">
      <c r="H536" s="117"/>
      <c r="I536" s="117"/>
    </row>
    <row r="537" spans="8:9" x14ac:dyDescent="0.2">
      <c r="H537" s="117"/>
      <c r="I537" s="117"/>
    </row>
    <row r="538" spans="8:9" x14ac:dyDescent="0.2">
      <c r="H538" s="117"/>
      <c r="I538" s="117"/>
    </row>
    <row r="539" spans="8:9" x14ac:dyDescent="0.2">
      <c r="H539" s="117"/>
      <c r="I539" s="117"/>
    </row>
    <row r="540" spans="8:9" x14ac:dyDescent="0.2">
      <c r="H540" s="117"/>
      <c r="I540" s="117"/>
    </row>
    <row r="541" spans="8:9" x14ac:dyDescent="0.2">
      <c r="H541" s="117"/>
      <c r="I541" s="117"/>
    </row>
    <row r="542" spans="8:9" x14ac:dyDescent="0.2">
      <c r="H542" s="117"/>
      <c r="I542" s="117"/>
    </row>
    <row r="543" spans="8:9" x14ac:dyDescent="0.2">
      <c r="H543" s="117"/>
      <c r="I543" s="117"/>
    </row>
    <row r="544" spans="8:9" x14ac:dyDescent="0.2">
      <c r="H544" s="117"/>
      <c r="I544" s="117"/>
    </row>
    <row r="545" spans="8:9" x14ac:dyDescent="0.2">
      <c r="H545" s="117"/>
      <c r="I545" s="117"/>
    </row>
    <row r="546" spans="8:9" x14ac:dyDescent="0.2">
      <c r="H546" s="117"/>
      <c r="I546" s="117"/>
    </row>
    <row r="547" spans="8:9" x14ac:dyDescent="0.2">
      <c r="H547" s="117"/>
      <c r="I547" s="117"/>
    </row>
    <row r="548" spans="8:9" x14ac:dyDescent="0.2">
      <c r="H548" s="117"/>
      <c r="I548" s="117"/>
    </row>
    <row r="549" spans="8:9" x14ac:dyDescent="0.2">
      <c r="H549" s="117"/>
      <c r="I549" s="117"/>
    </row>
    <row r="550" spans="8:9" x14ac:dyDescent="0.2">
      <c r="H550" s="117"/>
      <c r="I550" s="117"/>
    </row>
    <row r="551" spans="8:9" x14ac:dyDescent="0.2">
      <c r="H551" s="117"/>
      <c r="I551" s="117"/>
    </row>
    <row r="552" spans="8:9" x14ac:dyDescent="0.2">
      <c r="H552" s="117"/>
      <c r="I552" s="117"/>
    </row>
    <row r="553" spans="8:9" x14ac:dyDescent="0.2">
      <c r="H553" s="117"/>
      <c r="I553" s="117"/>
    </row>
    <row r="554" spans="8:9" x14ac:dyDescent="0.2">
      <c r="H554" s="117"/>
      <c r="I554" s="117"/>
    </row>
    <row r="555" spans="8:9" x14ac:dyDescent="0.2">
      <c r="H555" s="117"/>
      <c r="I555" s="117"/>
    </row>
    <row r="556" spans="8:9" x14ac:dyDescent="0.2">
      <c r="H556" s="117"/>
      <c r="I556" s="117"/>
    </row>
    <row r="557" spans="8:9" x14ac:dyDescent="0.2">
      <c r="H557" s="117"/>
      <c r="I557" s="117"/>
    </row>
    <row r="558" spans="8:9" x14ac:dyDescent="0.2">
      <c r="H558" s="117"/>
      <c r="I558" s="117"/>
    </row>
    <row r="559" spans="8:9" x14ac:dyDescent="0.2">
      <c r="H559" s="117"/>
      <c r="I559" s="117"/>
    </row>
    <row r="560" spans="8:9" x14ac:dyDescent="0.2">
      <c r="H560" s="117"/>
      <c r="I560" s="117"/>
    </row>
    <row r="561" spans="8:9" x14ac:dyDescent="0.2">
      <c r="H561" s="117"/>
      <c r="I561" s="117"/>
    </row>
    <row r="562" spans="8:9" x14ac:dyDescent="0.2">
      <c r="H562" s="117"/>
      <c r="I562" s="117"/>
    </row>
    <row r="563" spans="8:9" x14ac:dyDescent="0.2">
      <c r="H563" s="117"/>
      <c r="I563" s="117"/>
    </row>
    <row r="564" spans="8:9" x14ac:dyDescent="0.2">
      <c r="H564" s="117"/>
      <c r="I564" s="117"/>
    </row>
    <row r="565" spans="8:9" x14ac:dyDescent="0.2">
      <c r="H565" s="117"/>
      <c r="I565" s="117"/>
    </row>
    <row r="566" spans="8:9" x14ac:dyDescent="0.2">
      <c r="H566" s="117"/>
      <c r="I566" s="117"/>
    </row>
    <row r="567" spans="8:9" x14ac:dyDescent="0.2">
      <c r="H567" s="117"/>
      <c r="I567" s="117"/>
    </row>
    <row r="568" spans="8:9" x14ac:dyDescent="0.2">
      <c r="H568" s="117"/>
      <c r="I568" s="117"/>
    </row>
    <row r="569" spans="8:9" x14ac:dyDescent="0.2">
      <c r="H569" s="117"/>
      <c r="I569" s="117"/>
    </row>
    <row r="570" spans="8:9" x14ac:dyDescent="0.2">
      <c r="H570" s="117"/>
      <c r="I570" s="117"/>
    </row>
    <row r="571" spans="8:9" x14ac:dyDescent="0.2">
      <c r="H571" s="117"/>
      <c r="I571" s="117"/>
    </row>
    <row r="572" spans="8:9" x14ac:dyDescent="0.2">
      <c r="H572" s="117"/>
      <c r="I572" s="117"/>
    </row>
    <row r="573" spans="8:9" x14ac:dyDescent="0.2">
      <c r="H573" s="117"/>
      <c r="I573" s="117"/>
    </row>
    <row r="574" spans="8:9" x14ac:dyDescent="0.2">
      <c r="H574" s="117"/>
      <c r="I574" s="117"/>
    </row>
    <row r="575" spans="8:9" x14ac:dyDescent="0.2">
      <c r="H575" s="117"/>
      <c r="I575" s="117"/>
    </row>
    <row r="576" spans="8:9" x14ac:dyDescent="0.2">
      <c r="H576" s="117"/>
      <c r="I576" s="117"/>
    </row>
    <row r="577" spans="8:9" x14ac:dyDescent="0.2">
      <c r="H577" s="117"/>
      <c r="I577" s="117"/>
    </row>
    <row r="578" spans="8:9" x14ac:dyDescent="0.2">
      <c r="H578" s="117"/>
      <c r="I578" s="117"/>
    </row>
    <row r="579" spans="8:9" x14ac:dyDescent="0.2">
      <c r="H579" s="117"/>
      <c r="I579" s="117"/>
    </row>
    <row r="580" spans="8:9" x14ac:dyDescent="0.2">
      <c r="H580" s="117"/>
      <c r="I580" s="117"/>
    </row>
    <row r="581" spans="8:9" x14ac:dyDescent="0.2">
      <c r="H581" s="117"/>
      <c r="I581" s="117"/>
    </row>
    <row r="582" spans="8:9" x14ac:dyDescent="0.2">
      <c r="H582" s="117"/>
      <c r="I582" s="117"/>
    </row>
    <row r="583" spans="8:9" x14ac:dyDescent="0.2">
      <c r="H583" s="117"/>
      <c r="I583" s="117"/>
    </row>
    <row r="584" spans="8:9" x14ac:dyDescent="0.2">
      <c r="H584" s="117"/>
      <c r="I584" s="117"/>
    </row>
    <row r="585" spans="8:9" x14ac:dyDescent="0.2">
      <c r="H585" s="117"/>
      <c r="I585" s="117"/>
    </row>
    <row r="586" spans="8:9" x14ac:dyDescent="0.2">
      <c r="H586" s="117"/>
      <c r="I586" s="117"/>
    </row>
    <row r="587" spans="8:9" x14ac:dyDescent="0.2">
      <c r="H587" s="117"/>
      <c r="I587" s="117"/>
    </row>
    <row r="588" spans="8:9" x14ac:dyDescent="0.2">
      <c r="H588" s="117"/>
      <c r="I588" s="117"/>
    </row>
    <row r="589" spans="8:9" x14ac:dyDescent="0.2">
      <c r="H589" s="117"/>
      <c r="I589" s="117"/>
    </row>
    <row r="590" spans="8:9" x14ac:dyDescent="0.2">
      <c r="H590" s="117"/>
      <c r="I590" s="117"/>
    </row>
    <row r="591" spans="8:9" x14ac:dyDescent="0.2">
      <c r="H591" s="117"/>
      <c r="I591" s="117"/>
    </row>
    <row r="592" spans="8:9" x14ac:dyDescent="0.2">
      <c r="H592" s="117"/>
      <c r="I592" s="117"/>
    </row>
    <row r="593" spans="8:9" x14ac:dyDescent="0.2">
      <c r="H593" s="117"/>
      <c r="I593" s="117"/>
    </row>
    <row r="594" spans="8:9" x14ac:dyDescent="0.2">
      <c r="H594" s="117"/>
      <c r="I594" s="117"/>
    </row>
    <row r="595" spans="8:9" x14ac:dyDescent="0.2">
      <c r="H595" s="117"/>
      <c r="I595" s="117"/>
    </row>
    <row r="596" spans="8:9" x14ac:dyDescent="0.2">
      <c r="H596" s="117"/>
      <c r="I596" s="117"/>
    </row>
    <row r="597" spans="8:9" x14ac:dyDescent="0.2">
      <c r="H597" s="117"/>
      <c r="I597" s="117"/>
    </row>
    <row r="598" spans="8:9" x14ac:dyDescent="0.2">
      <c r="H598" s="117"/>
      <c r="I598" s="117"/>
    </row>
    <row r="599" spans="8:9" x14ac:dyDescent="0.2">
      <c r="H599" s="117"/>
      <c r="I599" s="117"/>
    </row>
    <row r="600" spans="8:9" x14ac:dyDescent="0.2">
      <c r="H600" s="117"/>
      <c r="I600" s="117"/>
    </row>
    <row r="601" spans="8:9" x14ac:dyDescent="0.2">
      <c r="H601" s="117"/>
      <c r="I601" s="117"/>
    </row>
    <row r="602" spans="8:9" x14ac:dyDescent="0.2">
      <c r="H602" s="117"/>
      <c r="I602" s="117"/>
    </row>
    <row r="603" spans="8:9" x14ac:dyDescent="0.2">
      <c r="H603" s="117"/>
      <c r="I603" s="117"/>
    </row>
    <row r="604" spans="8:9" x14ac:dyDescent="0.2">
      <c r="H604" s="117"/>
      <c r="I604" s="117"/>
    </row>
    <row r="605" spans="8:9" x14ac:dyDescent="0.2">
      <c r="H605" s="117"/>
      <c r="I605" s="117"/>
    </row>
    <row r="606" spans="8:9" x14ac:dyDescent="0.2">
      <c r="H606" s="117"/>
      <c r="I606" s="117"/>
    </row>
    <row r="607" spans="8:9" x14ac:dyDescent="0.2">
      <c r="H607" s="117"/>
      <c r="I607" s="117"/>
    </row>
    <row r="608" spans="8:9" x14ac:dyDescent="0.2">
      <c r="H608" s="117"/>
      <c r="I608" s="117"/>
    </row>
    <row r="609" spans="8:9" x14ac:dyDescent="0.2">
      <c r="H609" s="117"/>
      <c r="I609" s="117"/>
    </row>
    <row r="610" spans="8:9" x14ac:dyDescent="0.2">
      <c r="H610" s="117"/>
      <c r="I610" s="117"/>
    </row>
    <row r="611" spans="8:9" x14ac:dyDescent="0.2">
      <c r="H611" s="117"/>
      <c r="I611" s="117"/>
    </row>
    <row r="612" spans="8:9" x14ac:dyDescent="0.2">
      <c r="H612" s="117"/>
      <c r="I612" s="117"/>
    </row>
    <row r="613" spans="8:9" x14ac:dyDescent="0.2">
      <c r="H613" s="117"/>
      <c r="I613" s="117"/>
    </row>
    <row r="614" spans="8:9" x14ac:dyDescent="0.2">
      <c r="H614" s="117"/>
      <c r="I614" s="117"/>
    </row>
    <row r="615" spans="8:9" x14ac:dyDescent="0.2">
      <c r="H615" s="117"/>
      <c r="I615" s="117"/>
    </row>
    <row r="616" spans="8:9" x14ac:dyDescent="0.2">
      <c r="H616" s="117"/>
      <c r="I616" s="117"/>
    </row>
    <row r="617" spans="8:9" x14ac:dyDescent="0.2">
      <c r="H617" s="117"/>
      <c r="I617" s="117"/>
    </row>
    <row r="618" spans="8:9" x14ac:dyDescent="0.2">
      <c r="H618" s="117"/>
      <c r="I618" s="117"/>
    </row>
    <row r="619" spans="8:9" x14ac:dyDescent="0.2">
      <c r="H619" s="117"/>
      <c r="I619" s="117"/>
    </row>
    <row r="620" spans="8:9" x14ac:dyDescent="0.2">
      <c r="H620" s="117"/>
      <c r="I620" s="117"/>
    </row>
    <row r="621" spans="8:9" x14ac:dyDescent="0.2">
      <c r="H621" s="117"/>
      <c r="I621" s="117"/>
    </row>
    <row r="622" spans="8:9" x14ac:dyDescent="0.2">
      <c r="H622" s="117"/>
      <c r="I622" s="117"/>
    </row>
    <row r="623" spans="8:9" x14ac:dyDescent="0.2">
      <c r="H623" s="117"/>
      <c r="I623" s="117"/>
    </row>
    <row r="624" spans="8:9" x14ac:dyDescent="0.2">
      <c r="H624" s="117"/>
      <c r="I624" s="117"/>
    </row>
    <row r="625" spans="8:9" x14ac:dyDescent="0.2">
      <c r="H625" s="117"/>
      <c r="I625" s="117"/>
    </row>
    <row r="626" spans="8:9" x14ac:dyDescent="0.2">
      <c r="H626" s="117"/>
      <c r="I626" s="117"/>
    </row>
    <row r="627" spans="8:9" x14ac:dyDescent="0.2">
      <c r="H627" s="117"/>
      <c r="I627" s="117"/>
    </row>
    <row r="628" spans="8:9" x14ac:dyDescent="0.2">
      <c r="H628" s="117"/>
      <c r="I628" s="117"/>
    </row>
    <row r="629" spans="8:9" x14ac:dyDescent="0.2">
      <c r="H629" s="117"/>
      <c r="I629" s="117"/>
    </row>
    <row r="630" spans="8:9" x14ac:dyDescent="0.2">
      <c r="H630" s="117"/>
      <c r="I630" s="117"/>
    </row>
    <row r="631" spans="8:9" x14ac:dyDescent="0.2">
      <c r="H631" s="117"/>
      <c r="I631" s="117"/>
    </row>
    <row r="632" spans="8:9" x14ac:dyDescent="0.2">
      <c r="H632" s="117"/>
      <c r="I632" s="117"/>
    </row>
    <row r="633" spans="8:9" x14ac:dyDescent="0.2">
      <c r="H633" s="117"/>
      <c r="I633" s="117"/>
    </row>
    <row r="634" spans="8:9" x14ac:dyDescent="0.2">
      <c r="H634" s="117"/>
      <c r="I634" s="117"/>
    </row>
    <row r="635" spans="8:9" x14ac:dyDescent="0.2">
      <c r="H635" s="117"/>
      <c r="I635" s="117"/>
    </row>
    <row r="636" spans="8:9" x14ac:dyDescent="0.2">
      <c r="H636" s="117"/>
      <c r="I636" s="117"/>
    </row>
    <row r="637" spans="8:9" x14ac:dyDescent="0.2">
      <c r="H637" s="117"/>
      <c r="I637" s="117"/>
    </row>
    <row r="638" spans="8:9" x14ac:dyDescent="0.2">
      <c r="H638" s="117"/>
      <c r="I638" s="117"/>
    </row>
    <row r="639" spans="8:9" x14ac:dyDescent="0.2">
      <c r="H639" s="117"/>
      <c r="I639" s="117"/>
    </row>
    <row r="640" spans="8:9" x14ac:dyDescent="0.2">
      <c r="H640" s="117"/>
      <c r="I640" s="117"/>
    </row>
    <row r="641" spans="8:9" x14ac:dyDescent="0.2">
      <c r="H641" s="117"/>
      <c r="I641" s="117"/>
    </row>
    <row r="642" spans="8:9" x14ac:dyDescent="0.2">
      <c r="H642" s="117"/>
      <c r="I642" s="117"/>
    </row>
    <row r="643" spans="8:9" x14ac:dyDescent="0.2">
      <c r="H643" s="117"/>
      <c r="I643" s="117"/>
    </row>
    <row r="644" spans="8:9" x14ac:dyDescent="0.2">
      <c r="H644" s="117"/>
      <c r="I644" s="117"/>
    </row>
    <row r="645" spans="8:9" x14ac:dyDescent="0.2">
      <c r="H645" s="117"/>
      <c r="I645" s="117"/>
    </row>
    <row r="646" spans="8:9" x14ac:dyDescent="0.2">
      <c r="H646" s="117"/>
      <c r="I646" s="117"/>
    </row>
    <row r="647" spans="8:9" x14ac:dyDescent="0.2">
      <c r="H647" s="117"/>
      <c r="I647" s="117"/>
    </row>
    <row r="648" spans="8:9" x14ac:dyDescent="0.2">
      <c r="H648" s="117"/>
      <c r="I648" s="117"/>
    </row>
    <row r="649" spans="8:9" x14ac:dyDescent="0.2">
      <c r="H649" s="117"/>
      <c r="I649" s="117"/>
    </row>
    <row r="650" spans="8:9" x14ac:dyDescent="0.2">
      <c r="H650" s="117"/>
      <c r="I650" s="117"/>
    </row>
    <row r="651" spans="8:9" x14ac:dyDescent="0.2">
      <c r="H651" s="117"/>
      <c r="I651" s="117"/>
    </row>
    <row r="652" spans="8:9" x14ac:dyDescent="0.2">
      <c r="H652" s="117"/>
      <c r="I652" s="117"/>
    </row>
    <row r="653" spans="8:9" x14ac:dyDescent="0.2">
      <c r="H653" s="117"/>
      <c r="I653" s="117"/>
    </row>
    <row r="654" spans="8:9" x14ac:dyDescent="0.2">
      <c r="H654" s="117"/>
      <c r="I654" s="117"/>
    </row>
    <row r="655" spans="8:9" x14ac:dyDescent="0.2">
      <c r="H655" s="117"/>
      <c r="I655" s="117"/>
    </row>
    <row r="656" spans="8:9" x14ac:dyDescent="0.2">
      <c r="H656" s="117"/>
      <c r="I656" s="117"/>
    </row>
    <row r="657" spans="8:9" x14ac:dyDescent="0.2">
      <c r="H657" s="117"/>
      <c r="I657" s="117"/>
    </row>
    <row r="658" spans="8:9" x14ac:dyDescent="0.2">
      <c r="H658" s="117"/>
      <c r="I658" s="117"/>
    </row>
    <row r="659" spans="8:9" x14ac:dyDescent="0.2">
      <c r="H659" s="117"/>
      <c r="I659" s="117"/>
    </row>
    <row r="660" spans="8:9" x14ac:dyDescent="0.2">
      <c r="H660" s="117"/>
      <c r="I660" s="117"/>
    </row>
    <row r="661" spans="8:9" x14ac:dyDescent="0.2">
      <c r="H661" s="117"/>
      <c r="I661" s="117"/>
    </row>
    <row r="662" spans="8:9" x14ac:dyDescent="0.2">
      <c r="H662" s="117"/>
      <c r="I662" s="117"/>
    </row>
    <row r="663" spans="8:9" x14ac:dyDescent="0.2">
      <c r="H663" s="117"/>
      <c r="I663" s="117"/>
    </row>
    <row r="664" spans="8:9" x14ac:dyDescent="0.2">
      <c r="H664" s="117"/>
      <c r="I664" s="117"/>
    </row>
    <row r="665" spans="8:9" x14ac:dyDescent="0.2">
      <c r="H665" s="117"/>
      <c r="I665" s="117"/>
    </row>
    <row r="666" spans="8:9" x14ac:dyDescent="0.2">
      <c r="H666" s="117"/>
      <c r="I666" s="117"/>
    </row>
    <row r="667" spans="8:9" x14ac:dyDescent="0.2">
      <c r="H667" s="117"/>
      <c r="I667" s="117"/>
    </row>
    <row r="668" spans="8:9" x14ac:dyDescent="0.2">
      <c r="H668" s="117"/>
      <c r="I668" s="117"/>
    </row>
    <row r="669" spans="8:9" x14ac:dyDescent="0.2">
      <c r="H669" s="117"/>
      <c r="I669" s="117"/>
    </row>
    <row r="670" spans="8:9" x14ac:dyDescent="0.2">
      <c r="H670" s="117"/>
      <c r="I670" s="117"/>
    </row>
    <row r="671" spans="8:9" x14ac:dyDescent="0.2">
      <c r="H671" s="117"/>
      <c r="I671" s="117"/>
    </row>
    <row r="672" spans="8:9" x14ac:dyDescent="0.2">
      <c r="H672" s="117"/>
      <c r="I672" s="117"/>
    </row>
    <row r="673" spans="8:9" x14ac:dyDescent="0.2">
      <c r="H673" s="117"/>
      <c r="I673" s="117"/>
    </row>
    <row r="674" spans="8:9" x14ac:dyDescent="0.2">
      <c r="H674" s="117"/>
      <c r="I674" s="117"/>
    </row>
    <row r="675" spans="8:9" x14ac:dyDescent="0.2">
      <c r="H675" s="117"/>
      <c r="I675" s="117"/>
    </row>
    <row r="676" spans="8:9" x14ac:dyDescent="0.2">
      <c r="H676" s="117"/>
      <c r="I676" s="117"/>
    </row>
    <row r="677" spans="8:9" x14ac:dyDescent="0.2">
      <c r="H677" s="117"/>
      <c r="I677" s="117"/>
    </row>
    <row r="678" spans="8:9" x14ac:dyDescent="0.2">
      <c r="H678" s="117"/>
      <c r="I678" s="117"/>
    </row>
    <row r="679" spans="8:9" x14ac:dyDescent="0.2">
      <c r="H679" s="117"/>
      <c r="I679" s="117"/>
    </row>
    <row r="680" spans="8:9" x14ac:dyDescent="0.2">
      <c r="H680" s="117"/>
      <c r="I680" s="117"/>
    </row>
    <row r="681" spans="8:9" x14ac:dyDescent="0.2">
      <c r="H681" s="117"/>
      <c r="I681" s="117"/>
    </row>
    <row r="682" spans="8:9" x14ac:dyDescent="0.2">
      <c r="H682" s="117"/>
      <c r="I682" s="117"/>
    </row>
    <row r="683" spans="8:9" x14ac:dyDescent="0.2">
      <c r="H683" s="117"/>
      <c r="I683" s="117"/>
    </row>
    <row r="684" spans="8:9" x14ac:dyDescent="0.2">
      <c r="H684" s="117"/>
      <c r="I684" s="117"/>
    </row>
    <row r="685" spans="8:9" x14ac:dyDescent="0.2">
      <c r="H685" s="117"/>
      <c r="I685" s="117"/>
    </row>
    <row r="686" spans="8:9" x14ac:dyDescent="0.2">
      <c r="H686" s="117"/>
      <c r="I686" s="117"/>
    </row>
    <row r="687" spans="8:9" x14ac:dyDescent="0.2">
      <c r="H687" s="117"/>
      <c r="I687" s="117"/>
    </row>
    <row r="688" spans="8:9" x14ac:dyDescent="0.2">
      <c r="H688" s="117"/>
      <c r="I688" s="117"/>
    </row>
    <row r="689" spans="8:9" x14ac:dyDescent="0.2">
      <c r="H689" s="117"/>
      <c r="I689" s="117"/>
    </row>
    <row r="690" spans="8:9" x14ac:dyDescent="0.2">
      <c r="H690" s="117"/>
      <c r="I690" s="117"/>
    </row>
    <row r="691" spans="8:9" x14ac:dyDescent="0.2">
      <c r="H691" s="117"/>
      <c r="I691" s="117"/>
    </row>
    <row r="692" spans="8:9" x14ac:dyDescent="0.2">
      <c r="H692" s="117"/>
      <c r="I692" s="117"/>
    </row>
    <row r="693" spans="8:9" x14ac:dyDescent="0.2">
      <c r="H693" s="117"/>
      <c r="I693" s="117"/>
    </row>
    <row r="694" spans="8:9" x14ac:dyDescent="0.2">
      <c r="H694" s="117"/>
      <c r="I694" s="117"/>
    </row>
    <row r="695" spans="8:9" x14ac:dyDescent="0.2">
      <c r="H695" s="117"/>
      <c r="I695" s="117"/>
    </row>
    <row r="696" spans="8:9" x14ac:dyDescent="0.2">
      <c r="H696" s="117"/>
      <c r="I696" s="117"/>
    </row>
    <row r="697" spans="8:9" x14ac:dyDescent="0.2">
      <c r="H697" s="117"/>
      <c r="I697" s="117"/>
    </row>
    <row r="698" spans="8:9" x14ac:dyDescent="0.2">
      <c r="H698" s="117"/>
      <c r="I698" s="117"/>
    </row>
    <row r="699" spans="8:9" x14ac:dyDescent="0.2">
      <c r="H699" s="117"/>
      <c r="I699" s="117"/>
    </row>
    <row r="700" spans="8:9" x14ac:dyDescent="0.2">
      <c r="H700" s="117"/>
      <c r="I700" s="117"/>
    </row>
    <row r="701" spans="8:9" x14ac:dyDescent="0.2">
      <c r="H701" s="117"/>
      <c r="I701" s="117"/>
    </row>
    <row r="702" spans="8:9" x14ac:dyDescent="0.2">
      <c r="H702" s="117"/>
      <c r="I702" s="117"/>
    </row>
    <row r="703" spans="8:9" x14ac:dyDescent="0.2">
      <c r="H703" s="117"/>
      <c r="I703" s="117"/>
    </row>
    <row r="704" spans="8:9" x14ac:dyDescent="0.2">
      <c r="H704" s="117"/>
      <c r="I704" s="117"/>
    </row>
    <row r="705" spans="8:9" x14ac:dyDescent="0.2">
      <c r="H705" s="117"/>
      <c r="I705" s="117"/>
    </row>
    <row r="706" spans="8:9" x14ac:dyDescent="0.2">
      <c r="H706" s="117"/>
      <c r="I706" s="117"/>
    </row>
    <row r="707" spans="8:9" x14ac:dyDescent="0.2">
      <c r="H707" s="117"/>
      <c r="I707" s="117"/>
    </row>
    <row r="708" spans="8:9" x14ac:dyDescent="0.2">
      <c r="H708" s="117"/>
      <c r="I708" s="117"/>
    </row>
    <row r="709" spans="8:9" x14ac:dyDescent="0.2">
      <c r="H709" s="117"/>
      <c r="I709" s="117"/>
    </row>
    <row r="710" spans="8:9" x14ac:dyDescent="0.2">
      <c r="H710" s="117"/>
      <c r="I710" s="117"/>
    </row>
    <row r="711" spans="8:9" x14ac:dyDescent="0.2">
      <c r="H711" s="117"/>
      <c r="I711" s="117"/>
    </row>
    <row r="712" spans="8:9" x14ac:dyDescent="0.2">
      <c r="H712" s="117"/>
      <c r="I712" s="117"/>
    </row>
    <row r="713" spans="8:9" x14ac:dyDescent="0.2">
      <c r="H713" s="117"/>
      <c r="I713" s="117"/>
    </row>
    <row r="714" spans="8:9" x14ac:dyDescent="0.2">
      <c r="H714" s="117"/>
      <c r="I714" s="117"/>
    </row>
    <row r="715" spans="8:9" x14ac:dyDescent="0.2">
      <c r="H715" s="117"/>
      <c r="I715" s="117"/>
    </row>
    <row r="716" spans="8:9" x14ac:dyDescent="0.2">
      <c r="H716" s="117"/>
      <c r="I716" s="117"/>
    </row>
    <row r="717" spans="8:9" x14ac:dyDescent="0.2">
      <c r="H717" s="117"/>
      <c r="I717" s="117"/>
    </row>
    <row r="718" spans="8:9" x14ac:dyDescent="0.2">
      <c r="H718" s="117"/>
      <c r="I718" s="117"/>
    </row>
    <row r="719" spans="8:9" x14ac:dyDescent="0.2">
      <c r="H719" s="117"/>
      <c r="I719" s="117"/>
    </row>
    <row r="720" spans="8:9" x14ac:dyDescent="0.2">
      <c r="H720" s="117"/>
      <c r="I720" s="117"/>
    </row>
    <row r="721" spans="8:9" x14ac:dyDescent="0.2">
      <c r="H721" s="117"/>
      <c r="I721" s="117"/>
    </row>
    <row r="722" spans="8:9" x14ac:dyDescent="0.2">
      <c r="H722" s="117"/>
      <c r="I722" s="117"/>
    </row>
    <row r="723" spans="8:9" x14ac:dyDescent="0.2">
      <c r="H723" s="117"/>
      <c r="I723" s="117"/>
    </row>
    <row r="724" spans="8:9" x14ac:dyDescent="0.2">
      <c r="H724" s="117"/>
      <c r="I724" s="117"/>
    </row>
    <row r="725" spans="8:9" x14ac:dyDescent="0.2">
      <c r="H725" s="117"/>
      <c r="I725" s="117"/>
    </row>
    <row r="726" spans="8:9" x14ac:dyDescent="0.2">
      <c r="H726" s="117"/>
      <c r="I726" s="117"/>
    </row>
    <row r="727" spans="8:9" x14ac:dyDescent="0.2">
      <c r="H727" s="117"/>
      <c r="I727" s="117"/>
    </row>
    <row r="728" spans="8:9" x14ac:dyDescent="0.2">
      <c r="H728" s="117"/>
      <c r="I728" s="117"/>
    </row>
    <row r="729" spans="8:9" x14ac:dyDescent="0.2">
      <c r="H729" s="117"/>
      <c r="I729" s="117"/>
    </row>
    <row r="730" spans="8:9" x14ac:dyDescent="0.2">
      <c r="H730" s="117"/>
      <c r="I730" s="117"/>
    </row>
    <row r="731" spans="8:9" x14ac:dyDescent="0.2">
      <c r="H731" s="117"/>
      <c r="I731" s="117"/>
    </row>
    <row r="732" spans="8:9" x14ac:dyDescent="0.2">
      <c r="H732" s="117"/>
      <c r="I732" s="117"/>
    </row>
    <row r="733" spans="8:9" x14ac:dyDescent="0.2">
      <c r="H733" s="117"/>
      <c r="I733" s="117"/>
    </row>
    <row r="734" spans="8:9" x14ac:dyDescent="0.2">
      <c r="H734" s="117"/>
      <c r="I734" s="117"/>
    </row>
    <row r="735" spans="8:9" x14ac:dyDescent="0.2">
      <c r="H735" s="117"/>
      <c r="I735" s="117"/>
    </row>
    <row r="736" spans="8:9" x14ac:dyDescent="0.2">
      <c r="H736" s="117"/>
      <c r="I736" s="117"/>
    </row>
    <row r="737" spans="8:9" x14ac:dyDescent="0.2">
      <c r="H737" s="117"/>
      <c r="I737" s="117"/>
    </row>
    <row r="738" spans="8:9" x14ac:dyDescent="0.2">
      <c r="H738" s="117"/>
      <c r="I738" s="117"/>
    </row>
    <row r="739" spans="8:9" x14ac:dyDescent="0.2">
      <c r="H739" s="117"/>
      <c r="I739" s="117"/>
    </row>
    <row r="740" spans="8:9" x14ac:dyDescent="0.2">
      <c r="H740" s="117"/>
      <c r="I740" s="117"/>
    </row>
    <row r="741" spans="8:9" x14ac:dyDescent="0.2">
      <c r="H741" s="117"/>
      <c r="I741" s="117"/>
    </row>
    <row r="742" spans="8:9" x14ac:dyDescent="0.2">
      <c r="H742" s="117"/>
      <c r="I742" s="117"/>
    </row>
    <row r="743" spans="8:9" x14ac:dyDescent="0.2">
      <c r="H743" s="117"/>
      <c r="I743" s="117"/>
    </row>
    <row r="744" spans="8:9" x14ac:dyDescent="0.2">
      <c r="H744" s="117"/>
      <c r="I744" s="117"/>
    </row>
    <row r="745" spans="8:9" x14ac:dyDescent="0.2">
      <c r="H745" s="117"/>
      <c r="I745" s="117"/>
    </row>
    <row r="746" spans="8:9" x14ac:dyDescent="0.2">
      <c r="H746" s="117"/>
      <c r="I746" s="117"/>
    </row>
    <row r="747" spans="8:9" x14ac:dyDescent="0.2">
      <c r="H747" s="117"/>
      <c r="I747" s="117"/>
    </row>
    <row r="748" spans="8:9" x14ac:dyDescent="0.2">
      <c r="H748" s="117"/>
      <c r="I748" s="117"/>
    </row>
    <row r="749" spans="8:9" x14ac:dyDescent="0.2">
      <c r="H749" s="117"/>
      <c r="I749" s="117"/>
    </row>
    <row r="750" spans="8:9" x14ac:dyDescent="0.2">
      <c r="H750" s="117"/>
      <c r="I750" s="117"/>
    </row>
    <row r="751" spans="8:9" x14ac:dyDescent="0.2">
      <c r="H751" s="117"/>
      <c r="I751" s="117"/>
    </row>
    <row r="752" spans="8:9" x14ac:dyDescent="0.2">
      <c r="H752" s="117"/>
      <c r="I752" s="117"/>
    </row>
    <row r="753" spans="8:9" x14ac:dyDescent="0.2">
      <c r="H753" s="117"/>
      <c r="I753" s="117"/>
    </row>
    <row r="754" spans="8:9" x14ac:dyDescent="0.2">
      <c r="H754" s="117"/>
      <c r="I754" s="117"/>
    </row>
    <row r="755" spans="8:9" x14ac:dyDescent="0.2">
      <c r="H755" s="117"/>
      <c r="I755" s="117"/>
    </row>
    <row r="756" spans="8:9" x14ac:dyDescent="0.2">
      <c r="H756" s="117"/>
      <c r="I756" s="117"/>
    </row>
    <row r="757" spans="8:9" x14ac:dyDescent="0.2">
      <c r="H757" s="117"/>
      <c r="I757" s="117"/>
    </row>
    <row r="758" spans="8:9" x14ac:dyDescent="0.2">
      <c r="H758" s="117"/>
      <c r="I758" s="117"/>
    </row>
    <row r="759" spans="8:9" x14ac:dyDescent="0.2">
      <c r="H759" s="117"/>
      <c r="I759" s="117"/>
    </row>
    <row r="760" spans="8:9" x14ac:dyDescent="0.2">
      <c r="H760" s="117"/>
      <c r="I760" s="117"/>
    </row>
    <row r="761" spans="8:9" x14ac:dyDescent="0.2">
      <c r="H761" s="117"/>
      <c r="I761" s="117"/>
    </row>
    <row r="762" spans="8:9" x14ac:dyDescent="0.2">
      <c r="H762" s="117"/>
      <c r="I762" s="117"/>
    </row>
    <row r="763" spans="8:9" x14ac:dyDescent="0.2">
      <c r="H763" s="117"/>
      <c r="I763" s="117"/>
    </row>
    <row r="764" spans="8:9" x14ac:dyDescent="0.2">
      <c r="H764" s="117"/>
      <c r="I764" s="117"/>
    </row>
    <row r="765" spans="8:9" x14ac:dyDescent="0.2">
      <c r="H765" s="117"/>
      <c r="I765" s="117"/>
    </row>
    <row r="766" spans="8:9" x14ac:dyDescent="0.2">
      <c r="H766" s="117"/>
      <c r="I766" s="117"/>
    </row>
    <row r="767" spans="8:9" x14ac:dyDescent="0.2">
      <c r="H767" s="117"/>
      <c r="I767" s="117"/>
    </row>
    <row r="768" spans="8:9" x14ac:dyDescent="0.2">
      <c r="H768" s="117"/>
      <c r="I768" s="117"/>
    </row>
    <row r="769" spans="8:9" x14ac:dyDescent="0.2">
      <c r="H769" s="117"/>
      <c r="I769" s="117"/>
    </row>
    <row r="770" spans="8:9" x14ac:dyDescent="0.2">
      <c r="H770" s="117"/>
      <c r="I770" s="117"/>
    </row>
    <row r="771" spans="8:9" x14ac:dyDescent="0.2">
      <c r="H771" s="117"/>
      <c r="I771" s="117"/>
    </row>
    <row r="772" spans="8:9" x14ac:dyDescent="0.2">
      <c r="H772" s="117"/>
      <c r="I772" s="117"/>
    </row>
    <row r="773" spans="8:9" x14ac:dyDescent="0.2">
      <c r="H773" s="117"/>
      <c r="I773" s="117"/>
    </row>
    <row r="774" spans="8:9" x14ac:dyDescent="0.2">
      <c r="H774" s="117"/>
      <c r="I774" s="117"/>
    </row>
    <row r="775" spans="8:9" x14ac:dyDescent="0.2">
      <c r="H775" s="117"/>
      <c r="I775" s="117"/>
    </row>
    <row r="776" spans="8:9" x14ac:dyDescent="0.2">
      <c r="H776" s="117"/>
      <c r="I776" s="117"/>
    </row>
    <row r="777" spans="8:9" x14ac:dyDescent="0.2">
      <c r="H777" s="117"/>
      <c r="I777" s="117"/>
    </row>
    <row r="778" spans="8:9" x14ac:dyDescent="0.2">
      <c r="H778" s="117"/>
      <c r="I778" s="117"/>
    </row>
    <row r="779" spans="8:9" x14ac:dyDescent="0.2">
      <c r="H779" s="117"/>
      <c r="I779" s="117"/>
    </row>
    <row r="780" spans="8:9" x14ac:dyDescent="0.2">
      <c r="H780" s="117"/>
      <c r="I780" s="117"/>
    </row>
    <row r="781" spans="8:9" x14ac:dyDescent="0.2">
      <c r="H781" s="117"/>
      <c r="I781" s="117"/>
    </row>
    <row r="782" spans="8:9" x14ac:dyDescent="0.2">
      <c r="H782" s="117"/>
      <c r="I782" s="117"/>
    </row>
    <row r="783" spans="8:9" x14ac:dyDescent="0.2">
      <c r="H783" s="117"/>
      <c r="I783" s="117"/>
    </row>
    <row r="784" spans="8:9" x14ac:dyDescent="0.2">
      <c r="H784" s="117"/>
      <c r="I784" s="117"/>
    </row>
    <row r="785" spans="8:9" x14ac:dyDescent="0.2">
      <c r="H785" s="117"/>
      <c r="I785" s="117"/>
    </row>
    <row r="786" spans="8:9" x14ac:dyDescent="0.2">
      <c r="H786" s="117"/>
      <c r="I786" s="117"/>
    </row>
    <row r="787" spans="8:9" x14ac:dyDescent="0.2">
      <c r="H787" s="117"/>
      <c r="I787" s="117"/>
    </row>
    <row r="788" spans="8:9" x14ac:dyDescent="0.2">
      <c r="H788" s="117"/>
      <c r="I788" s="117"/>
    </row>
    <row r="789" spans="8:9" x14ac:dyDescent="0.2">
      <c r="H789" s="117"/>
      <c r="I789" s="117"/>
    </row>
    <row r="790" spans="8:9" x14ac:dyDescent="0.2">
      <c r="H790" s="117"/>
      <c r="I790" s="117"/>
    </row>
    <row r="791" spans="8:9" x14ac:dyDescent="0.2">
      <c r="H791" s="117"/>
      <c r="I791" s="117"/>
    </row>
    <row r="792" spans="8:9" x14ac:dyDescent="0.2">
      <c r="H792" s="117"/>
      <c r="I792" s="117"/>
    </row>
    <row r="793" spans="8:9" x14ac:dyDescent="0.2">
      <c r="H793" s="117"/>
      <c r="I793" s="117"/>
    </row>
    <row r="794" spans="8:9" x14ac:dyDescent="0.2">
      <c r="H794" s="117"/>
      <c r="I794" s="117"/>
    </row>
    <row r="795" spans="8:9" x14ac:dyDescent="0.2">
      <c r="H795" s="117"/>
      <c r="I795" s="117"/>
    </row>
    <row r="796" spans="8:9" x14ac:dyDescent="0.2">
      <c r="H796" s="117"/>
      <c r="I796" s="117"/>
    </row>
    <row r="797" spans="8:9" x14ac:dyDescent="0.2">
      <c r="H797" s="117"/>
      <c r="I797" s="117"/>
    </row>
    <row r="798" spans="8:9" x14ac:dyDescent="0.2">
      <c r="H798" s="117"/>
      <c r="I798" s="117"/>
    </row>
    <row r="799" spans="8:9" x14ac:dyDescent="0.2">
      <c r="H799" s="117"/>
      <c r="I799" s="117"/>
    </row>
    <row r="800" spans="8:9" x14ac:dyDescent="0.2">
      <c r="H800" s="117"/>
      <c r="I800" s="117"/>
    </row>
    <row r="801" spans="8:9" x14ac:dyDescent="0.2">
      <c r="H801" s="117"/>
      <c r="I801" s="117"/>
    </row>
    <row r="802" spans="8:9" x14ac:dyDescent="0.2">
      <c r="H802" s="117"/>
      <c r="I802" s="117"/>
    </row>
    <row r="803" spans="8:9" x14ac:dyDescent="0.2">
      <c r="H803" s="117"/>
      <c r="I803" s="117"/>
    </row>
    <row r="804" spans="8:9" x14ac:dyDescent="0.2">
      <c r="H804" s="117"/>
      <c r="I804" s="117"/>
    </row>
    <row r="805" spans="8:9" x14ac:dyDescent="0.2">
      <c r="H805" s="117"/>
      <c r="I805" s="117"/>
    </row>
    <row r="806" spans="8:9" x14ac:dyDescent="0.2">
      <c r="H806" s="117"/>
      <c r="I806" s="117"/>
    </row>
    <row r="807" spans="8:9" x14ac:dyDescent="0.2">
      <c r="H807" s="117"/>
      <c r="I807" s="117"/>
    </row>
    <row r="808" spans="8:9" x14ac:dyDescent="0.2">
      <c r="H808" s="117"/>
      <c r="I808" s="117"/>
    </row>
    <row r="809" spans="8:9" x14ac:dyDescent="0.2">
      <c r="H809" s="117"/>
      <c r="I809" s="117"/>
    </row>
    <row r="810" spans="8:9" x14ac:dyDescent="0.2">
      <c r="H810" s="117"/>
      <c r="I810" s="117"/>
    </row>
    <row r="811" spans="8:9" x14ac:dyDescent="0.2">
      <c r="H811" s="117"/>
      <c r="I811" s="117"/>
    </row>
    <row r="812" spans="8:9" x14ac:dyDescent="0.2">
      <c r="H812" s="117"/>
      <c r="I812" s="117"/>
    </row>
    <row r="813" spans="8:9" x14ac:dyDescent="0.2">
      <c r="H813" s="117"/>
      <c r="I813" s="117"/>
    </row>
    <row r="814" spans="8:9" x14ac:dyDescent="0.2">
      <c r="H814" s="117"/>
      <c r="I814" s="117"/>
    </row>
    <row r="815" spans="8:9" x14ac:dyDescent="0.2">
      <c r="H815" s="117"/>
      <c r="I815" s="117"/>
    </row>
    <row r="816" spans="8:9" x14ac:dyDescent="0.2">
      <c r="H816" s="117"/>
      <c r="I816" s="117"/>
    </row>
    <row r="817" spans="8:9" x14ac:dyDescent="0.2">
      <c r="H817" s="117"/>
      <c r="I817" s="117"/>
    </row>
    <row r="818" spans="8:9" x14ac:dyDescent="0.2">
      <c r="H818" s="117"/>
      <c r="I818" s="117"/>
    </row>
    <row r="819" spans="8:9" x14ac:dyDescent="0.2">
      <c r="H819" s="117"/>
      <c r="I819" s="117"/>
    </row>
    <row r="820" spans="8:9" x14ac:dyDescent="0.2">
      <c r="H820" s="117"/>
      <c r="I820" s="117"/>
    </row>
    <row r="821" spans="8:9" x14ac:dyDescent="0.2">
      <c r="H821" s="117"/>
      <c r="I821" s="117"/>
    </row>
    <row r="822" spans="8:9" x14ac:dyDescent="0.2">
      <c r="H822" s="117"/>
      <c r="I822" s="117"/>
    </row>
    <row r="823" spans="8:9" x14ac:dyDescent="0.2">
      <c r="H823" s="117"/>
      <c r="I823" s="117"/>
    </row>
    <row r="824" spans="8:9" x14ac:dyDescent="0.2">
      <c r="H824" s="117"/>
      <c r="I824" s="117"/>
    </row>
    <row r="825" spans="8:9" x14ac:dyDescent="0.2">
      <c r="H825" s="117"/>
      <c r="I825" s="117"/>
    </row>
    <row r="826" spans="8:9" x14ac:dyDescent="0.2">
      <c r="H826" s="117"/>
      <c r="I826" s="117"/>
    </row>
    <row r="827" spans="8:9" x14ac:dyDescent="0.2">
      <c r="H827" s="117"/>
      <c r="I827" s="117"/>
    </row>
    <row r="828" spans="8:9" x14ac:dyDescent="0.2">
      <c r="H828" s="117"/>
      <c r="I828" s="117"/>
    </row>
    <row r="829" spans="8:9" x14ac:dyDescent="0.2">
      <c r="H829" s="117"/>
      <c r="I829" s="117"/>
    </row>
    <row r="830" spans="8:9" x14ac:dyDescent="0.2">
      <c r="H830" s="117"/>
      <c r="I830" s="117"/>
    </row>
    <row r="831" spans="8:9" x14ac:dyDescent="0.2">
      <c r="H831" s="117"/>
      <c r="I831" s="117"/>
    </row>
    <row r="832" spans="8:9" x14ac:dyDescent="0.2">
      <c r="H832" s="117"/>
      <c r="I832" s="117"/>
    </row>
    <row r="833" spans="8:9" x14ac:dyDescent="0.2">
      <c r="H833" s="117"/>
      <c r="I833" s="117"/>
    </row>
    <row r="834" spans="8:9" x14ac:dyDescent="0.2">
      <c r="H834" s="117"/>
      <c r="I834" s="117"/>
    </row>
    <row r="835" spans="8:9" x14ac:dyDescent="0.2">
      <c r="H835" s="117"/>
      <c r="I835" s="117"/>
    </row>
    <row r="836" spans="8:9" x14ac:dyDescent="0.2">
      <c r="H836" s="117"/>
      <c r="I836" s="117"/>
    </row>
    <row r="837" spans="8:9" x14ac:dyDescent="0.2">
      <c r="H837" s="117"/>
      <c r="I837" s="117"/>
    </row>
    <row r="838" spans="8:9" x14ac:dyDescent="0.2">
      <c r="H838" s="117"/>
      <c r="I838" s="117"/>
    </row>
    <row r="839" spans="8:9" x14ac:dyDescent="0.2">
      <c r="H839" s="117"/>
      <c r="I839" s="117"/>
    </row>
    <row r="840" spans="8:9" x14ac:dyDescent="0.2">
      <c r="H840" s="117"/>
      <c r="I840" s="117"/>
    </row>
    <row r="841" spans="8:9" x14ac:dyDescent="0.2">
      <c r="H841" s="117"/>
      <c r="I841" s="117"/>
    </row>
    <row r="842" spans="8:9" x14ac:dyDescent="0.2">
      <c r="H842" s="117"/>
      <c r="I842" s="117"/>
    </row>
    <row r="843" spans="8:9" x14ac:dyDescent="0.2">
      <c r="H843" s="117"/>
      <c r="I843" s="117"/>
    </row>
    <row r="844" spans="8:9" x14ac:dyDescent="0.2">
      <c r="H844" s="117"/>
      <c r="I844" s="117"/>
    </row>
    <row r="845" spans="8:9" x14ac:dyDescent="0.2">
      <c r="H845" s="117"/>
      <c r="I845" s="117"/>
    </row>
    <row r="846" spans="8:9" x14ac:dyDescent="0.2">
      <c r="H846" s="117"/>
      <c r="I846" s="117"/>
    </row>
    <row r="847" spans="8:9" x14ac:dyDescent="0.2">
      <c r="H847" s="117"/>
      <c r="I847" s="117"/>
    </row>
    <row r="848" spans="8:9" x14ac:dyDescent="0.2">
      <c r="H848" s="117"/>
      <c r="I848" s="117"/>
    </row>
    <row r="849" spans="8:9" x14ac:dyDescent="0.2">
      <c r="H849" s="117"/>
      <c r="I849" s="117"/>
    </row>
    <row r="850" spans="8:9" x14ac:dyDescent="0.2">
      <c r="H850" s="117"/>
      <c r="I850" s="117"/>
    </row>
    <row r="851" spans="8:9" x14ac:dyDescent="0.2">
      <c r="H851" s="117"/>
      <c r="I851" s="117"/>
    </row>
    <row r="852" spans="8:9" x14ac:dyDescent="0.2">
      <c r="H852" s="117"/>
      <c r="I852" s="117"/>
    </row>
    <row r="853" spans="8:9" x14ac:dyDescent="0.2">
      <c r="H853" s="117"/>
      <c r="I853" s="117"/>
    </row>
    <row r="854" spans="8:9" x14ac:dyDescent="0.2">
      <c r="H854" s="117"/>
      <c r="I854" s="117"/>
    </row>
    <row r="855" spans="8:9" x14ac:dyDescent="0.2">
      <c r="H855" s="117"/>
      <c r="I855" s="117"/>
    </row>
    <row r="856" spans="8:9" x14ac:dyDescent="0.2">
      <c r="H856" s="117"/>
      <c r="I856" s="117"/>
    </row>
    <row r="857" spans="8:9" x14ac:dyDescent="0.2">
      <c r="H857" s="117"/>
      <c r="I857" s="117"/>
    </row>
    <row r="858" spans="8:9" x14ac:dyDescent="0.2">
      <c r="H858" s="117"/>
      <c r="I858" s="117"/>
    </row>
    <row r="859" spans="8:9" x14ac:dyDescent="0.2">
      <c r="H859" s="117"/>
      <c r="I859" s="117"/>
    </row>
    <row r="860" spans="8:9" x14ac:dyDescent="0.2">
      <c r="H860" s="117"/>
      <c r="I860" s="117"/>
    </row>
    <row r="861" spans="8:9" x14ac:dyDescent="0.2">
      <c r="H861" s="117"/>
      <c r="I861" s="117"/>
    </row>
    <row r="862" spans="8:9" x14ac:dyDescent="0.2">
      <c r="H862" s="117"/>
      <c r="I862" s="117"/>
    </row>
    <row r="863" spans="8:9" x14ac:dyDescent="0.2">
      <c r="H863" s="117"/>
      <c r="I863" s="117"/>
    </row>
    <row r="864" spans="8:9" x14ac:dyDescent="0.2">
      <c r="H864" s="117"/>
      <c r="I864" s="117"/>
    </row>
    <row r="865" spans="8:9" x14ac:dyDescent="0.2">
      <c r="H865" s="117"/>
      <c r="I865" s="117"/>
    </row>
    <row r="866" spans="8:9" x14ac:dyDescent="0.2">
      <c r="H866" s="117"/>
      <c r="I866" s="117"/>
    </row>
    <row r="867" spans="8:9" x14ac:dyDescent="0.2">
      <c r="H867" s="117"/>
      <c r="I867" s="117"/>
    </row>
    <row r="868" spans="8:9" x14ac:dyDescent="0.2">
      <c r="H868" s="117"/>
      <c r="I868" s="117"/>
    </row>
    <row r="869" spans="8:9" x14ac:dyDescent="0.2">
      <c r="H869" s="117"/>
      <c r="I869" s="117"/>
    </row>
    <row r="870" spans="8:9" x14ac:dyDescent="0.2">
      <c r="H870" s="117"/>
      <c r="I870" s="117"/>
    </row>
    <row r="871" spans="8:9" x14ac:dyDescent="0.2">
      <c r="H871" s="117"/>
      <c r="I871" s="117"/>
    </row>
    <row r="872" spans="8:9" x14ac:dyDescent="0.2">
      <c r="H872" s="117"/>
      <c r="I872" s="117"/>
    </row>
    <row r="873" spans="8:9" x14ac:dyDescent="0.2">
      <c r="H873" s="117"/>
      <c r="I873" s="117"/>
    </row>
    <row r="874" spans="8:9" x14ac:dyDescent="0.2">
      <c r="H874" s="117"/>
      <c r="I874" s="117"/>
    </row>
    <row r="875" spans="8:9" x14ac:dyDescent="0.2">
      <c r="H875" s="117"/>
      <c r="I875" s="117"/>
    </row>
    <row r="876" spans="8:9" x14ac:dyDescent="0.2">
      <c r="H876" s="117"/>
      <c r="I876" s="117"/>
    </row>
    <row r="877" spans="8:9" x14ac:dyDescent="0.2">
      <c r="H877" s="117"/>
      <c r="I877" s="117"/>
    </row>
    <row r="878" spans="8:9" x14ac:dyDescent="0.2">
      <c r="H878" s="117"/>
      <c r="I878" s="117"/>
    </row>
    <row r="879" spans="8:9" x14ac:dyDescent="0.2">
      <c r="H879" s="117"/>
      <c r="I879" s="117"/>
    </row>
    <row r="880" spans="8:9" x14ac:dyDescent="0.2">
      <c r="H880" s="117"/>
      <c r="I880" s="117"/>
    </row>
    <row r="881" spans="8:9" x14ac:dyDescent="0.2">
      <c r="H881" s="117"/>
      <c r="I881" s="117"/>
    </row>
    <row r="882" spans="8:9" x14ac:dyDescent="0.2">
      <c r="H882" s="117"/>
      <c r="I882" s="117"/>
    </row>
    <row r="883" spans="8:9" x14ac:dyDescent="0.2">
      <c r="H883" s="117"/>
      <c r="I883" s="117"/>
    </row>
    <row r="884" spans="8:9" x14ac:dyDescent="0.2">
      <c r="H884" s="117"/>
      <c r="I884" s="117"/>
    </row>
    <row r="885" spans="8:9" x14ac:dyDescent="0.2">
      <c r="H885" s="117"/>
      <c r="I885" s="117"/>
    </row>
    <row r="886" spans="8:9" x14ac:dyDescent="0.2">
      <c r="H886" s="117"/>
      <c r="I886" s="117"/>
    </row>
    <row r="887" spans="8:9" x14ac:dyDescent="0.2">
      <c r="H887" s="117"/>
      <c r="I887" s="117"/>
    </row>
    <row r="888" spans="8:9" x14ac:dyDescent="0.2">
      <c r="H888" s="117"/>
      <c r="I888" s="117"/>
    </row>
    <row r="889" spans="8:9" x14ac:dyDescent="0.2">
      <c r="H889" s="117"/>
      <c r="I889" s="117"/>
    </row>
    <row r="890" spans="8:9" x14ac:dyDescent="0.2">
      <c r="H890" s="117"/>
      <c r="I890" s="117"/>
    </row>
    <row r="891" spans="8:9" x14ac:dyDescent="0.2">
      <c r="H891" s="117"/>
      <c r="I891" s="117"/>
    </row>
    <row r="892" spans="8:9" x14ac:dyDescent="0.2">
      <c r="H892" s="117"/>
      <c r="I892" s="117"/>
    </row>
    <row r="893" spans="8:9" x14ac:dyDescent="0.2">
      <c r="H893" s="117"/>
      <c r="I893" s="117"/>
    </row>
    <row r="894" spans="8:9" x14ac:dyDescent="0.2">
      <c r="H894" s="117"/>
      <c r="I894" s="117"/>
    </row>
    <row r="895" spans="8:9" x14ac:dyDescent="0.2">
      <c r="H895" s="117"/>
      <c r="I895" s="117"/>
    </row>
    <row r="896" spans="8:9" x14ac:dyDescent="0.2">
      <c r="H896" s="117"/>
      <c r="I896" s="117"/>
    </row>
    <row r="897" spans="8:9" x14ac:dyDescent="0.2">
      <c r="H897" s="117"/>
      <c r="I897" s="117"/>
    </row>
    <row r="898" spans="8:9" x14ac:dyDescent="0.2">
      <c r="H898" s="117"/>
      <c r="I898" s="117"/>
    </row>
    <row r="899" spans="8:9" x14ac:dyDescent="0.2">
      <c r="H899" s="117"/>
      <c r="I899" s="117"/>
    </row>
    <row r="900" spans="8:9" x14ac:dyDescent="0.2">
      <c r="H900" s="117"/>
      <c r="I900" s="117"/>
    </row>
  </sheetData>
  <sortState ref="A90:HH93">
    <sortCondition ref="B90:B93"/>
  </sortState>
  <mergeCells count="2">
    <mergeCell ref="H2:I2"/>
    <mergeCell ref="AP2:AQ2"/>
  </mergeCells>
  <phoneticPr fontId="6" type="noConversion"/>
  <pageMargins left="0.21" right="0.19685039370078741" top="0.47" bottom="0.23622047244094491" header="0.15748031496062992" footer="0.23622047244094491"/>
  <pageSetup paperSize="9" scale="85" orientation="landscape" r:id="rId1"/>
  <headerFooter alignWithMargins="0">
    <oddHeader xml:space="preserve">&amp;R&amp;P+4 . strana
</oddHeader>
  </headerFooter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/>
  <dimension ref="A1:P37"/>
  <sheetViews>
    <sheetView workbookViewId="0">
      <selection activeCell="H31" sqref="H31"/>
    </sheetView>
  </sheetViews>
  <sheetFormatPr defaultColWidth="7.85546875" defaultRowHeight="12.75" x14ac:dyDescent="0.2"/>
  <cols>
    <col min="1" max="2" width="7.85546875" style="95" customWidth="1"/>
    <col min="3" max="3" width="4.28515625" style="95" customWidth="1"/>
    <col min="4" max="4" width="16.28515625" style="21" customWidth="1"/>
    <col min="5" max="5" width="6.5703125" style="95" customWidth="1"/>
    <col min="6" max="6" width="7.85546875" style="95" customWidth="1"/>
    <col min="7" max="7" width="7.28515625" style="95" customWidth="1"/>
    <col min="8" max="9" width="7.85546875" style="95" customWidth="1"/>
    <col min="10" max="11" width="10" style="117" customWidth="1"/>
    <col min="12" max="16384" width="7.85546875" style="95"/>
  </cols>
  <sheetData>
    <row r="1" spans="1:16" ht="15.75" x14ac:dyDescent="0.25">
      <c r="A1" s="1" t="s">
        <v>419</v>
      </c>
      <c r="E1" s="263"/>
      <c r="G1" s="263"/>
      <c r="I1" s="263"/>
    </row>
    <row r="2" spans="1:16" x14ac:dyDescent="0.2">
      <c r="A2" s="117"/>
      <c r="B2" s="117"/>
      <c r="C2" s="117"/>
      <c r="D2" s="98"/>
      <c r="E2" s="263"/>
      <c r="G2" s="263"/>
      <c r="I2" s="263"/>
    </row>
    <row r="3" spans="1:16" ht="13.5" thickBot="1" x14ac:dyDescent="0.25">
      <c r="E3" s="263"/>
      <c r="G3" s="263"/>
      <c r="I3" s="263"/>
    </row>
    <row r="4" spans="1:16" ht="13.5" thickBot="1" x14ac:dyDescent="0.25">
      <c r="A4" s="379"/>
      <c r="B4" s="264"/>
      <c r="C4" s="264"/>
      <c r="D4" s="265"/>
      <c r="E4" s="266"/>
      <c r="F4" s="267" t="s">
        <v>217</v>
      </c>
      <c r="G4" s="268"/>
      <c r="H4" s="267" t="s">
        <v>218</v>
      </c>
      <c r="I4" s="269" t="s">
        <v>219</v>
      </c>
      <c r="J4" s="460"/>
      <c r="K4" s="461" t="s">
        <v>91</v>
      </c>
    </row>
    <row r="5" spans="1:16" x14ac:dyDescent="0.2">
      <c r="A5" s="218"/>
      <c r="B5" s="130"/>
      <c r="C5" s="130"/>
      <c r="D5" s="270"/>
      <c r="E5" s="271" t="s">
        <v>220</v>
      </c>
      <c r="F5" s="272"/>
      <c r="G5" s="271" t="s">
        <v>220</v>
      </c>
      <c r="H5" s="272"/>
      <c r="I5" s="271" t="s">
        <v>221</v>
      </c>
      <c r="J5" s="462"/>
      <c r="K5" s="463" t="s">
        <v>222</v>
      </c>
    </row>
    <row r="6" spans="1:16" ht="13.5" thickBot="1" x14ac:dyDescent="0.25">
      <c r="A6" s="222"/>
      <c r="B6" s="131"/>
      <c r="C6" s="131"/>
      <c r="D6" s="273"/>
      <c r="E6" s="274" t="s">
        <v>94</v>
      </c>
      <c r="F6" s="275" t="s">
        <v>223</v>
      </c>
      <c r="G6" s="274" t="s">
        <v>94</v>
      </c>
      <c r="H6" s="275" t="s">
        <v>223</v>
      </c>
      <c r="I6" s="274" t="s">
        <v>224</v>
      </c>
      <c r="J6" s="275" t="s">
        <v>223</v>
      </c>
      <c r="K6" s="464" t="s">
        <v>225</v>
      </c>
    </row>
    <row r="7" spans="1:16" x14ac:dyDescent="0.2">
      <c r="A7" s="219" t="s">
        <v>95</v>
      </c>
      <c r="B7" s="130"/>
      <c r="C7" s="130"/>
      <c r="D7" s="270"/>
      <c r="E7" s="276">
        <f>+příjmy!H42</f>
        <v>400</v>
      </c>
      <c r="F7" s="277">
        <f>+příjmy!O42</f>
        <v>1050.0618999999999</v>
      </c>
      <c r="G7" s="278">
        <f>výdaje!L6</f>
        <v>1504.15</v>
      </c>
      <c r="H7" s="277">
        <f>+výdaje!AA6</f>
        <v>968.84417999999994</v>
      </c>
      <c r="I7" s="276"/>
      <c r="J7" s="277"/>
      <c r="K7" s="279"/>
    </row>
    <row r="8" spans="1:16" x14ac:dyDescent="0.2">
      <c r="A8" s="380"/>
      <c r="B8" s="132"/>
      <c r="C8" s="22" t="s">
        <v>226</v>
      </c>
      <c r="D8" s="280"/>
      <c r="E8" s="281">
        <f>SUM(E7:E7)</f>
        <v>400</v>
      </c>
      <c r="F8" s="282">
        <f>SUM(F7:F7)</f>
        <v>1050.0618999999999</v>
      </c>
      <c r="G8" s="281">
        <f>SUM(G7:G7)</f>
        <v>1504.15</v>
      </c>
      <c r="H8" s="282">
        <f>SUM(H7:H7)</f>
        <v>968.84417999999994</v>
      </c>
      <c r="I8" s="281">
        <f>E8-G8</f>
        <v>-1104.1500000000001</v>
      </c>
      <c r="J8" s="282">
        <f>F8-H8</f>
        <v>81.217719999999986</v>
      </c>
      <c r="K8" s="284">
        <f>J8-I8</f>
        <v>1185.3677200000002</v>
      </c>
    </row>
    <row r="9" spans="1:16" x14ac:dyDescent="0.2">
      <c r="A9" s="381" t="s">
        <v>227</v>
      </c>
      <c r="B9" s="130"/>
      <c r="C9" s="130"/>
      <c r="D9" s="270"/>
      <c r="E9" s="271"/>
      <c r="F9" s="285"/>
      <c r="G9" s="271"/>
      <c r="H9" s="285"/>
      <c r="I9" s="271"/>
      <c r="J9" s="285"/>
      <c r="K9" s="286"/>
    </row>
    <row r="10" spans="1:16" x14ac:dyDescent="0.2">
      <c r="A10" s="382"/>
      <c r="B10" s="132"/>
      <c r="C10" s="132"/>
      <c r="D10" s="75"/>
      <c r="E10" s="281">
        <f>+příjmy!H66</f>
        <v>1384</v>
      </c>
      <c r="F10" s="283">
        <f>+příjmy!O66</f>
        <v>1514.8385499999999</v>
      </c>
      <c r="G10" s="281">
        <f>+výdaje!L12</f>
        <v>529</v>
      </c>
      <c r="H10" s="283">
        <f>+výdaje!AA12</f>
        <v>380.01794000000001</v>
      </c>
      <c r="I10" s="281">
        <f>E10-G10</f>
        <v>855</v>
      </c>
      <c r="J10" s="282">
        <f>F10-H10</f>
        <v>1134.82061</v>
      </c>
      <c r="K10" s="284">
        <f>J10-I10</f>
        <v>279.82060999999999</v>
      </c>
    </row>
    <row r="11" spans="1:16" x14ac:dyDescent="0.2">
      <c r="A11" s="219" t="s">
        <v>76</v>
      </c>
      <c r="B11" s="130"/>
      <c r="C11" s="130"/>
      <c r="D11" s="270"/>
      <c r="E11" s="276"/>
      <c r="F11" s="74"/>
      <c r="G11" s="276"/>
      <c r="H11" s="74"/>
      <c r="I11" s="276"/>
      <c r="J11" s="133"/>
      <c r="K11" s="279"/>
    </row>
    <row r="12" spans="1:16" x14ac:dyDescent="0.2">
      <c r="A12" s="218"/>
      <c r="B12" s="130"/>
      <c r="C12" s="130"/>
      <c r="D12" s="270" t="s">
        <v>251</v>
      </c>
      <c r="E12" s="276">
        <f>+příjmy!H69</f>
        <v>7848</v>
      </c>
      <c r="F12" s="277">
        <f>+příjmy!O69</f>
        <v>7768.5820999999996</v>
      </c>
      <c r="G12" s="278">
        <f>+výdaje!L70</f>
        <v>5598</v>
      </c>
      <c r="H12" s="277">
        <f>+výdaje!AA70</f>
        <v>5135.0865100000001</v>
      </c>
      <c r="I12" s="276">
        <f t="shared" ref="I12:J16" si="0">E12-G12</f>
        <v>2250</v>
      </c>
      <c r="J12" s="277">
        <f t="shared" si="0"/>
        <v>2633.4955899999995</v>
      </c>
      <c r="K12" s="279"/>
      <c r="M12" s="113"/>
    </row>
    <row r="13" spans="1:16" x14ac:dyDescent="0.2">
      <c r="A13" s="218"/>
      <c r="B13" s="130"/>
      <c r="C13" s="130"/>
      <c r="D13" s="270" t="s">
        <v>228</v>
      </c>
      <c r="E13" s="276">
        <f>+příjmy!H50</f>
        <v>3010</v>
      </c>
      <c r="F13" s="277">
        <f>+příjmy!O50</f>
        <v>2372.3090000000002</v>
      </c>
      <c r="G13" s="278">
        <f>+výdaje!L71</f>
        <v>3010</v>
      </c>
      <c r="H13" s="277">
        <f>+výdaje!AA71</f>
        <v>3060.3110999999999</v>
      </c>
      <c r="I13" s="276">
        <f t="shared" si="0"/>
        <v>0</v>
      </c>
      <c r="J13" s="516">
        <f t="shared" si="0"/>
        <v>-688.0020999999997</v>
      </c>
      <c r="K13" s="279"/>
      <c r="M13" s="113"/>
    </row>
    <row r="14" spans="1:16" x14ac:dyDescent="0.2">
      <c r="A14" s="218"/>
      <c r="B14" s="130"/>
      <c r="C14" s="130"/>
      <c r="D14" s="270" t="s">
        <v>229</v>
      </c>
      <c r="E14" s="276">
        <f>+příjmy!H70</f>
        <v>750</v>
      </c>
      <c r="F14" s="277">
        <f>+příjmy!O70</f>
        <v>755.77200000000005</v>
      </c>
      <c r="G14" s="278">
        <f>+výdaje!L77</f>
        <v>300</v>
      </c>
      <c r="H14" s="277">
        <f>+výdaje!Y77</f>
        <v>255.64410000000001</v>
      </c>
      <c r="I14" s="276">
        <f t="shared" si="0"/>
        <v>450</v>
      </c>
      <c r="J14" s="277">
        <f t="shared" si="0"/>
        <v>500.12790000000007</v>
      </c>
      <c r="K14" s="279"/>
      <c r="M14" s="113"/>
    </row>
    <row r="15" spans="1:16" x14ac:dyDescent="0.2">
      <c r="A15" s="218"/>
      <c r="B15" s="130"/>
      <c r="C15" s="130"/>
      <c r="D15" s="270" t="s">
        <v>230</v>
      </c>
      <c r="E15" s="276">
        <f>+příjmy!H51</f>
        <v>331</v>
      </c>
      <c r="F15" s="277">
        <f>+příjmy!O51</f>
        <v>308.161</v>
      </c>
      <c r="G15" s="278">
        <f>+výdaje!L78</f>
        <v>331</v>
      </c>
      <c r="H15" s="277">
        <f>+výdaje!Y78</f>
        <v>202.20304999999999</v>
      </c>
      <c r="I15" s="276">
        <f t="shared" si="0"/>
        <v>0</v>
      </c>
      <c r="J15" s="277">
        <f t="shared" si="0"/>
        <v>105.95795000000001</v>
      </c>
      <c r="K15" s="279"/>
      <c r="M15" s="113"/>
    </row>
    <row r="16" spans="1:16" x14ac:dyDescent="0.2">
      <c r="A16" s="380"/>
      <c r="B16" s="132"/>
      <c r="C16" s="22" t="s">
        <v>231</v>
      </c>
      <c r="D16" s="75"/>
      <c r="E16" s="281">
        <f>SUM(E12:E15)</f>
        <v>11939</v>
      </c>
      <c r="F16" s="283">
        <f>SUM(F12:F15)</f>
        <v>11204.824100000002</v>
      </c>
      <c r="G16" s="281">
        <f>SUM(G12:G15)</f>
        <v>9239</v>
      </c>
      <c r="H16" s="283">
        <f>SUM(H12:H15)</f>
        <v>8653.2447599999996</v>
      </c>
      <c r="I16" s="281">
        <f t="shared" si="0"/>
        <v>2700</v>
      </c>
      <c r="J16" s="282">
        <f t="shared" si="0"/>
        <v>2551.579340000002</v>
      </c>
      <c r="K16" s="517">
        <f>J16-I16</f>
        <v>-148.42065999999795</v>
      </c>
      <c r="M16" s="113"/>
      <c r="P16" s="113"/>
    </row>
    <row r="17" spans="1:12" x14ac:dyDescent="0.2">
      <c r="A17" s="219" t="s">
        <v>232</v>
      </c>
      <c r="B17" s="130"/>
      <c r="C17" s="130"/>
      <c r="D17" s="270" t="s">
        <v>233</v>
      </c>
      <c r="E17" s="278">
        <f>+příjmy!H47</f>
        <v>96</v>
      </c>
      <c r="F17" s="277">
        <f>+příjmy!O47</f>
        <v>94.983000000000004</v>
      </c>
      <c r="G17" s="278">
        <f>+výdaje!L45</f>
        <v>1410</v>
      </c>
      <c r="H17" s="277">
        <f>+výdaje!AA45</f>
        <v>1392.6273900000001</v>
      </c>
      <c r="I17" s="276"/>
      <c r="J17" s="277"/>
      <c r="K17" s="279"/>
    </row>
    <row r="18" spans="1:12" x14ac:dyDescent="0.2">
      <c r="A18" s="219"/>
      <c r="B18" s="130"/>
      <c r="C18" s="130"/>
      <c r="D18" s="270" t="s">
        <v>234</v>
      </c>
      <c r="E18" s="276"/>
      <c r="F18" s="133"/>
      <c r="G18" s="276"/>
      <c r="H18" s="133"/>
      <c r="I18" s="276"/>
      <c r="J18" s="133"/>
      <c r="K18" s="279"/>
    </row>
    <row r="19" spans="1:12" x14ac:dyDescent="0.2">
      <c r="A19" s="382"/>
      <c r="B19" s="132"/>
      <c r="C19" s="22" t="s">
        <v>66</v>
      </c>
      <c r="D19" s="280"/>
      <c r="E19" s="281">
        <f>SUM(E17:E18)</f>
        <v>96</v>
      </c>
      <c r="F19" s="283">
        <f>SUM(F17:F18)</f>
        <v>94.983000000000004</v>
      </c>
      <c r="G19" s="281">
        <f>SUM(G17:G18)</f>
        <v>1410</v>
      </c>
      <c r="H19" s="283">
        <f>SUM(H17:H18)</f>
        <v>1392.6273900000001</v>
      </c>
      <c r="I19" s="281">
        <f>E19-G19</f>
        <v>-1314</v>
      </c>
      <c r="J19" s="282">
        <f>F19-H19</f>
        <v>-1297.6443900000002</v>
      </c>
      <c r="K19" s="284">
        <f>J19-I19</f>
        <v>16.355609999999842</v>
      </c>
    </row>
    <row r="20" spans="1:12" x14ac:dyDescent="0.2">
      <c r="A20" s="219" t="s">
        <v>235</v>
      </c>
      <c r="B20" s="130"/>
      <c r="C20" s="130"/>
      <c r="D20" s="270" t="s">
        <v>236</v>
      </c>
      <c r="E20" s="278">
        <f>+příjmy!H49</f>
        <v>99</v>
      </c>
      <c r="F20" s="277">
        <f>+příjmy!O49</f>
        <v>120.545</v>
      </c>
      <c r="G20" s="276"/>
      <c r="H20" s="277"/>
      <c r="I20" s="276"/>
      <c r="J20" s="465"/>
      <c r="K20" s="279"/>
    </row>
    <row r="21" spans="1:12" x14ac:dyDescent="0.2">
      <c r="A21" s="218"/>
      <c r="B21" s="130"/>
      <c r="C21" s="130"/>
      <c r="D21" s="270" t="s">
        <v>237</v>
      </c>
      <c r="E21" s="278">
        <f>+příjmy!H48</f>
        <v>70</v>
      </c>
      <c r="F21" s="277">
        <f>+příjmy!O48</f>
        <v>73.674999999999997</v>
      </c>
      <c r="G21" s="276"/>
      <c r="H21" s="133"/>
      <c r="I21" s="276"/>
      <c r="J21" s="465"/>
      <c r="K21" s="279"/>
    </row>
    <row r="22" spans="1:12" x14ac:dyDescent="0.2">
      <c r="A22" s="380"/>
      <c r="B22" s="132"/>
      <c r="C22" s="22" t="s">
        <v>66</v>
      </c>
      <c r="D22" s="75"/>
      <c r="E22" s="287">
        <f>SUM(E20:E21)</f>
        <v>169</v>
      </c>
      <c r="F22" s="288">
        <f>SUM(F20:F21)</f>
        <v>194.22</v>
      </c>
      <c r="G22" s="281">
        <f>+výdaje!L51</f>
        <v>338.28</v>
      </c>
      <c r="H22" s="282">
        <f>+výdaje!AA51</f>
        <v>323.26819999999998</v>
      </c>
      <c r="I22" s="287">
        <f>E22-G22</f>
        <v>-169.27999999999997</v>
      </c>
      <c r="J22" s="466">
        <f>F22-H22</f>
        <v>-129.04819999999998</v>
      </c>
      <c r="K22" s="289">
        <f>J22-I22</f>
        <v>40.231799999999993</v>
      </c>
    </row>
    <row r="23" spans="1:12" x14ac:dyDescent="0.2">
      <c r="A23" s="219" t="s">
        <v>238</v>
      </c>
      <c r="B23" s="130"/>
      <c r="C23" s="15"/>
      <c r="D23" s="270" t="s">
        <v>239</v>
      </c>
      <c r="E23" s="292">
        <f>příjmy!H31</f>
        <v>3074</v>
      </c>
      <c r="F23" s="291">
        <f>příjmy!O31</f>
        <v>3258.8536399999998</v>
      </c>
      <c r="G23" s="292"/>
      <c r="H23" s="293"/>
      <c r="I23" s="290"/>
      <c r="J23" s="467"/>
      <c r="K23" s="295"/>
    </row>
    <row r="24" spans="1:12" x14ac:dyDescent="0.2">
      <c r="A24" s="218"/>
      <c r="B24" s="130"/>
      <c r="C24" s="15"/>
      <c r="D24" s="270" t="s">
        <v>240</v>
      </c>
      <c r="E24" s="292">
        <f>příjmy!H63</f>
        <v>895</v>
      </c>
      <c r="F24" s="291">
        <f>příjmy!O63</f>
        <v>976.74059999999997</v>
      </c>
      <c r="G24" s="292"/>
      <c r="H24" s="293"/>
      <c r="I24" s="290"/>
      <c r="J24" s="467"/>
      <c r="K24" s="295"/>
    </row>
    <row r="25" spans="1:12" x14ac:dyDescent="0.2">
      <c r="A25" s="218"/>
      <c r="B25" s="130"/>
      <c r="C25" s="22" t="s">
        <v>66</v>
      </c>
      <c r="D25" s="270"/>
      <c r="E25" s="281">
        <f>SUM(E23:E24)</f>
        <v>3969</v>
      </c>
      <c r="F25" s="283">
        <f>SUM(F23:F24)</f>
        <v>4235.5942399999994</v>
      </c>
      <c r="G25" s="281">
        <f>+výdaje!L91</f>
        <v>6143</v>
      </c>
      <c r="H25" s="283">
        <f>+výdaje!AA91</f>
        <v>6100.5228800000004</v>
      </c>
      <c r="I25" s="281">
        <f>E25-G25</f>
        <v>-2174</v>
      </c>
      <c r="J25" s="282">
        <f>F25-H25</f>
        <v>-1864.928640000001</v>
      </c>
      <c r="K25" s="284">
        <f>J25-I25</f>
        <v>309.071359999999</v>
      </c>
    </row>
    <row r="26" spans="1:12" x14ac:dyDescent="0.2">
      <c r="A26" s="383" t="s">
        <v>38</v>
      </c>
      <c r="B26" s="134"/>
      <c r="C26" s="134"/>
      <c r="D26" s="296"/>
      <c r="E26" s="297"/>
      <c r="F26" s="294"/>
      <c r="G26" s="292"/>
      <c r="H26" s="293"/>
      <c r="I26" s="290"/>
      <c r="J26" s="467"/>
      <c r="K26" s="295"/>
    </row>
    <row r="27" spans="1:12" x14ac:dyDescent="0.2">
      <c r="A27" s="384"/>
      <c r="B27" s="132"/>
      <c r="C27" s="132"/>
      <c r="D27" s="91"/>
      <c r="E27" s="298">
        <f>příjmy!F53</f>
        <v>150</v>
      </c>
      <c r="F27" s="288">
        <f>příjmy!O53</f>
        <v>189.702</v>
      </c>
      <c r="G27" s="281">
        <f>+výdaje!L81</f>
        <v>660</v>
      </c>
      <c r="H27" s="282">
        <f>+výdaje!AA81</f>
        <v>601.69799999999998</v>
      </c>
      <c r="I27" s="287">
        <f>E27-G27</f>
        <v>-510</v>
      </c>
      <c r="J27" s="466">
        <f>F27-H27</f>
        <v>-411.99599999999998</v>
      </c>
      <c r="K27" s="289">
        <f>J27-I27</f>
        <v>98.004000000000019</v>
      </c>
    </row>
    <row r="28" spans="1:12" x14ac:dyDescent="0.2">
      <c r="A28" s="383" t="s">
        <v>241</v>
      </c>
      <c r="B28" s="134"/>
      <c r="C28" s="134"/>
      <c r="D28" s="299"/>
      <c r="E28" s="300"/>
      <c r="F28" s="301"/>
      <c r="G28" s="302"/>
      <c r="H28" s="303"/>
      <c r="I28" s="304"/>
      <c r="J28" s="468"/>
      <c r="K28" s="305"/>
    </row>
    <row r="29" spans="1:12" x14ac:dyDescent="0.2">
      <c r="A29" s="384"/>
      <c r="B29" s="132"/>
      <c r="C29" s="22" t="s">
        <v>66</v>
      </c>
      <c r="D29" s="75"/>
      <c r="E29" s="306">
        <f>+příjmy!H56</f>
        <v>45</v>
      </c>
      <c r="F29" s="288">
        <f>+příjmy!O56</f>
        <v>45.094999999999999</v>
      </c>
      <c r="G29" s="281">
        <f>+výdaje!J87</f>
        <v>333</v>
      </c>
      <c r="H29" s="282">
        <f>+výdaje!Y87</f>
        <v>307.07139999999998</v>
      </c>
      <c r="I29" s="287">
        <f>E29-G29</f>
        <v>-288</v>
      </c>
      <c r="J29" s="466">
        <f>F29-H29</f>
        <v>-261.97640000000001</v>
      </c>
      <c r="K29" s="289">
        <f>J29-I29</f>
        <v>26.023599999999988</v>
      </c>
    </row>
    <row r="30" spans="1:12" x14ac:dyDescent="0.2">
      <c r="A30" s="383" t="s">
        <v>39</v>
      </c>
      <c r="B30" s="134"/>
      <c r="C30" s="134"/>
      <c r="D30" s="299" t="s">
        <v>304</v>
      </c>
      <c r="E30" s="408">
        <f>+příjmy!H138</f>
        <v>1700</v>
      </c>
      <c r="F30" s="410">
        <f>+příjmy!O138</f>
        <v>1700</v>
      </c>
      <c r="G30" s="302"/>
      <c r="H30" s="303">
        <f>výdaje!AA103</f>
        <v>4566.2483400000001</v>
      </c>
      <c r="I30" s="304"/>
      <c r="J30" s="468"/>
      <c r="K30" s="305"/>
    </row>
    <row r="31" spans="1:12" x14ac:dyDescent="0.2">
      <c r="A31" s="219"/>
      <c r="B31" s="130"/>
      <c r="C31" s="130"/>
      <c r="D31" s="270"/>
      <c r="E31" s="409"/>
      <c r="F31" s="411"/>
      <c r="G31" s="292"/>
      <c r="H31" s="293"/>
      <c r="I31" s="290"/>
      <c r="J31" s="467"/>
      <c r="K31" s="295"/>
    </row>
    <row r="32" spans="1:12" x14ac:dyDescent="0.2">
      <c r="A32" s="219"/>
      <c r="B32" s="130"/>
      <c r="C32" s="130"/>
      <c r="D32" s="270" t="s">
        <v>305</v>
      </c>
      <c r="E32" s="409">
        <f>příjmy!H57</f>
        <v>850</v>
      </c>
      <c r="F32" s="411">
        <f>příjmy!O57</f>
        <v>927.66610000000003</v>
      </c>
      <c r="G32" s="292"/>
      <c r="H32" s="293"/>
      <c r="I32" s="290"/>
      <c r="J32" s="467"/>
      <c r="K32" s="295"/>
      <c r="L32" s="117"/>
    </row>
    <row r="33" spans="1:12" x14ac:dyDescent="0.2">
      <c r="A33" s="385"/>
      <c r="B33" s="132"/>
      <c r="C33" s="22" t="s">
        <v>66</v>
      </c>
      <c r="D33" s="75"/>
      <c r="E33" s="306">
        <f>SUM(E30:E32)</f>
        <v>2550</v>
      </c>
      <c r="F33" s="288">
        <f>SUM(F30:F32)</f>
        <v>2627.6660999999999</v>
      </c>
      <c r="G33" s="281">
        <f>+výdaje!L103</f>
        <v>4949</v>
      </c>
      <c r="H33" s="282">
        <f>+výdaje!AA103</f>
        <v>4566.2483400000001</v>
      </c>
      <c r="I33" s="287">
        <f>E33-G33</f>
        <v>-2399</v>
      </c>
      <c r="J33" s="466">
        <f>F33-H33</f>
        <v>-1938.5822400000002</v>
      </c>
      <c r="K33" s="289">
        <f>J33-I33</f>
        <v>460.41775999999982</v>
      </c>
      <c r="L33" s="117"/>
    </row>
    <row r="34" spans="1:12" x14ac:dyDescent="0.2">
      <c r="A34" s="219" t="s">
        <v>319</v>
      </c>
      <c r="B34" s="130"/>
      <c r="C34" s="130"/>
      <c r="D34" s="270" t="s">
        <v>321</v>
      </c>
      <c r="E34" s="278">
        <f>+příjmy!H88</f>
        <v>150</v>
      </c>
      <c r="F34" s="277">
        <f>+příjmy!O88</f>
        <v>182.90010000000001</v>
      </c>
      <c r="G34" s="278">
        <f>+výdaje!L108</f>
        <v>2394</v>
      </c>
      <c r="H34" s="277">
        <f>+výdaje!AA108</f>
        <v>2123.7552700000001</v>
      </c>
      <c r="I34" s="276"/>
      <c r="J34" s="277"/>
      <c r="K34" s="279"/>
      <c r="L34" s="117"/>
    </row>
    <row r="35" spans="1:12" x14ac:dyDescent="0.2">
      <c r="A35" s="219"/>
      <c r="B35" s="130"/>
      <c r="C35" s="130"/>
      <c r="D35" s="270" t="s">
        <v>320</v>
      </c>
      <c r="E35" s="409">
        <f>+příjmy!H131</f>
        <v>125</v>
      </c>
      <c r="F35" s="411">
        <f>+příjmy!O131</f>
        <v>124.44</v>
      </c>
      <c r="G35" s="276"/>
      <c r="H35" s="133"/>
      <c r="I35" s="276"/>
      <c r="J35" s="133"/>
      <c r="K35" s="279"/>
      <c r="L35" s="117"/>
    </row>
    <row r="36" spans="1:12" x14ac:dyDescent="0.2">
      <c r="A36" s="382"/>
      <c r="B36" s="132"/>
      <c r="C36" s="22" t="s">
        <v>66</v>
      </c>
      <c r="D36" s="280"/>
      <c r="E36" s="281">
        <f>SUM(E34:E35)</f>
        <v>275</v>
      </c>
      <c r="F36" s="283">
        <f>SUM(F34:F35)</f>
        <v>307.34010000000001</v>
      </c>
      <c r="G36" s="281">
        <f>SUM(G34:G35)</f>
        <v>2394</v>
      </c>
      <c r="H36" s="283">
        <f>SUM(H34:H35)</f>
        <v>2123.7552700000001</v>
      </c>
      <c r="I36" s="281">
        <f>E36-G36</f>
        <v>-2119</v>
      </c>
      <c r="J36" s="282">
        <f>F36-H36</f>
        <v>-1816.4151700000002</v>
      </c>
      <c r="K36" s="284">
        <f>J36-I36</f>
        <v>302.58482999999978</v>
      </c>
      <c r="L36" s="117"/>
    </row>
    <row r="37" spans="1:12" x14ac:dyDescent="0.2">
      <c r="L37" s="117"/>
    </row>
  </sheetData>
  <phoneticPr fontId="6" type="noConversion"/>
  <pageMargins left="0.78740157499999996" right="0.17" top="0.984251969" bottom="0.984251969" header="0.4921259845" footer="0.4921259845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B36"/>
  <sheetViews>
    <sheetView workbookViewId="0">
      <selection activeCell="B30" sqref="B30"/>
    </sheetView>
  </sheetViews>
  <sheetFormatPr defaultRowHeight="12.75" x14ac:dyDescent="0.2"/>
  <cols>
    <col min="1" max="1" width="2.85546875" customWidth="1"/>
    <col min="2" max="2" width="28.7109375" style="541" customWidth="1"/>
    <col min="3" max="3" width="2.5703125" style="541" customWidth="1"/>
    <col min="4" max="4" width="9.42578125" customWidth="1"/>
    <col min="5" max="5" width="10.5703125" customWidth="1"/>
    <col min="6" max="6" width="9.7109375" customWidth="1"/>
    <col min="8" max="8" width="8.28515625" customWidth="1"/>
    <col min="9" max="9" width="9" customWidth="1"/>
    <col min="10" max="10" width="7.28515625" customWidth="1"/>
    <col min="11" max="12" width="6.85546875" customWidth="1"/>
    <col min="13" max="14" width="6.42578125" style="518" customWidth="1"/>
    <col min="15" max="16" width="7.42578125" style="518" customWidth="1"/>
    <col min="17" max="17" width="6.85546875" style="518" customWidth="1"/>
    <col min="18" max="18" width="5.5703125" style="518" customWidth="1"/>
    <col min="19" max="19" width="9.7109375" customWidth="1"/>
    <col min="20" max="20" width="9.42578125" customWidth="1"/>
    <col min="21" max="21" width="2.7109375" customWidth="1"/>
    <col min="25" max="25" width="6.42578125" customWidth="1"/>
  </cols>
  <sheetData>
    <row r="1" spans="1:28" ht="18" x14ac:dyDescent="0.25">
      <c r="B1" s="539" t="s">
        <v>497</v>
      </c>
      <c r="C1" s="539"/>
      <c r="D1" s="540"/>
    </row>
    <row r="2" spans="1:28" ht="13.5" thickBot="1" x14ac:dyDescent="0.25">
      <c r="B2" s="541" t="s">
        <v>498</v>
      </c>
    </row>
    <row r="3" spans="1:28" s="540" customFormat="1" ht="55.5" customHeight="1" x14ac:dyDescent="0.2">
      <c r="B3" s="542" t="s">
        <v>499</v>
      </c>
      <c r="C3" s="610" t="s">
        <v>562</v>
      </c>
      <c r="D3" s="543" t="s">
        <v>500</v>
      </c>
      <c r="E3" s="543" t="s">
        <v>501</v>
      </c>
      <c r="F3" s="543" t="s">
        <v>502</v>
      </c>
      <c r="G3" s="543" t="s">
        <v>503</v>
      </c>
      <c r="H3" s="543" t="s">
        <v>504</v>
      </c>
      <c r="I3" s="543" t="s">
        <v>505</v>
      </c>
      <c r="J3" s="543" t="s">
        <v>506</v>
      </c>
      <c r="K3" s="543" t="s">
        <v>507</v>
      </c>
      <c r="L3" s="544"/>
      <c r="M3" s="609" t="s">
        <v>561</v>
      </c>
      <c r="N3" s="545"/>
      <c r="O3" s="545"/>
      <c r="P3" s="545"/>
      <c r="Q3" s="545"/>
      <c r="R3" s="546"/>
      <c r="S3" s="547" t="s">
        <v>242</v>
      </c>
      <c r="T3" s="543" t="s">
        <v>508</v>
      </c>
      <c r="U3" s="548"/>
    </row>
    <row r="4" spans="1:28" s="540" customFormat="1" ht="26.25" thickBot="1" x14ac:dyDescent="0.25">
      <c r="B4" s="549"/>
      <c r="C4" s="550"/>
      <c r="D4" s="551"/>
      <c r="E4" s="551" t="s">
        <v>509</v>
      </c>
      <c r="F4" s="551"/>
      <c r="G4" s="551"/>
      <c r="H4" s="551"/>
      <c r="I4" s="551"/>
      <c r="J4" s="551" t="s">
        <v>233</v>
      </c>
      <c r="K4" s="551"/>
      <c r="L4" s="552" t="s">
        <v>510</v>
      </c>
      <c r="M4" s="553">
        <v>2015</v>
      </c>
      <c r="N4" s="553">
        <v>2016</v>
      </c>
      <c r="O4" s="553">
        <v>2017</v>
      </c>
      <c r="P4" s="553">
        <v>2018</v>
      </c>
      <c r="Q4" s="553">
        <v>2019</v>
      </c>
      <c r="R4" s="553">
        <v>2020</v>
      </c>
      <c r="S4" s="554"/>
      <c r="T4" s="555"/>
      <c r="U4" s="555"/>
    </row>
    <row r="5" spans="1:28" ht="24.75" customHeight="1" x14ac:dyDescent="0.2">
      <c r="A5" s="556">
        <v>1</v>
      </c>
      <c r="B5" s="557" t="s">
        <v>511</v>
      </c>
      <c r="C5" s="558" t="s">
        <v>512</v>
      </c>
      <c r="D5" s="559" t="s">
        <v>513</v>
      </c>
      <c r="E5" s="559" t="s">
        <v>514</v>
      </c>
      <c r="F5" s="560" t="s">
        <v>515</v>
      </c>
      <c r="G5" s="533">
        <v>34654</v>
      </c>
      <c r="H5" s="533">
        <v>22156</v>
      </c>
      <c r="I5" s="533">
        <f>G5-H5</f>
        <v>12498</v>
      </c>
      <c r="J5" s="533"/>
      <c r="K5" s="561" t="s">
        <v>516</v>
      </c>
      <c r="L5" s="533">
        <f>1227+2855</f>
        <v>4082</v>
      </c>
      <c r="M5" s="533">
        <v>1037</v>
      </c>
      <c r="N5" s="562">
        <v>1627</v>
      </c>
      <c r="O5" s="562">
        <v>1</v>
      </c>
      <c r="P5" s="562">
        <v>20855</v>
      </c>
      <c r="Q5" s="562">
        <f>I5-L5-M5-N5-O5-P5</f>
        <v>-15104</v>
      </c>
      <c r="R5" s="562"/>
      <c r="S5" s="563" t="s">
        <v>517</v>
      </c>
      <c r="T5" s="564"/>
      <c r="U5" s="565" t="s">
        <v>518</v>
      </c>
    </row>
    <row r="6" spans="1:28" ht="24.75" customHeight="1" x14ac:dyDescent="0.2">
      <c r="A6" s="556">
        <v>2</v>
      </c>
      <c r="B6" s="566" t="s">
        <v>519</v>
      </c>
      <c r="C6" s="558" t="s">
        <v>512</v>
      </c>
      <c r="D6" s="567" t="s">
        <v>513</v>
      </c>
      <c r="E6" s="567"/>
      <c r="F6" s="560" t="s">
        <v>520</v>
      </c>
      <c r="G6" s="568">
        <v>16000</v>
      </c>
      <c r="H6" s="569"/>
      <c r="I6" s="569">
        <f>G6-H6</f>
        <v>16000</v>
      </c>
      <c r="J6" s="569">
        <v>11479</v>
      </c>
      <c r="K6" s="569"/>
      <c r="L6" s="569">
        <f>345+178</f>
        <v>523</v>
      </c>
      <c r="M6" s="569">
        <v>585</v>
      </c>
      <c r="N6" s="569">
        <v>5</v>
      </c>
      <c r="O6" s="569">
        <v>302</v>
      </c>
      <c r="P6" s="569">
        <v>93</v>
      </c>
      <c r="Q6" s="569">
        <v>-2945</v>
      </c>
      <c r="R6" s="569">
        <f>I6-J6-L6-M6-N6-O6-P6-Q6</f>
        <v>5958</v>
      </c>
      <c r="S6" s="570" t="s">
        <v>521</v>
      </c>
      <c r="T6" s="564" t="s">
        <v>522</v>
      </c>
      <c r="U6" s="571" t="s">
        <v>518</v>
      </c>
      <c r="V6" s="518"/>
      <c r="W6" s="518"/>
      <c r="X6" s="518"/>
      <c r="Y6" s="518"/>
      <c r="Z6" s="518"/>
    </row>
    <row r="7" spans="1:28" ht="33.75" customHeight="1" x14ac:dyDescent="0.2">
      <c r="A7" s="556">
        <v>3</v>
      </c>
      <c r="B7" s="572" t="s">
        <v>523</v>
      </c>
      <c r="C7" s="558" t="s">
        <v>512</v>
      </c>
      <c r="D7" s="567" t="s">
        <v>513</v>
      </c>
      <c r="E7" s="563" t="s">
        <v>524</v>
      </c>
      <c r="F7" s="573" t="s">
        <v>525</v>
      </c>
      <c r="G7" s="569">
        <f>SUM(M7:Q7)</f>
        <v>28653</v>
      </c>
      <c r="H7" s="569"/>
      <c r="I7" s="569">
        <f>G7-J7</f>
        <v>28653</v>
      </c>
      <c r="J7" s="569"/>
      <c r="K7" s="569" t="s">
        <v>526</v>
      </c>
      <c r="L7" s="569"/>
      <c r="M7" s="569">
        <v>538</v>
      </c>
      <c r="N7" s="569">
        <v>4972</v>
      </c>
      <c r="O7" s="569">
        <v>3115</v>
      </c>
      <c r="P7" s="569">
        <v>2028</v>
      </c>
      <c r="Q7" s="569">
        <v>18000</v>
      </c>
      <c r="R7" s="569"/>
      <c r="S7" s="563" t="s">
        <v>517</v>
      </c>
      <c r="T7" s="564"/>
      <c r="U7" s="571" t="s">
        <v>518</v>
      </c>
      <c r="AB7" s="540"/>
    </row>
    <row r="8" spans="1:28" ht="33.75" customHeight="1" x14ac:dyDescent="0.2">
      <c r="A8" s="556">
        <v>4</v>
      </c>
      <c r="B8" s="574" t="s">
        <v>527</v>
      </c>
      <c r="C8" s="558" t="s">
        <v>512</v>
      </c>
      <c r="D8" s="567" t="s">
        <v>513</v>
      </c>
      <c r="E8" s="575"/>
      <c r="F8" s="560" t="s">
        <v>528</v>
      </c>
      <c r="G8" s="569"/>
      <c r="H8" s="569"/>
      <c r="I8" s="569"/>
      <c r="J8" s="569"/>
      <c r="K8" s="569" t="s">
        <v>529</v>
      </c>
      <c r="L8" s="569"/>
      <c r="M8" s="569"/>
      <c r="N8" s="569"/>
      <c r="O8" s="569">
        <v>0</v>
      </c>
      <c r="P8" s="533">
        <v>4</v>
      </c>
      <c r="Q8" s="533">
        <v>500</v>
      </c>
      <c r="R8" s="533"/>
      <c r="S8" s="563"/>
      <c r="T8" s="576"/>
      <c r="U8" s="571" t="s">
        <v>518</v>
      </c>
    </row>
    <row r="9" spans="1:28" ht="24.75" customHeight="1" x14ac:dyDescent="0.2">
      <c r="A9" s="556">
        <v>5</v>
      </c>
      <c r="B9" s="574" t="s">
        <v>530</v>
      </c>
      <c r="C9" s="558" t="s">
        <v>512</v>
      </c>
      <c r="D9" s="559" t="s">
        <v>513</v>
      </c>
      <c r="E9" s="575" t="s">
        <v>531</v>
      </c>
      <c r="F9" s="560" t="s">
        <v>532</v>
      </c>
      <c r="G9" s="569"/>
      <c r="H9" s="569"/>
      <c r="I9" s="533"/>
      <c r="J9" s="569"/>
      <c r="K9" s="569"/>
      <c r="L9" s="569"/>
      <c r="M9" s="569"/>
      <c r="N9" s="569"/>
      <c r="O9" s="569"/>
      <c r="P9" s="533">
        <v>4000</v>
      </c>
      <c r="Q9" s="533">
        <v>2000</v>
      </c>
      <c r="R9" s="533"/>
      <c r="S9" s="563" t="s">
        <v>533</v>
      </c>
      <c r="T9" s="576"/>
      <c r="U9" s="571" t="s">
        <v>518</v>
      </c>
    </row>
    <row r="10" spans="1:28" ht="24.75" customHeight="1" x14ac:dyDescent="0.2">
      <c r="A10" s="556">
        <v>6</v>
      </c>
      <c r="B10" s="574" t="s">
        <v>388</v>
      </c>
      <c r="C10" s="577" t="s">
        <v>512</v>
      </c>
      <c r="D10" s="559" t="s">
        <v>513</v>
      </c>
      <c r="E10" s="575"/>
      <c r="F10" s="560" t="s">
        <v>534</v>
      </c>
      <c r="G10" s="569">
        <v>22848</v>
      </c>
      <c r="H10" s="569"/>
      <c r="I10" s="533"/>
      <c r="J10" s="569"/>
      <c r="K10" s="569"/>
      <c r="L10" s="569"/>
      <c r="M10" s="569"/>
      <c r="N10" s="569"/>
      <c r="O10" s="569"/>
      <c r="P10" s="533">
        <f>1616+109</f>
        <v>1725</v>
      </c>
      <c r="Q10" s="533">
        <f>2462+145</f>
        <v>2607</v>
      </c>
      <c r="R10" s="533">
        <f>2462+145</f>
        <v>2607</v>
      </c>
      <c r="S10" s="614" t="s">
        <v>535</v>
      </c>
      <c r="T10" s="615"/>
      <c r="U10" s="571" t="s">
        <v>536</v>
      </c>
    </row>
    <row r="11" spans="1:28" ht="24.75" customHeight="1" x14ac:dyDescent="0.2">
      <c r="A11" s="556">
        <v>7</v>
      </c>
      <c r="B11" s="578" t="s">
        <v>339</v>
      </c>
      <c r="C11" s="579" t="s">
        <v>512</v>
      </c>
      <c r="D11" s="567" t="s">
        <v>513</v>
      </c>
      <c r="E11" s="559" t="s">
        <v>537</v>
      </c>
      <c r="F11" s="573" t="s">
        <v>538</v>
      </c>
      <c r="G11" s="533">
        <v>7134</v>
      </c>
      <c r="H11" s="533">
        <v>5327</v>
      </c>
      <c r="I11" s="533">
        <f>G11-H11</f>
        <v>1807</v>
      </c>
      <c r="J11" s="533"/>
      <c r="K11" s="561" t="s">
        <v>539</v>
      </c>
      <c r="L11" s="533"/>
      <c r="M11" s="533">
        <v>10</v>
      </c>
      <c r="N11" s="533">
        <v>70</v>
      </c>
      <c r="O11" s="533">
        <v>0</v>
      </c>
      <c r="P11" s="533">
        <v>54</v>
      </c>
      <c r="Q11" s="533">
        <v>7000</v>
      </c>
      <c r="R11" s="533">
        <f>I11-M11-N11-O11-P11-Q11</f>
        <v>-5327</v>
      </c>
      <c r="S11" s="533"/>
      <c r="T11" s="533"/>
      <c r="U11" s="571" t="s">
        <v>540</v>
      </c>
    </row>
    <row r="12" spans="1:28" ht="24.75" customHeight="1" x14ac:dyDescent="0.2">
      <c r="A12" s="556">
        <v>8</v>
      </c>
      <c r="B12" s="578" t="s">
        <v>336</v>
      </c>
      <c r="C12" s="579" t="s">
        <v>541</v>
      </c>
      <c r="D12" s="567" t="s">
        <v>513</v>
      </c>
      <c r="E12" s="559" t="s">
        <v>542</v>
      </c>
      <c r="F12" s="573" t="s">
        <v>538</v>
      </c>
      <c r="G12" s="533">
        <v>11000</v>
      </c>
      <c r="H12" s="533">
        <v>2075</v>
      </c>
      <c r="I12" s="533">
        <f>G12-H12</f>
        <v>8925</v>
      </c>
      <c r="J12" s="533"/>
      <c r="K12" s="561"/>
      <c r="L12" s="533"/>
      <c r="M12" s="533"/>
      <c r="N12" s="533"/>
      <c r="O12" s="533">
        <v>298</v>
      </c>
      <c r="P12" s="533">
        <v>3927</v>
      </c>
      <c r="Q12" s="533">
        <f>I12-O12-P12</f>
        <v>4700</v>
      </c>
      <c r="R12" s="533"/>
      <c r="S12" s="533"/>
      <c r="T12" s="533"/>
      <c r="U12" s="571" t="s">
        <v>543</v>
      </c>
    </row>
    <row r="13" spans="1:28" ht="24.75" customHeight="1" x14ac:dyDescent="0.2">
      <c r="A13" s="556">
        <v>9</v>
      </c>
      <c r="B13" s="580" t="s">
        <v>344</v>
      </c>
      <c r="C13" s="581" t="s">
        <v>544</v>
      </c>
      <c r="D13" s="567" t="s">
        <v>513</v>
      </c>
      <c r="E13" s="582" t="s">
        <v>347</v>
      </c>
      <c r="F13" s="573" t="s">
        <v>545</v>
      </c>
      <c r="G13" s="533">
        <v>2180</v>
      </c>
      <c r="H13" s="533">
        <v>2089</v>
      </c>
      <c r="I13" s="533">
        <f>G13-H13</f>
        <v>91</v>
      </c>
      <c r="J13" s="533"/>
      <c r="K13" s="561" t="s">
        <v>539</v>
      </c>
      <c r="L13" s="533"/>
      <c r="M13" s="533"/>
      <c r="N13" s="533"/>
      <c r="O13" s="533">
        <v>236</v>
      </c>
      <c r="P13" s="533">
        <v>-53</v>
      </c>
      <c r="Q13" s="533">
        <f>I13-O13-P13</f>
        <v>-92</v>
      </c>
      <c r="R13" s="533"/>
      <c r="S13" s="533"/>
      <c r="T13" s="533"/>
      <c r="U13" s="583" t="s">
        <v>546</v>
      </c>
    </row>
    <row r="14" spans="1:28" ht="27" customHeight="1" thickBot="1" x14ac:dyDescent="0.25">
      <c r="A14" s="556">
        <v>10</v>
      </c>
      <c r="B14" s="578" t="s">
        <v>547</v>
      </c>
      <c r="C14" s="581" t="s">
        <v>544</v>
      </c>
      <c r="D14" s="567" t="s">
        <v>513</v>
      </c>
      <c r="E14" s="582" t="s">
        <v>347</v>
      </c>
      <c r="F14" s="573" t="s">
        <v>538</v>
      </c>
      <c r="G14" s="533">
        <v>2774</v>
      </c>
      <c r="H14" s="533">
        <v>2635</v>
      </c>
      <c r="I14" s="533">
        <f>G14-H14</f>
        <v>139</v>
      </c>
      <c r="J14" s="533"/>
      <c r="K14" s="561" t="s">
        <v>539</v>
      </c>
      <c r="L14" s="533"/>
      <c r="M14" s="533"/>
      <c r="N14" s="533"/>
      <c r="O14" s="533">
        <v>-463</v>
      </c>
      <c r="P14" s="533">
        <v>207</v>
      </c>
      <c r="Q14" s="533">
        <v>167</v>
      </c>
      <c r="R14" s="533">
        <f>I14-O14-P14-Q14</f>
        <v>228</v>
      </c>
      <c r="S14" s="533"/>
      <c r="T14" s="533"/>
      <c r="U14" s="583" t="s">
        <v>546</v>
      </c>
    </row>
    <row r="15" spans="1:28" s="540" customFormat="1" ht="13.5" thickBot="1" x14ac:dyDescent="0.25">
      <c r="B15" s="584" t="s">
        <v>548</v>
      </c>
      <c r="C15" s="585"/>
      <c r="D15" s="586"/>
      <c r="E15" s="586"/>
      <c r="F15" s="586"/>
      <c r="G15" s="587">
        <f>SUM(G5:G14)</f>
        <v>125243</v>
      </c>
      <c r="H15" s="587">
        <f>SUM(H5:H14)</f>
        <v>34282</v>
      </c>
      <c r="I15" s="587">
        <f>SUM(I5:I14)</f>
        <v>68113</v>
      </c>
      <c r="J15" s="587">
        <f>SUM(J5:J14)</f>
        <v>11479</v>
      </c>
      <c r="K15" s="587"/>
      <c r="L15" s="587">
        <f t="shared" ref="L15:R15" si="0">SUM(L5:L14)</f>
        <v>4605</v>
      </c>
      <c r="M15" s="587">
        <f t="shared" si="0"/>
        <v>2170</v>
      </c>
      <c r="N15" s="587">
        <f t="shared" si="0"/>
        <v>6674</v>
      </c>
      <c r="O15" s="587">
        <f t="shared" si="0"/>
        <v>3489</v>
      </c>
      <c r="P15" s="587">
        <f t="shared" si="0"/>
        <v>32840</v>
      </c>
      <c r="Q15" s="587">
        <f t="shared" si="0"/>
        <v>16833</v>
      </c>
      <c r="R15" s="587">
        <f t="shared" si="0"/>
        <v>3466</v>
      </c>
      <c r="S15" s="588"/>
      <c r="T15" s="589"/>
      <c r="U15" s="590"/>
    </row>
    <row r="16" spans="1:28" ht="25.5" customHeight="1" thickBot="1" x14ac:dyDescent="0.25">
      <c r="B16" s="540" t="s">
        <v>549</v>
      </c>
      <c r="F16" s="611" t="s">
        <v>223</v>
      </c>
      <c r="G16" s="611" t="s">
        <v>563</v>
      </c>
      <c r="H16" s="611" t="s">
        <v>565</v>
      </c>
      <c r="I16" s="611" t="s">
        <v>564</v>
      </c>
      <c r="J16" s="518"/>
      <c r="K16" s="518"/>
      <c r="L16" s="518"/>
      <c r="S16" s="518"/>
      <c r="T16" s="518"/>
    </row>
    <row r="17" spans="1:21" ht="24.75" customHeight="1" x14ac:dyDescent="0.2">
      <c r="A17" s="556">
        <v>1</v>
      </c>
      <c r="B17" s="591" t="s">
        <v>550</v>
      </c>
      <c r="C17" s="592" t="s">
        <v>512</v>
      </c>
      <c r="D17" s="593" t="s">
        <v>513</v>
      </c>
      <c r="E17" s="594" t="s">
        <v>551</v>
      </c>
      <c r="F17" s="595" t="s">
        <v>451</v>
      </c>
      <c r="G17" s="594">
        <v>76379</v>
      </c>
      <c r="H17" s="594">
        <f>35000+10000</f>
        <v>45000</v>
      </c>
      <c r="I17" s="594">
        <f>G17-H17-J17</f>
        <v>28784</v>
      </c>
      <c r="J17" s="594">
        <f>2634-39</f>
        <v>2595</v>
      </c>
      <c r="K17" s="596" t="s">
        <v>552</v>
      </c>
      <c r="L17" s="594"/>
      <c r="M17" s="594">
        <v>-4757</v>
      </c>
      <c r="N17" s="594">
        <v>1142</v>
      </c>
      <c r="O17" s="594">
        <v>32077</v>
      </c>
      <c r="P17" s="594">
        <f>I17-M17-N17-O17</f>
        <v>322</v>
      </c>
      <c r="Q17" s="594">
        <v>0</v>
      </c>
      <c r="R17" s="594"/>
      <c r="S17" s="597" t="s">
        <v>553</v>
      </c>
      <c r="T17" s="596"/>
      <c r="U17" s="598" t="s">
        <v>554</v>
      </c>
    </row>
    <row r="18" spans="1:21" ht="24.75" customHeight="1" x14ac:dyDescent="0.2">
      <c r="A18" s="556">
        <v>2</v>
      </c>
      <c r="B18" s="572" t="s">
        <v>365</v>
      </c>
      <c r="C18" s="599" t="s">
        <v>541</v>
      </c>
      <c r="D18" s="567" t="s">
        <v>513</v>
      </c>
      <c r="E18" s="582" t="s">
        <v>555</v>
      </c>
      <c r="F18" s="573" t="s">
        <v>451</v>
      </c>
      <c r="G18" s="533">
        <v>1563</v>
      </c>
      <c r="H18" s="533">
        <v>1324</v>
      </c>
      <c r="I18" s="533">
        <f>G18-H18</f>
        <v>239</v>
      </c>
      <c r="J18" s="533"/>
      <c r="K18" s="533"/>
      <c r="L18" s="533"/>
      <c r="M18" s="533"/>
      <c r="N18" s="533"/>
      <c r="O18" s="533">
        <v>1480</v>
      </c>
      <c r="P18" s="533">
        <f>-1342+100</f>
        <v>-1242</v>
      </c>
      <c r="Q18" s="533">
        <v>0</v>
      </c>
      <c r="R18" s="533"/>
      <c r="S18" s="570"/>
      <c r="T18" s="561"/>
      <c r="U18" s="571" t="s">
        <v>540</v>
      </c>
    </row>
    <row r="19" spans="1:21" ht="24.75" customHeight="1" x14ac:dyDescent="0.2">
      <c r="A19" s="556">
        <v>3</v>
      </c>
      <c r="B19" s="572" t="s">
        <v>556</v>
      </c>
      <c r="C19" s="599" t="s">
        <v>512</v>
      </c>
      <c r="D19" s="567" t="s">
        <v>513</v>
      </c>
      <c r="E19" s="582" t="s">
        <v>557</v>
      </c>
      <c r="F19" s="573" t="s">
        <v>451</v>
      </c>
      <c r="G19" s="533">
        <v>7077</v>
      </c>
      <c r="H19" s="533">
        <v>3500</v>
      </c>
      <c r="I19" s="533">
        <f>G19-H19-J296</f>
        <v>3577</v>
      </c>
      <c r="J19" s="533"/>
      <c r="K19" s="533"/>
      <c r="L19" s="533"/>
      <c r="M19" s="533"/>
      <c r="N19" s="533"/>
      <c r="O19" s="533">
        <v>-900</v>
      </c>
      <c r="P19" s="533">
        <f>I19-O19</f>
        <v>4477</v>
      </c>
      <c r="Q19" s="533">
        <v>0</v>
      </c>
      <c r="R19" s="533"/>
      <c r="S19" s="570"/>
      <c r="T19" s="561"/>
      <c r="U19" s="571" t="s">
        <v>558</v>
      </c>
    </row>
    <row r="20" spans="1:21" s="540" customFormat="1" ht="24.75" customHeight="1" x14ac:dyDescent="0.2">
      <c r="A20" s="556">
        <v>4</v>
      </c>
      <c r="B20" s="566" t="s">
        <v>309</v>
      </c>
      <c r="C20" s="581" t="s">
        <v>544</v>
      </c>
      <c r="D20" s="567" t="s">
        <v>513</v>
      </c>
      <c r="E20" s="567" t="s">
        <v>559</v>
      </c>
      <c r="F20" s="573" t="s">
        <v>451</v>
      </c>
      <c r="G20" s="533">
        <f>321+9</f>
        <v>330</v>
      </c>
      <c r="H20" s="533">
        <v>154</v>
      </c>
      <c r="I20" s="533">
        <f>G20-H20</f>
        <v>176</v>
      </c>
      <c r="J20" s="533"/>
      <c r="K20" s="533"/>
      <c r="L20" s="533"/>
      <c r="M20" s="533"/>
      <c r="N20" s="533">
        <v>281</v>
      </c>
      <c r="O20" s="533">
        <f>20-154</f>
        <v>-134</v>
      </c>
      <c r="P20" s="533">
        <v>29</v>
      </c>
      <c r="Q20" s="533">
        <v>0</v>
      </c>
      <c r="R20" s="533"/>
      <c r="S20" s="570"/>
      <c r="T20" s="570"/>
      <c r="U20" s="571" t="s">
        <v>540</v>
      </c>
    </row>
    <row r="21" spans="1:21" ht="24.75" customHeight="1" thickBot="1" x14ac:dyDescent="0.25">
      <c r="A21" s="556">
        <v>5</v>
      </c>
      <c r="B21" s="600" t="s">
        <v>379</v>
      </c>
      <c r="C21" s="601" t="s">
        <v>544</v>
      </c>
      <c r="D21" s="602" t="s">
        <v>513</v>
      </c>
      <c r="E21" s="603" t="s">
        <v>559</v>
      </c>
      <c r="F21" s="604" t="s">
        <v>451</v>
      </c>
      <c r="G21" s="605">
        <v>579</v>
      </c>
      <c r="H21" s="605">
        <v>250</v>
      </c>
      <c r="I21" s="605">
        <f>G21-H21</f>
        <v>329</v>
      </c>
      <c r="J21" s="605"/>
      <c r="K21" s="606" t="s">
        <v>560</v>
      </c>
      <c r="L21" s="605"/>
      <c r="M21" s="605"/>
      <c r="N21" s="605"/>
      <c r="O21" s="605"/>
      <c r="P21" s="605">
        <v>299</v>
      </c>
      <c r="Q21" s="605">
        <f>I21-P21</f>
        <v>30</v>
      </c>
      <c r="R21" s="605"/>
      <c r="S21" s="607"/>
      <c r="T21" s="606"/>
      <c r="U21" s="608" t="s">
        <v>540</v>
      </c>
    </row>
    <row r="33" customFormat="1" x14ac:dyDescent="0.2"/>
    <row r="34" customFormat="1" x14ac:dyDescent="0.2"/>
    <row r="35" customFormat="1" x14ac:dyDescent="0.2"/>
    <row r="36" customFormat="1" x14ac:dyDescent="0.2"/>
  </sheetData>
  <mergeCells count="1">
    <mergeCell ref="S10:T10"/>
  </mergeCells>
  <pageMargins left="0.15748031496062992" right="0.15748031496062992" top="0.78740157480314965" bottom="0.27559055118110237" header="0.31496062992125984" footer="0.31496062992125984"/>
  <pageSetup paperSize="9" scale="84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5</vt:i4>
      </vt:variant>
      <vt:variant>
        <vt:lpstr>Pojmenované oblasti</vt:lpstr>
      </vt:variant>
      <vt:variant>
        <vt:i4>5</vt:i4>
      </vt:variant>
    </vt:vector>
  </HeadingPairs>
  <TitlesOfParts>
    <vt:vector size="10" baseType="lpstr">
      <vt:lpstr>sumář</vt:lpstr>
      <vt:lpstr>příjmy</vt:lpstr>
      <vt:lpstr>výdaje</vt:lpstr>
      <vt:lpstr>okruhy rozpočtu</vt:lpstr>
      <vt:lpstr>Projekty</vt:lpstr>
      <vt:lpstr>příjmy!Názvy_tisku</vt:lpstr>
      <vt:lpstr>výdaje!Názvy_tisku</vt:lpstr>
      <vt:lpstr>Projekty!Oblast_tisku</vt:lpstr>
      <vt:lpstr>příjmy!Oblast_tisku</vt:lpstr>
      <vt:lpstr>výdaje!Oblast_tisku</vt:lpstr>
    </vt:vector>
  </TitlesOfParts>
  <Company>Jilemnice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Jilemnice</dc:creator>
  <cp:lastModifiedBy>Město Jilemnice</cp:lastModifiedBy>
  <cp:lastPrinted>2019-02-04T07:35:05Z</cp:lastPrinted>
  <dcterms:created xsi:type="dcterms:W3CDTF">1999-02-03T10:11:29Z</dcterms:created>
  <dcterms:modified xsi:type="dcterms:W3CDTF">2019-02-04T07:35:59Z</dcterms:modified>
</cp:coreProperties>
</file>